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drawings/drawing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5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6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7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8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9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drawings/drawing10.xml" ContentType="application/vnd.openxmlformats-officedocument.drawing+xml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11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drawings/drawing12.xml" ContentType="application/vnd.openxmlformats-officedocument.drawing+xml"/>
  <Override PartName="/xl/drawings/drawing13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14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drawings/drawing15.xml" ContentType="application/vnd.openxmlformats-officedocument.drawing+xml"/>
  <Override PartName="/xl/activeX/activeX23.xml" ContentType="application/vnd.ms-office.activeX+xml"/>
  <Override PartName="/xl/activeX/activeX23.bin" ContentType="application/vnd.ms-office.activeX"/>
  <Override PartName="/xl/drawings/drawing16.xml" ContentType="application/vnd.openxmlformats-officedocument.drawing+xml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140" yWindow="75" windowWidth="9885" windowHeight="7860" tabRatio="722" activeTab="19"/>
  </bookViews>
  <sheets>
    <sheet name="new AM rnd 2 7 tms" sheetId="18" r:id="rId1"/>
    <sheet name="New AM wave 7 tms" sheetId="19" r:id="rId2"/>
    <sheet name="new AM rnd 2 8 tms" sheetId="21" r:id="rId3"/>
    <sheet name="New AM wave 8 tms" sheetId="20" r:id="rId4"/>
    <sheet name="12 Club A Division 10 tms" sheetId="3" r:id="rId5"/>
    <sheet name="12 Club B Division 10 tms" sheetId="1" r:id="rId6"/>
    <sheet name="13 Club A division 10 tms" sheetId="11" r:id="rId7"/>
    <sheet name="13 Club B Division 10 tms" sheetId="4" r:id="rId8"/>
    <sheet name="14 Club A Division 10 tms" sheetId="5" r:id="rId9"/>
    <sheet name="14 Club B Division 10 tms" sheetId="6" r:id="rId10"/>
    <sheet name="15 Club A division 8 tms" sheetId="2" r:id="rId11"/>
    <sheet name="15 Club B div 8 tms " sheetId="7" r:id="rId12"/>
    <sheet name="16 Club A Division 10 tms" sheetId="8" r:id="rId13"/>
    <sheet name="16 Club B Division 10 tms" sheetId="12" r:id="rId14"/>
    <sheet name="17 Club  5 tms" sheetId="9" r:id="rId15"/>
    <sheet name="18 Club  8 tms" sheetId="13" r:id="rId16"/>
    <sheet name="RatingResultsSummary" sheetId="25" r:id="rId17"/>
    <sheet name="Initial" sheetId="10" r:id="rId18"/>
    <sheet name="Final" sheetId="26" r:id="rId19"/>
    <sheet name="Final-PM" sheetId="27" r:id="rId20"/>
  </sheets>
  <externalReferences>
    <externalReference r:id="rId21"/>
  </externalReferences>
  <definedNames>
    <definedName name="div" localSheetId="4">#REF!</definedName>
    <definedName name="div" localSheetId="5">#REF!</definedName>
    <definedName name="div" localSheetId="6">#REF!</definedName>
    <definedName name="div" localSheetId="7">#REF!</definedName>
    <definedName name="div" localSheetId="8">#REF!</definedName>
    <definedName name="div" localSheetId="9">#REF!</definedName>
    <definedName name="div" localSheetId="10">#REF!</definedName>
    <definedName name="div" localSheetId="11">#REF!</definedName>
    <definedName name="div" localSheetId="12">#REF!</definedName>
    <definedName name="div" localSheetId="13">#REF!</definedName>
    <definedName name="div" localSheetId="14">#REF!</definedName>
    <definedName name="div" localSheetId="15">#REF!</definedName>
    <definedName name="div" localSheetId="18">#REF!</definedName>
    <definedName name="div" localSheetId="19">#REF!</definedName>
    <definedName name="div" localSheetId="17">#REF!</definedName>
    <definedName name="div">#REF!</definedName>
    <definedName name="DormanTM" localSheetId="4">#REF!</definedName>
    <definedName name="DormanTM" localSheetId="5">#REF!</definedName>
    <definedName name="DormanTM" localSheetId="6">#REF!</definedName>
    <definedName name="DormanTM" localSheetId="7">#REF!</definedName>
    <definedName name="DormanTM" localSheetId="8">#REF!</definedName>
    <definedName name="DormanTM" localSheetId="9">#REF!</definedName>
    <definedName name="DormanTM" localSheetId="10">#REF!</definedName>
    <definedName name="DormanTM" localSheetId="11">#REF!</definedName>
    <definedName name="DormanTM" localSheetId="12">#REF!</definedName>
    <definedName name="DormanTM" localSheetId="13">#REF!</definedName>
    <definedName name="DormanTM" localSheetId="14">#REF!</definedName>
    <definedName name="DormanTM" localSheetId="15">#REF!</definedName>
    <definedName name="DormanTM" localSheetId="18">#REF!</definedName>
    <definedName name="DormanTM" localSheetId="19">#REF!</definedName>
    <definedName name="DormanTM" localSheetId="17">#REF!</definedName>
    <definedName name="DormanTM">#REF!</definedName>
    <definedName name="mizuno" localSheetId="4">#REF!</definedName>
    <definedName name="mizuno" localSheetId="5">#REF!</definedName>
    <definedName name="mizuno" localSheetId="6">#REF!</definedName>
    <definedName name="mizuno" localSheetId="7">#REF!</definedName>
    <definedName name="mizuno" localSheetId="8">#REF!</definedName>
    <definedName name="mizuno" localSheetId="9">#REF!</definedName>
    <definedName name="mizuno" localSheetId="10">#REF!</definedName>
    <definedName name="mizuno" localSheetId="11">#REF!</definedName>
    <definedName name="mizuno" localSheetId="12">#REF!</definedName>
    <definedName name="mizuno" localSheetId="13">#REF!</definedName>
    <definedName name="mizuno" localSheetId="14">#REF!</definedName>
    <definedName name="mizuno" localSheetId="15">#REF!</definedName>
    <definedName name="mizuno" localSheetId="18">#REF!</definedName>
    <definedName name="mizuno" localSheetId="19">#REF!</definedName>
    <definedName name="mizuno" localSheetId="17">#REF!</definedName>
    <definedName name="mizuno">#REF!</definedName>
    <definedName name="Playoff_K">[1]Example!$AS$3</definedName>
    <definedName name="Pool_K">[1]Example!$AS$2</definedName>
    <definedName name="_xlnm.Print_Area" localSheetId="4">'12 Club A Division 10 tms'!$A$1:$AQ$234</definedName>
    <definedName name="_xlnm.Print_Area" localSheetId="5">'12 Club B Division 10 tms'!$A$1:$AQ$234</definedName>
    <definedName name="_xlnm.Print_Area" localSheetId="6">'13 Club A division 10 tms'!$A$1:$AQ$234</definedName>
    <definedName name="_xlnm.Print_Area" localSheetId="7">'13 Club B Division 10 tms'!$A$1:$AQ$234</definedName>
    <definedName name="_xlnm.Print_Area" localSheetId="8">'14 Club A Division 10 tms'!$A$1:$AQ$234</definedName>
    <definedName name="_xlnm.Print_Area" localSheetId="9">'14 Club B Division 10 tms'!$A$1:$AQ$234</definedName>
    <definedName name="_xlnm.Print_Area" localSheetId="10">'15 Club A division 8 tms'!$A$1:$AQ$234</definedName>
    <definedName name="_xlnm.Print_Area" localSheetId="11">'15 Club B div 8 tms '!$A$1:$AQ$234</definedName>
    <definedName name="_xlnm.Print_Area" localSheetId="12">'16 Club A Division 10 tms'!$A$1:$AQ$234</definedName>
    <definedName name="_xlnm.Print_Area" localSheetId="13">'16 Club B Division 10 tms'!$A$1:$AQ$234</definedName>
    <definedName name="_xlnm.Print_Area" localSheetId="14">'17 Club  5 tms'!$A$1:$AQ$148</definedName>
    <definedName name="_xlnm.Print_Area" localSheetId="15">'18 Club  8 tms'!$A$1:$AQ$234</definedName>
    <definedName name="_xlnm.Print_Area" localSheetId="0">'new AM rnd 2 7 tms'!$A$1:$AQ$260</definedName>
    <definedName name="_xlnm.Print_Area" localSheetId="2">'new AM rnd 2 8 tms'!$A$1:$AQ$260</definedName>
    <definedName name="_xlnm.Print_Area" localSheetId="1">'New AM wave 7 tms'!$A$1:$AQ$266</definedName>
    <definedName name="_xlnm.Print_Area" localSheetId="3">'New AM wave 8 tms'!$A$1:$AQ$266</definedName>
    <definedName name="score" localSheetId="4">#REF!</definedName>
    <definedName name="score" localSheetId="5">#REF!</definedName>
    <definedName name="score" localSheetId="6">#REF!</definedName>
    <definedName name="score" localSheetId="7">#REF!</definedName>
    <definedName name="score" localSheetId="8">#REF!</definedName>
    <definedName name="score" localSheetId="9">#REF!</definedName>
    <definedName name="score" localSheetId="10">#REF!</definedName>
    <definedName name="score" localSheetId="11">#REF!</definedName>
    <definedName name="score" localSheetId="12">#REF!</definedName>
    <definedName name="score" localSheetId="13">#REF!</definedName>
    <definedName name="score" localSheetId="14">#REF!</definedName>
    <definedName name="score" localSheetId="15">#REF!</definedName>
    <definedName name="score" localSheetId="18">#REF!</definedName>
    <definedName name="score" localSheetId="19">#REF!</definedName>
    <definedName name="score" localSheetId="17">#REF!</definedName>
    <definedName name="score" localSheetId="0">#REF!</definedName>
    <definedName name="score" localSheetId="2">#REF!</definedName>
    <definedName name="score" localSheetId="1">#REF!</definedName>
    <definedName name="score" localSheetId="3">#REF!</definedName>
    <definedName name="score">#REF!</definedName>
    <definedName name="sex" localSheetId="4">#REF!</definedName>
    <definedName name="sex" localSheetId="5">#REF!</definedName>
    <definedName name="sex" localSheetId="6">#REF!</definedName>
    <definedName name="sex" localSheetId="7">#REF!</definedName>
    <definedName name="sex" localSheetId="8">#REF!</definedName>
    <definedName name="sex" localSheetId="9">#REF!</definedName>
    <definedName name="sex" localSheetId="10">#REF!</definedName>
    <definedName name="sex" localSheetId="11">#REF!</definedName>
    <definedName name="sex" localSheetId="12">#REF!</definedName>
    <definedName name="sex" localSheetId="13">#REF!</definedName>
    <definedName name="sex" localSheetId="14">#REF!</definedName>
    <definedName name="sex" localSheetId="15">#REF!</definedName>
    <definedName name="sex" localSheetId="18">#REF!</definedName>
    <definedName name="sex" localSheetId="19">#REF!</definedName>
    <definedName name="sex" localSheetId="17">#REF!</definedName>
    <definedName name="sex">#REF!</definedName>
    <definedName name="UniformNeeds" localSheetId="4">#REF!</definedName>
    <definedName name="UniformNeeds" localSheetId="5">#REF!</definedName>
    <definedName name="UniformNeeds" localSheetId="6">#REF!</definedName>
    <definedName name="UniformNeeds" localSheetId="7">#REF!</definedName>
    <definedName name="UniformNeeds" localSheetId="8">#REF!</definedName>
    <definedName name="UniformNeeds" localSheetId="9">#REF!</definedName>
    <definedName name="UniformNeeds" localSheetId="10">#REF!</definedName>
    <definedName name="UniformNeeds" localSheetId="11">#REF!</definedName>
    <definedName name="UniformNeeds" localSheetId="12">#REF!</definedName>
    <definedName name="UniformNeeds" localSheetId="13">#REF!</definedName>
    <definedName name="UniformNeeds" localSheetId="14">#REF!</definedName>
    <definedName name="UniformNeeds" localSheetId="15">#REF!</definedName>
    <definedName name="UniformNeeds" localSheetId="18">#REF!</definedName>
    <definedName name="UniformNeeds" localSheetId="19">#REF!</definedName>
    <definedName name="UniformNeeds" localSheetId="17">#REF!</definedName>
    <definedName name="UniformNeeds">#REF!</definedName>
  </definedNames>
  <calcPr calcId="145621" concurrentCalc="0"/>
</workbook>
</file>

<file path=xl/calcChain.xml><?xml version="1.0" encoding="utf-8"?>
<calcChain xmlns="http://schemas.openxmlformats.org/spreadsheetml/2006/main">
  <c r="K303" i="27" l="1"/>
  <c r="F303" i="27"/>
  <c r="E303" i="27"/>
  <c r="E300" i="27"/>
  <c r="E296" i="27"/>
  <c r="E298" i="27"/>
  <c r="E299" i="27"/>
  <c r="E287" i="27"/>
  <c r="E297" i="27"/>
  <c r="E291" i="27"/>
  <c r="E289" i="27"/>
  <c r="E293" i="27"/>
  <c r="E290" i="27"/>
  <c r="E288" i="27"/>
  <c r="E295" i="27"/>
  <c r="E292" i="27"/>
  <c r="E294" i="27"/>
  <c r="E284" i="27"/>
  <c r="E286" i="27"/>
  <c r="C287" i="27"/>
  <c r="C288" i="27"/>
  <c r="C289" i="27"/>
  <c r="C290" i="27"/>
  <c r="C291" i="27"/>
  <c r="C292" i="27"/>
  <c r="C293" i="27"/>
  <c r="C294" i="27"/>
  <c r="C295" i="27"/>
  <c r="C296" i="27"/>
  <c r="C297" i="27"/>
  <c r="C298" i="27"/>
  <c r="C299" i="27"/>
  <c r="C300" i="27"/>
  <c r="E301" i="27"/>
  <c r="C301" i="27"/>
  <c r="D301" i="27"/>
  <c r="D302" i="27"/>
  <c r="D303" i="27"/>
  <c r="D304" i="27"/>
  <c r="D305" i="27"/>
  <c r="E302" i="27"/>
  <c r="C302" i="27"/>
  <c r="E305" i="27"/>
  <c r="E304" i="27"/>
  <c r="C303" i="27"/>
  <c r="C304" i="27"/>
  <c r="C305" i="27"/>
  <c r="K302" i="27"/>
  <c r="F302" i="27"/>
  <c r="K305" i="27"/>
  <c r="F305" i="27"/>
  <c r="K304" i="27"/>
  <c r="F304" i="27"/>
  <c r="K301" i="27"/>
  <c r="F301" i="27"/>
  <c r="K300" i="27"/>
  <c r="F300" i="27"/>
  <c r="D300" i="27"/>
  <c r="K296" i="27"/>
  <c r="F296" i="27"/>
  <c r="D296" i="27"/>
  <c r="K298" i="27"/>
  <c r="F298" i="27"/>
  <c r="D298" i="27"/>
  <c r="K299" i="27"/>
  <c r="F299" i="27"/>
  <c r="D287" i="27"/>
  <c r="D288" i="27"/>
  <c r="D289" i="27"/>
  <c r="D290" i="27"/>
  <c r="D291" i="27"/>
  <c r="D292" i="27"/>
  <c r="D293" i="27"/>
  <c r="D294" i="27"/>
  <c r="D295" i="27"/>
  <c r="D297" i="27"/>
  <c r="D299" i="27"/>
  <c r="K287" i="27"/>
  <c r="F287" i="27"/>
  <c r="K297" i="27"/>
  <c r="F297" i="27"/>
  <c r="K291" i="27"/>
  <c r="F291" i="27"/>
  <c r="K289" i="27"/>
  <c r="F289" i="27"/>
  <c r="K293" i="27"/>
  <c r="F293" i="27"/>
  <c r="K290" i="27"/>
  <c r="F290" i="27"/>
  <c r="K288" i="27"/>
  <c r="F288" i="27"/>
  <c r="K295" i="27"/>
  <c r="F295" i="27"/>
  <c r="K292" i="27"/>
  <c r="F292" i="27"/>
  <c r="K294" i="27"/>
  <c r="F294" i="27"/>
  <c r="K284" i="27"/>
  <c r="F284" i="27"/>
  <c r="E280" i="27"/>
  <c r="E273" i="27"/>
  <c r="E270" i="27"/>
  <c r="E274" i="27"/>
  <c r="E261" i="27"/>
  <c r="E264" i="27"/>
  <c r="E272" i="27"/>
  <c r="E268" i="27"/>
  <c r="E260" i="27"/>
  <c r="E259" i="27"/>
  <c r="E276" i="27"/>
  <c r="E267" i="27"/>
  <c r="E262" i="27"/>
  <c r="E277" i="27"/>
  <c r="E279" i="27"/>
  <c r="E266" i="27"/>
  <c r="E263" i="27"/>
  <c r="E278" i="27"/>
  <c r="E265" i="27"/>
  <c r="E275" i="27"/>
  <c r="E258" i="27"/>
  <c r="E269" i="27"/>
  <c r="E271" i="27"/>
  <c r="E250" i="27"/>
  <c r="E257" i="27"/>
  <c r="C258" i="27"/>
  <c r="C259" i="27"/>
  <c r="C260" i="27"/>
  <c r="C261" i="27"/>
  <c r="C262" i="27"/>
  <c r="C263" i="27"/>
  <c r="C264" i="27"/>
  <c r="C265" i="27"/>
  <c r="C266" i="27"/>
  <c r="C267" i="27"/>
  <c r="C268" i="27"/>
  <c r="C269" i="27"/>
  <c r="C270" i="27"/>
  <c r="C271" i="27"/>
  <c r="C272" i="27"/>
  <c r="C273" i="27"/>
  <c r="C274" i="27"/>
  <c r="C275" i="27"/>
  <c r="C276" i="27"/>
  <c r="C277" i="27"/>
  <c r="C278" i="27"/>
  <c r="C279" i="27"/>
  <c r="C280" i="27"/>
  <c r="D280" i="27"/>
  <c r="D281" i="27"/>
  <c r="D282" i="27"/>
  <c r="D283" i="27"/>
  <c r="D284" i="27"/>
  <c r="D285" i="27"/>
  <c r="D286" i="27"/>
  <c r="E283" i="27"/>
  <c r="E281" i="27"/>
  <c r="E285" i="27"/>
  <c r="E282" i="27"/>
  <c r="C281" i="27"/>
  <c r="C282" i="27"/>
  <c r="C283" i="27"/>
  <c r="C284" i="27"/>
  <c r="C285" i="27"/>
  <c r="C286" i="27"/>
  <c r="K286" i="27"/>
  <c r="F286" i="27"/>
  <c r="K283" i="27"/>
  <c r="F283" i="27"/>
  <c r="K281" i="27"/>
  <c r="F281" i="27"/>
  <c r="K285" i="27"/>
  <c r="F285" i="27"/>
  <c r="K282" i="27"/>
  <c r="F282" i="27"/>
  <c r="K280" i="27"/>
  <c r="F280" i="27"/>
  <c r="K273" i="27"/>
  <c r="F273" i="27"/>
  <c r="D273" i="27"/>
  <c r="K270" i="27"/>
  <c r="F270" i="27"/>
  <c r="D270" i="27"/>
  <c r="K274" i="27"/>
  <c r="F274" i="27"/>
  <c r="D274" i="27"/>
  <c r="K261" i="27"/>
  <c r="F261" i="27"/>
  <c r="D271" i="27"/>
  <c r="D258" i="27"/>
  <c r="D259" i="27"/>
  <c r="D260" i="27"/>
  <c r="D261" i="27"/>
  <c r="D262" i="27"/>
  <c r="D263" i="27"/>
  <c r="D264" i="27"/>
  <c r="D265" i="27"/>
  <c r="D266" i="27"/>
  <c r="D267" i="27"/>
  <c r="D268" i="27"/>
  <c r="D269" i="27"/>
  <c r="D275" i="27"/>
  <c r="D276" i="27"/>
  <c r="D277" i="27"/>
  <c r="D278" i="27"/>
  <c r="D279" i="27"/>
  <c r="D272" i="27"/>
  <c r="K264" i="27"/>
  <c r="F264" i="27"/>
  <c r="K272" i="27"/>
  <c r="F272" i="27"/>
  <c r="K268" i="27"/>
  <c r="F268" i="27"/>
  <c r="K260" i="27"/>
  <c r="F260" i="27"/>
  <c r="K259" i="27"/>
  <c r="F259" i="27"/>
  <c r="K276" i="27"/>
  <c r="F276" i="27"/>
  <c r="K267" i="27"/>
  <c r="F267" i="27"/>
  <c r="K262" i="27"/>
  <c r="F262" i="27"/>
  <c r="K277" i="27"/>
  <c r="F277" i="27"/>
  <c r="K279" i="27"/>
  <c r="F279" i="27"/>
  <c r="K266" i="27"/>
  <c r="F266" i="27"/>
  <c r="K263" i="27"/>
  <c r="F263" i="27"/>
  <c r="K278" i="27"/>
  <c r="F278" i="27"/>
  <c r="K265" i="27"/>
  <c r="F265" i="27"/>
  <c r="K275" i="27"/>
  <c r="F275" i="27"/>
  <c r="K258" i="27"/>
  <c r="F258" i="27"/>
  <c r="K269" i="27"/>
  <c r="F269" i="27"/>
  <c r="K271" i="27"/>
  <c r="F271" i="27"/>
  <c r="K250" i="27"/>
  <c r="F250" i="27"/>
  <c r="E244" i="27"/>
  <c r="E247" i="27"/>
  <c r="E248" i="27"/>
  <c r="E237" i="27"/>
  <c r="E249" i="27"/>
  <c r="E236" i="27"/>
  <c r="E235" i="27"/>
  <c r="E221" i="27"/>
  <c r="E229" i="27"/>
  <c r="E233" i="27"/>
  <c r="E238" i="27"/>
  <c r="E240" i="27"/>
  <c r="E239" i="27"/>
  <c r="E241" i="27"/>
  <c r="E216" i="27"/>
  <c r="E208" i="27"/>
  <c r="E223" i="27"/>
  <c r="E210" i="27"/>
  <c r="E227" i="27"/>
  <c r="E225" i="27"/>
  <c r="E243" i="27"/>
  <c r="E230" i="27"/>
  <c r="E215" i="27"/>
  <c r="E212" i="27"/>
  <c r="E228" i="27"/>
  <c r="E220" i="27"/>
  <c r="E219" i="27"/>
  <c r="E218" i="27"/>
  <c r="E217" i="27"/>
  <c r="E232" i="27"/>
  <c r="E214" i="27"/>
  <c r="E222" i="27"/>
  <c r="E234" i="27"/>
  <c r="E224" i="27"/>
  <c r="E226" i="27"/>
  <c r="E231" i="27"/>
  <c r="E211" i="27"/>
  <c r="E209" i="27"/>
  <c r="E213" i="27"/>
  <c r="E199" i="27"/>
  <c r="E207" i="27"/>
  <c r="C208" i="27"/>
  <c r="C209" i="27"/>
  <c r="C210" i="27"/>
  <c r="C211" i="27"/>
  <c r="C212" i="27"/>
  <c r="C213" i="27"/>
  <c r="C214" i="27"/>
  <c r="C215" i="27"/>
  <c r="C216" i="27"/>
  <c r="C217" i="27"/>
  <c r="C218" i="27"/>
  <c r="C219" i="27"/>
  <c r="C220" i="27"/>
  <c r="C221" i="27"/>
  <c r="C222" i="27"/>
  <c r="C223" i="27"/>
  <c r="C224" i="27"/>
  <c r="C225" i="27"/>
  <c r="C226" i="27"/>
  <c r="C227" i="27"/>
  <c r="C228" i="27"/>
  <c r="C229" i="27"/>
  <c r="C230" i="27"/>
  <c r="C231" i="27"/>
  <c r="C232" i="27"/>
  <c r="C233" i="27"/>
  <c r="C234" i="27"/>
  <c r="E242" i="27"/>
  <c r="C235" i="27"/>
  <c r="C236" i="27"/>
  <c r="C237" i="27"/>
  <c r="C238" i="27"/>
  <c r="C239" i="27"/>
  <c r="C240" i="27"/>
  <c r="C241" i="27"/>
  <c r="C242" i="27"/>
  <c r="C243" i="27"/>
  <c r="E246" i="27"/>
  <c r="E245" i="27"/>
  <c r="C244" i="27"/>
  <c r="C245" i="27"/>
  <c r="C246" i="27"/>
  <c r="C247" i="27"/>
  <c r="C248" i="27"/>
  <c r="C249" i="27"/>
  <c r="D244" i="27"/>
  <c r="C250" i="27"/>
  <c r="D250" i="27"/>
  <c r="D251" i="27"/>
  <c r="D252" i="27"/>
  <c r="D253" i="27"/>
  <c r="D254" i="27"/>
  <c r="D255" i="27"/>
  <c r="D256" i="27"/>
  <c r="D245" i="27"/>
  <c r="D257" i="27"/>
  <c r="D242" i="27"/>
  <c r="D246" i="27"/>
  <c r="E253" i="27"/>
  <c r="E255" i="27"/>
  <c r="E254" i="27"/>
  <c r="E252" i="27"/>
  <c r="E251" i="27"/>
  <c r="E256" i="27"/>
  <c r="C251" i="27"/>
  <c r="C252" i="27"/>
  <c r="C253" i="27"/>
  <c r="C254" i="27"/>
  <c r="C255" i="27"/>
  <c r="C256" i="27"/>
  <c r="C257" i="27"/>
  <c r="K246" i="27"/>
  <c r="F246" i="27"/>
  <c r="K253" i="27"/>
  <c r="F253" i="27"/>
  <c r="K242" i="27"/>
  <c r="F242" i="27"/>
  <c r="K255" i="27"/>
  <c r="F255" i="27"/>
  <c r="K257" i="27"/>
  <c r="F257" i="27"/>
  <c r="K254" i="27"/>
  <c r="F254" i="27"/>
  <c r="K245" i="27"/>
  <c r="F245" i="27"/>
  <c r="K252" i="27"/>
  <c r="F252" i="27"/>
  <c r="K251" i="27"/>
  <c r="F251" i="27"/>
  <c r="K256" i="27"/>
  <c r="F256" i="27"/>
  <c r="K244" i="27"/>
  <c r="F244" i="27"/>
  <c r="K247" i="27"/>
  <c r="F247" i="27"/>
  <c r="D247" i="27"/>
  <c r="K248" i="27"/>
  <c r="F248" i="27"/>
  <c r="D248" i="27"/>
  <c r="K237" i="27"/>
  <c r="F237" i="27"/>
  <c r="D237" i="27"/>
  <c r="K249" i="27"/>
  <c r="F249" i="27"/>
  <c r="D249" i="27"/>
  <c r="K236" i="27"/>
  <c r="F236" i="27"/>
  <c r="D240" i="27"/>
  <c r="D238" i="27"/>
  <c r="D233" i="27"/>
  <c r="D229" i="27"/>
  <c r="D221" i="27"/>
  <c r="D235" i="27"/>
  <c r="D236" i="27"/>
  <c r="K235" i="27"/>
  <c r="F235" i="27"/>
  <c r="K221" i="27"/>
  <c r="F221" i="27"/>
  <c r="K229" i="27"/>
  <c r="F229" i="27"/>
  <c r="K233" i="27"/>
  <c r="F233" i="27"/>
  <c r="K238" i="27"/>
  <c r="F238" i="27"/>
  <c r="K240" i="27"/>
  <c r="F240" i="27"/>
  <c r="K239" i="27"/>
  <c r="F239" i="27"/>
  <c r="D239" i="27"/>
  <c r="K241" i="27"/>
  <c r="F241" i="27"/>
  <c r="D216" i="27"/>
  <c r="D241" i="27"/>
  <c r="K216" i="27"/>
  <c r="F216" i="27"/>
  <c r="K208" i="27"/>
  <c r="F208" i="27"/>
  <c r="D208" i="27"/>
  <c r="K223" i="27"/>
  <c r="F223" i="27"/>
  <c r="D209" i="27"/>
  <c r="D210" i="27"/>
  <c r="D211" i="27"/>
  <c r="D212" i="27"/>
  <c r="D213" i="27"/>
  <c r="D230" i="27"/>
  <c r="D231" i="27"/>
  <c r="D222" i="27"/>
  <c r="D223" i="27"/>
  <c r="D224" i="27"/>
  <c r="D225" i="27"/>
  <c r="D226" i="27"/>
  <c r="D234" i="27"/>
  <c r="D214" i="27"/>
  <c r="D232" i="27"/>
  <c r="D217" i="27"/>
  <c r="D218" i="27"/>
  <c r="D219" i="27"/>
  <c r="D220" i="27"/>
  <c r="D227" i="27"/>
  <c r="D228" i="27"/>
  <c r="D215" i="27"/>
  <c r="D243" i="27"/>
  <c r="K210" i="27"/>
  <c r="F210" i="27"/>
  <c r="K227" i="27"/>
  <c r="F227" i="27"/>
  <c r="K225" i="27"/>
  <c r="F225" i="27"/>
  <c r="K243" i="27"/>
  <c r="F243" i="27"/>
  <c r="K230" i="27"/>
  <c r="F230" i="27"/>
  <c r="K215" i="27"/>
  <c r="F215" i="27"/>
  <c r="K212" i="27"/>
  <c r="F212" i="27"/>
  <c r="K228" i="27"/>
  <c r="F228" i="27"/>
  <c r="K220" i="27"/>
  <c r="F220" i="27"/>
  <c r="K219" i="27"/>
  <c r="F219" i="27"/>
  <c r="K218" i="27"/>
  <c r="F218" i="27"/>
  <c r="K217" i="27"/>
  <c r="F217" i="27"/>
  <c r="K232" i="27"/>
  <c r="F232" i="27"/>
  <c r="K214" i="27"/>
  <c r="F214" i="27"/>
  <c r="K222" i="27"/>
  <c r="F222" i="27"/>
  <c r="K234" i="27"/>
  <c r="F234" i="27"/>
  <c r="K224" i="27"/>
  <c r="F224" i="27"/>
  <c r="K226" i="27"/>
  <c r="F226" i="27"/>
  <c r="K231" i="27"/>
  <c r="F231" i="27"/>
  <c r="K211" i="27"/>
  <c r="F211" i="27"/>
  <c r="K209" i="27"/>
  <c r="F209" i="27"/>
  <c r="K213" i="27"/>
  <c r="F213" i="27"/>
  <c r="K199" i="27"/>
  <c r="F199" i="27"/>
  <c r="E189" i="27"/>
  <c r="E191" i="27"/>
  <c r="E188" i="27"/>
  <c r="E187" i="27"/>
  <c r="E190" i="27"/>
  <c r="E177" i="27"/>
  <c r="E171" i="27"/>
  <c r="E186" i="27"/>
  <c r="E182" i="27"/>
  <c r="E183" i="27"/>
  <c r="E166" i="27"/>
  <c r="E168" i="27"/>
  <c r="E180" i="27"/>
  <c r="E178" i="27"/>
  <c r="E164" i="27"/>
  <c r="E176" i="27"/>
  <c r="E175" i="27"/>
  <c r="E174" i="27"/>
  <c r="E173" i="27"/>
  <c r="E162" i="27"/>
  <c r="E165" i="27"/>
  <c r="E179" i="27"/>
  <c r="E161" i="27"/>
  <c r="E172" i="27"/>
  <c r="E169" i="27"/>
  <c r="E167" i="27"/>
  <c r="E160" i="27"/>
  <c r="E170" i="27"/>
  <c r="E185" i="27"/>
  <c r="E163" i="27"/>
  <c r="E184" i="27"/>
  <c r="E181" i="27"/>
  <c r="E158" i="27"/>
  <c r="E159" i="27"/>
  <c r="C160" i="27"/>
  <c r="C161" i="27"/>
  <c r="C162" i="27"/>
  <c r="C163" i="27"/>
  <c r="C164" i="27"/>
  <c r="C165" i="27"/>
  <c r="C166" i="27"/>
  <c r="C167" i="27"/>
  <c r="C168" i="27"/>
  <c r="C169" i="27"/>
  <c r="C170" i="27"/>
  <c r="C171" i="27"/>
  <c r="C172" i="27"/>
  <c r="C173" i="27"/>
  <c r="C174" i="27"/>
  <c r="C175" i="27"/>
  <c r="C176" i="27"/>
  <c r="C177" i="27"/>
  <c r="C178" i="27"/>
  <c r="C179" i="27"/>
  <c r="C180" i="27"/>
  <c r="C181" i="27"/>
  <c r="C182" i="27"/>
  <c r="C183" i="27"/>
  <c r="C184" i="27"/>
  <c r="C185" i="27"/>
  <c r="C186" i="27"/>
  <c r="C187" i="27"/>
  <c r="C188" i="27"/>
  <c r="C189" i="27"/>
  <c r="C190" i="27"/>
  <c r="C191" i="27"/>
  <c r="D189" i="27"/>
  <c r="E192" i="27"/>
  <c r="C192" i="27"/>
  <c r="D192" i="27"/>
  <c r="D193" i="27"/>
  <c r="D194" i="27"/>
  <c r="D195" i="27"/>
  <c r="D196" i="27"/>
  <c r="D197" i="27"/>
  <c r="D198" i="27"/>
  <c r="D199" i="27"/>
  <c r="D200" i="27"/>
  <c r="D201" i="27"/>
  <c r="D202" i="27"/>
  <c r="D203" i="27"/>
  <c r="D204" i="27"/>
  <c r="D205" i="27"/>
  <c r="D206" i="27"/>
  <c r="D207" i="27"/>
  <c r="E201" i="27"/>
  <c r="E198" i="27"/>
  <c r="E206" i="27"/>
  <c r="E205" i="27"/>
  <c r="E197" i="27"/>
  <c r="E195" i="27"/>
  <c r="E193" i="27"/>
  <c r="E204" i="27"/>
  <c r="E194" i="27"/>
  <c r="E196" i="27"/>
  <c r="E203" i="27"/>
  <c r="E200" i="27"/>
  <c r="E202" i="27"/>
  <c r="C193" i="27"/>
  <c r="C194" i="27"/>
  <c r="C195" i="27"/>
  <c r="C196" i="27"/>
  <c r="C197" i="27"/>
  <c r="C198" i="27"/>
  <c r="C199" i="27"/>
  <c r="C200" i="27"/>
  <c r="C201" i="27"/>
  <c r="C202" i="27"/>
  <c r="C203" i="27"/>
  <c r="C204" i="27"/>
  <c r="C205" i="27"/>
  <c r="C206" i="27"/>
  <c r="C207" i="27"/>
  <c r="K201" i="27"/>
  <c r="F201" i="27"/>
  <c r="K198" i="27"/>
  <c r="F198" i="27"/>
  <c r="K206" i="27"/>
  <c r="F206" i="27"/>
  <c r="K205" i="27"/>
  <c r="F205" i="27"/>
  <c r="K197" i="27"/>
  <c r="F197" i="27"/>
  <c r="K192" i="27"/>
  <c r="F192" i="27"/>
  <c r="K195" i="27"/>
  <c r="F195" i="27"/>
  <c r="K193" i="27"/>
  <c r="F193" i="27"/>
  <c r="K204" i="27"/>
  <c r="F204" i="27"/>
  <c r="K194" i="27"/>
  <c r="F194" i="27"/>
  <c r="K207" i="27"/>
  <c r="F207" i="27"/>
  <c r="K196" i="27"/>
  <c r="F196" i="27"/>
  <c r="K203" i="27"/>
  <c r="F203" i="27"/>
  <c r="K200" i="27"/>
  <c r="F200" i="27"/>
  <c r="K202" i="27"/>
  <c r="F202" i="27"/>
  <c r="K189" i="27"/>
  <c r="F189" i="27"/>
  <c r="K191" i="27"/>
  <c r="F191" i="27"/>
  <c r="D191" i="27"/>
  <c r="K188" i="27"/>
  <c r="F188" i="27"/>
  <c r="D188" i="27"/>
  <c r="K187" i="27"/>
  <c r="F187" i="27"/>
  <c r="D171" i="27"/>
  <c r="D177" i="27"/>
  <c r="D190" i="27"/>
  <c r="D187" i="27"/>
  <c r="K190" i="27"/>
  <c r="F190" i="27"/>
  <c r="K177" i="27"/>
  <c r="F177" i="27"/>
  <c r="K171" i="27"/>
  <c r="F171" i="27"/>
  <c r="K186" i="27"/>
  <c r="F186" i="27"/>
  <c r="D186" i="27"/>
  <c r="K182" i="27"/>
  <c r="F182" i="27"/>
  <c r="D178" i="27"/>
  <c r="D179" i="27"/>
  <c r="D180" i="27"/>
  <c r="D181" i="27"/>
  <c r="D182" i="27"/>
  <c r="D183" i="27"/>
  <c r="D184" i="27"/>
  <c r="D160" i="27"/>
  <c r="D161" i="27"/>
  <c r="D162" i="27"/>
  <c r="D163" i="27"/>
  <c r="D185" i="27"/>
  <c r="D164" i="27"/>
  <c r="D165" i="27"/>
  <c r="D166" i="27"/>
  <c r="D167" i="27"/>
  <c r="D168" i="27"/>
  <c r="D169" i="27"/>
  <c r="D170" i="27"/>
  <c r="D172" i="27"/>
  <c r="D173" i="27"/>
  <c r="D174" i="27"/>
  <c r="D175" i="27"/>
  <c r="D176" i="27"/>
  <c r="K183" i="27"/>
  <c r="F183" i="27"/>
  <c r="K166" i="27"/>
  <c r="F166" i="27"/>
  <c r="K168" i="27"/>
  <c r="F168" i="27"/>
  <c r="K180" i="27"/>
  <c r="F180" i="27"/>
  <c r="K178" i="27"/>
  <c r="F178" i="27"/>
  <c r="K164" i="27"/>
  <c r="F164" i="27"/>
  <c r="K176" i="27"/>
  <c r="F176" i="27"/>
  <c r="K175" i="27"/>
  <c r="F175" i="27"/>
  <c r="K174" i="27"/>
  <c r="F174" i="27"/>
  <c r="K173" i="27"/>
  <c r="F173" i="27"/>
  <c r="K162" i="27"/>
  <c r="F162" i="27"/>
  <c r="K165" i="27"/>
  <c r="F165" i="27"/>
  <c r="K179" i="27"/>
  <c r="F179" i="27"/>
  <c r="K161" i="27"/>
  <c r="F161" i="27"/>
  <c r="K172" i="27"/>
  <c r="F172" i="27"/>
  <c r="K169" i="27"/>
  <c r="F169" i="27"/>
  <c r="K167" i="27"/>
  <c r="F167" i="27"/>
  <c r="K160" i="27"/>
  <c r="F160" i="27"/>
  <c r="K170" i="27"/>
  <c r="F170" i="27"/>
  <c r="K185" i="27"/>
  <c r="F185" i="27"/>
  <c r="K163" i="27"/>
  <c r="F163" i="27"/>
  <c r="K184" i="27"/>
  <c r="F184" i="27"/>
  <c r="K181" i="27"/>
  <c r="F181" i="27"/>
  <c r="K158" i="27"/>
  <c r="F158" i="27"/>
  <c r="E157" i="27"/>
  <c r="E98" i="27"/>
  <c r="E131" i="27"/>
  <c r="E150" i="27"/>
  <c r="E130" i="27"/>
  <c r="E144" i="27"/>
  <c r="E132" i="27"/>
  <c r="E135" i="27"/>
  <c r="E117" i="27"/>
  <c r="E137" i="27"/>
  <c r="E133" i="27"/>
  <c r="E126" i="27"/>
  <c r="E106" i="27"/>
  <c r="E119" i="27"/>
  <c r="E123" i="27"/>
  <c r="E120" i="27"/>
  <c r="E113" i="27"/>
  <c r="E95" i="27"/>
  <c r="E99" i="27"/>
  <c r="E122" i="27"/>
  <c r="E104" i="27"/>
  <c r="E112" i="27"/>
  <c r="E102" i="27"/>
  <c r="E103" i="27"/>
  <c r="E97" i="27"/>
  <c r="E105" i="27"/>
  <c r="E116" i="27"/>
  <c r="E109" i="27"/>
  <c r="E108" i="27"/>
  <c r="E128" i="27"/>
  <c r="E125" i="27"/>
  <c r="E107" i="27"/>
  <c r="E111" i="27"/>
  <c r="E121" i="27"/>
  <c r="E110" i="27"/>
  <c r="E101" i="27"/>
  <c r="E115" i="27"/>
  <c r="E114" i="27"/>
  <c r="E100" i="27"/>
  <c r="E118" i="27"/>
  <c r="E124" i="27"/>
  <c r="E96" i="27"/>
  <c r="E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E127" i="27"/>
  <c r="C126" i="27"/>
  <c r="C127" i="27"/>
  <c r="C128" i="27"/>
  <c r="E129" i="27"/>
  <c r="C129" i="27"/>
  <c r="C130" i="27"/>
  <c r="C131" i="27"/>
  <c r="C132" i="27"/>
  <c r="C133" i="27"/>
  <c r="E136" i="27"/>
  <c r="E134" i="27"/>
  <c r="C134" i="27"/>
  <c r="C135" i="27"/>
  <c r="C136" i="27"/>
  <c r="C137" i="27"/>
  <c r="E143" i="27"/>
  <c r="E142" i="27"/>
  <c r="E141" i="27"/>
  <c r="E140" i="27"/>
  <c r="E139" i="27"/>
  <c r="E138" i="27"/>
  <c r="C138" i="27"/>
  <c r="C139" i="27"/>
  <c r="C140" i="27"/>
  <c r="C141" i="27"/>
  <c r="C142" i="27"/>
  <c r="C143" i="27"/>
  <c r="C144" i="27"/>
  <c r="E149" i="27"/>
  <c r="E148" i="27"/>
  <c r="E147" i="27"/>
  <c r="E146" i="27"/>
  <c r="E145" i="27"/>
  <c r="C145" i="27"/>
  <c r="C146" i="27"/>
  <c r="C147" i="27"/>
  <c r="C148" i="27"/>
  <c r="C149" i="27"/>
  <c r="C150" i="27"/>
  <c r="E156" i="27"/>
  <c r="E155" i="27"/>
  <c r="E154" i="27"/>
  <c r="E153" i="27"/>
  <c r="E152" i="27"/>
  <c r="E151" i="27"/>
  <c r="C151" i="27"/>
  <c r="C152" i="27"/>
  <c r="C153" i="27"/>
  <c r="C154" i="27"/>
  <c r="C155" i="27"/>
  <c r="C156" i="27"/>
  <c r="C157" i="27"/>
  <c r="D151" i="27"/>
  <c r="D152" i="27"/>
  <c r="D153" i="27"/>
  <c r="D154" i="27"/>
  <c r="D155" i="27"/>
  <c r="D156" i="27"/>
  <c r="D157" i="27"/>
  <c r="D138" i="27"/>
  <c r="D139" i="27"/>
  <c r="D145" i="27"/>
  <c r="D146" i="27"/>
  <c r="D147" i="27"/>
  <c r="D148" i="27"/>
  <c r="D149" i="27"/>
  <c r="D134" i="27"/>
  <c r="D140" i="27"/>
  <c r="D158" i="27"/>
  <c r="D159" i="27"/>
  <c r="D141" i="27"/>
  <c r="D127" i="27"/>
  <c r="D142" i="27"/>
  <c r="D143" i="27"/>
  <c r="D136" i="27"/>
  <c r="D129" i="27"/>
  <c r="C158" i="27"/>
  <c r="C159" i="27"/>
  <c r="K142" i="27"/>
  <c r="F142" i="27"/>
  <c r="K129" i="27"/>
  <c r="F129" i="27"/>
  <c r="K154" i="27"/>
  <c r="F154" i="27"/>
  <c r="K145" i="27"/>
  <c r="F145" i="27"/>
  <c r="K147" i="27"/>
  <c r="F147" i="27"/>
  <c r="K136" i="27"/>
  <c r="F136" i="27"/>
  <c r="K143" i="27"/>
  <c r="F143" i="27"/>
  <c r="K152" i="27"/>
  <c r="F152" i="27"/>
  <c r="K127" i="27"/>
  <c r="F127" i="27"/>
  <c r="K146" i="27"/>
  <c r="F146" i="27"/>
  <c r="K153" i="27"/>
  <c r="F153" i="27"/>
  <c r="K141" i="27"/>
  <c r="F141" i="27"/>
  <c r="K155" i="27"/>
  <c r="F155" i="27"/>
  <c r="K148" i="27"/>
  <c r="F148" i="27"/>
  <c r="K156" i="27"/>
  <c r="F156" i="27"/>
  <c r="K159" i="27"/>
  <c r="F159" i="27"/>
  <c r="K140" i="27"/>
  <c r="F140" i="27"/>
  <c r="K138" i="27"/>
  <c r="F138" i="27"/>
  <c r="K134" i="27"/>
  <c r="F134" i="27"/>
  <c r="K149" i="27"/>
  <c r="F149" i="27"/>
  <c r="K139" i="27"/>
  <c r="F139" i="27"/>
  <c r="K151" i="27"/>
  <c r="F151" i="27"/>
  <c r="K157" i="27"/>
  <c r="F157" i="27"/>
  <c r="K98" i="27"/>
  <c r="F98" i="27"/>
  <c r="D95" i="27"/>
  <c r="D96" i="27"/>
  <c r="D97" i="27"/>
  <c r="D98" i="27"/>
  <c r="K131" i="27"/>
  <c r="F131" i="27"/>
  <c r="D131" i="27"/>
  <c r="K150" i="27"/>
  <c r="F150" i="27"/>
  <c r="D150" i="27"/>
  <c r="K130" i="27"/>
  <c r="F130" i="27"/>
  <c r="D132" i="27"/>
  <c r="D144" i="27"/>
  <c r="D130" i="27"/>
  <c r="K144" i="27"/>
  <c r="F144" i="27"/>
  <c r="K132" i="27"/>
  <c r="F132" i="27"/>
  <c r="K135" i="27"/>
  <c r="F135" i="27"/>
  <c r="D137" i="27"/>
  <c r="D117" i="27"/>
  <c r="D135" i="27"/>
  <c r="K117" i="27"/>
  <c r="F117" i="27"/>
  <c r="K137" i="27"/>
  <c r="F137" i="27"/>
  <c r="K133" i="27"/>
  <c r="F133" i="27"/>
  <c r="D126" i="27"/>
  <c r="D133" i="27"/>
  <c r="K126" i="27"/>
  <c r="F126" i="27"/>
  <c r="K106" i="27"/>
  <c r="F106" i="27"/>
  <c r="D106" i="27"/>
  <c r="K119" i="27"/>
  <c r="F119" i="27"/>
  <c r="D123" i="27"/>
  <c r="D119" i="27"/>
  <c r="K123" i="27"/>
  <c r="F123" i="27"/>
  <c r="K120" i="27"/>
  <c r="F120" i="27"/>
  <c r="D120" i="27"/>
  <c r="D124" i="27"/>
  <c r="D118" i="27"/>
  <c r="D99" i="27"/>
  <c r="D100" i="27"/>
  <c r="D107" i="27"/>
  <c r="D108" i="27"/>
  <c r="D109" i="27"/>
  <c r="D110" i="27"/>
  <c r="D111" i="27"/>
  <c r="D112" i="27"/>
  <c r="D113" i="27"/>
  <c r="D114" i="27"/>
  <c r="D115" i="27"/>
  <c r="D101" i="27"/>
  <c r="D121" i="27"/>
  <c r="D125" i="27"/>
  <c r="D128" i="27"/>
  <c r="D116" i="27"/>
  <c r="D102" i="27"/>
  <c r="D103" i="27"/>
  <c r="D104" i="27"/>
  <c r="D105" i="27"/>
  <c r="D122" i="27"/>
  <c r="K113" i="27"/>
  <c r="F113" i="27"/>
  <c r="K95" i="27"/>
  <c r="F95" i="27"/>
  <c r="K99" i="27"/>
  <c r="F99" i="27"/>
  <c r="K122" i="27"/>
  <c r="F122" i="27"/>
  <c r="K104" i="27"/>
  <c r="F104" i="27"/>
  <c r="K112" i="27"/>
  <c r="F112" i="27"/>
  <c r="K102" i="27"/>
  <c r="F102" i="27"/>
  <c r="K103" i="27"/>
  <c r="F103" i="27"/>
  <c r="K97" i="27"/>
  <c r="F97" i="27"/>
  <c r="K105" i="27"/>
  <c r="F105" i="27"/>
  <c r="K116" i="27"/>
  <c r="F116" i="27"/>
  <c r="K109" i="27"/>
  <c r="F109" i="27"/>
  <c r="K108" i="27"/>
  <c r="F108" i="27"/>
  <c r="K128" i="27"/>
  <c r="F128" i="27"/>
  <c r="K125" i="27"/>
  <c r="F125" i="27"/>
  <c r="K107" i="27"/>
  <c r="F107" i="27"/>
  <c r="K111" i="27"/>
  <c r="F111" i="27"/>
  <c r="K121" i="27"/>
  <c r="F121" i="27"/>
  <c r="K110" i="27"/>
  <c r="F110" i="27"/>
  <c r="K101" i="27"/>
  <c r="F101" i="27"/>
  <c r="K115" i="27"/>
  <c r="F115" i="27"/>
  <c r="K114" i="27"/>
  <c r="F114" i="27"/>
  <c r="K100" i="27"/>
  <c r="F100" i="27"/>
  <c r="K118" i="27"/>
  <c r="F118" i="27"/>
  <c r="K124" i="27"/>
  <c r="F124" i="27"/>
  <c r="K96" i="27"/>
  <c r="F96" i="27"/>
  <c r="K94" i="27"/>
  <c r="F94" i="27"/>
  <c r="E84" i="27"/>
  <c r="E81" i="27"/>
  <c r="E71" i="27"/>
  <c r="E92" i="27"/>
  <c r="E85" i="27"/>
  <c r="E88" i="27"/>
  <c r="E86" i="27"/>
  <c r="E79" i="27"/>
  <c r="E77" i="27"/>
  <c r="E91" i="27"/>
  <c r="E82" i="27"/>
  <c r="E89" i="27"/>
  <c r="E93" i="27"/>
  <c r="E80" i="27"/>
  <c r="E68" i="27"/>
  <c r="E76" i="27"/>
  <c r="E90" i="27"/>
  <c r="E75" i="27"/>
  <c r="E83" i="27"/>
  <c r="E74" i="27"/>
  <c r="E72" i="27"/>
  <c r="E70" i="27"/>
  <c r="E78" i="27"/>
  <c r="E73" i="27"/>
  <c r="E66" i="27"/>
  <c r="E87" i="27"/>
  <c r="E65" i="27"/>
  <c r="E67" i="27"/>
  <c r="E60" i="27"/>
  <c r="E58" i="27"/>
  <c r="E69" i="27"/>
  <c r="E61" i="27"/>
  <c r="E62" i="27"/>
  <c r="E59" i="27"/>
  <c r="E63" i="27"/>
  <c r="E57" i="27"/>
  <c r="E64" i="27"/>
  <c r="E52" i="27"/>
  <c r="E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D94" i="27"/>
  <c r="K84" i="27"/>
  <c r="F84" i="27"/>
  <c r="D71" i="27"/>
  <c r="D72" i="27"/>
  <c r="D74" i="27"/>
  <c r="D79" i="27"/>
  <c r="D80" i="27"/>
  <c r="D81" i="27"/>
  <c r="D82" i="27"/>
  <c r="D83" i="27"/>
  <c r="D75" i="27"/>
  <c r="D88" i="27"/>
  <c r="D89" i="27"/>
  <c r="D90" i="27"/>
  <c r="D76" i="27"/>
  <c r="D68" i="27"/>
  <c r="D91" i="27"/>
  <c r="D92" i="27"/>
  <c r="D93" i="27"/>
  <c r="D77" i="27"/>
  <c r="D84" i="27"/>
  <c r="D85" i="27"/>
  <c r="D86" i="27"/>
  <c r="K81" i="27"/>
  <c r="F81" i="27"/>
  <c r="K71" i="27"/>
  <c r="F71" i="27"/>
  <c r="K92" i="27"/>
  <c r="F92" i="27"/>
  <c r="K85" i="27"/>
  <c r="F85" i="27"/>
  <c r="K88" i="27"/>
  <c r="F88" i="27"/>
  <c r="K86" i="27"/>
  <c r="F86" i="27"/>
  <c r="K79" i="27"/>
  <c r="F79" i="27"/>
  <c r="K77" i="27"/>
  <c r="F77" i="27"/>
  <c r="K91" i="27"/>
  <c r="F91" i="27"/>
  <c r="K82" i="27"/>
  <c r="F82" i="27"/>
  <c r="K89" i="27"/>
  <c r="F89" i="27"/>
  <c r="K93" i="27"/>
  <c r="F93" i="27"/>
  <c r="K80" i="27"/>
  <c r="F80" i="27"/>
  <c r="K68" i="27"/>
  <c r="F68" i="27"/>
  <c r="K76" i="27"/>
  <c r="F76" i="27"/>
  <c r="K90" i="27"/>
  <c r="F90" i="27"/>
  <c r="K75" i="27"/>
  <c r="F75" i="27"/>
  <c r="K83" i="27"/>
  <c r="F83" i="27"/>
  <c r="K74" i="27"/>
  <c r="F74" i="27"/>
  <c r="K72" i="27"/>
  <c r="F72" i="27"/>
  <c r="K70" i="27"/>
  <c r="F70" i="27"/>
  <c r="D78" i="27"/>
  <c r="D70" i="27"/>
  <c r="K78" i="27"/>
  <c r="F78" i="27"/>
  <c r="K73" i="27"/>
  <c r="F73" i="27"/>
  <c r="D73" i="27"/>
  <c r="K66" i="27"/>
  <c r="F66" i="27"/>
  <c r="D87" i="27"/>
  <c r="D66" i="27"/>
  <c r="K87" i="27"/>
  <c r="F87" i="27"/>
  <c r="K65" i="27"/>
  <c r="F65" i="27"/>
  <c r="D65" i="27"/>
  <c r="K67" i="27"/>
  <c r="F67" i="27"/>
  <c r="D67" i="27"/>
  <c r="K60" i="27"/>
  <c r="F60" i="27"/>
  <c r="D57" i="27"/>
  <c r="D58" i="27"/>
  <c r="D59" i="27"/>
  <c r="D60" i="27"/>
  <c r="D61" i="27"/>
  <c r="D62" i="27"/>
  <c r="D63" i="27"/>
  <c r="D64" i="27"/>
  <c r="D69" i="27"/>
  <c r="K58" i="27"/>
  <c r="F58" i="27"/>
  <c r="K69" i="27"/>
  <c r="F69" i="27"/>
  <c r="K61" i="27"/>
  <c r="F61" i="27"/>
  <c r="K62" i="27"/>
  <c r="F62" i="27"/>
  <c r="K59" i="27"/>
  <c r="F59" i="27"/>
  <c r="K63" i="27"/>
  <c r="F63" i="27"/>
  <c r="K57" i="27"/>
  <c r="F57" i="27"/>
  <c r="K64" i="27"/>
  <c r="F64" i="27"/>
  <c r="K52" i="27"/>
  <c r="F52" i="27"/>
  <c r="E49" i="27"/>
  <c r="E39" i="27"/>
  <c r="E13" i="27"/>
  <c r="E51" i="27"/>
  <c r="E30" i="27"/>
  <c r="E21" i="27"/>
  <c r="E38" i="27"/>
  <c r="E32" i="27"/>
  <c r="E43" i="27"/>
  <c r="E35" i="27"/>
  <c r="E16" i="27"/>
  <c r="E41" i="27"/>
  <c r="E33" i="27"/>
  <c r="E31" i="27"/>
  <c r="E20" i="27"/>
  <c r="E18" i="27"/>
  <c r="E36" i="27"/>
  <c r="E28" i="27"/>
  <c r="E27" i="27"/>
  <c r="E42" i="27"/>
  <c r="E15" i="27"/>
  <c r="E17" i="27"/>
  <c r="E25" i="27"/>
  <c r="E29" i="27"/>
  <c r="E24" i="27"/>
  <c r="E34" i="27"/>
  <c r="E26" i="27"/>
  <c r="E19" i="27"/>
  <c r="E23" i="27"/>
  <c r="E12" i="27"/>
  <c r="E22" i="27"/>
  <c r="E8" i="27"/>
  <c r="E7" i="27"/>
  <c r="E10" i="27"/>
  <c r="E14" i="27"/>
  <c r="E6" i="27"/>
  <c r="E5" i="27"/>
  <c r="E9" i="27"/>
  <c r="E11" i="27"/>
  <c r="E4" i="27"/>
  <c r="C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E40" i="27"/>
  <c r="E37" i="27"/>
  <c r="C35" i="27"/>
  <c r="C36" i="27"/>
  <c r="C37" i="27"/>
  <c r="C38" i="27"/>
  <c r="C39" i="27"/>
  <c r="C40" i="27"/>
  <c r="C41" i="27"/>
  <c r="C42" i="27"/>
  <c r="C43" i="27"/>
  <c r="E50" i="27"/>
  <c r="E48" i="27"/>
  <c r="E47" i="27"/>
  <c r="E46" i="27"/>
  <c r="E45" i="27"/>
  <c r="E44" i="27"/>
  <c r="C44" i="27"/>
  <c r="C45" i="27"/>
  <c r="C46" i="27"/>
  <c r="C47" i="27"/>
  <c r="C48" i="27"/>
  <c r="C49" i="27"/>
  <c r="C50" i="27"/>
  <c r="C51" i="27"/>
  <c r="D44" i="27"/>
  <c r="D45" i="27"/>
  <c r="D46" i="27"/>
  <c r="D47" i="27"/>
  <c r="D48" i="27"/>
  <c r="D49" i="27"/>
  <c r="D40" i="27"/>
  <c r="D37" i="27"/>
  <c r="C52" i="27"/>
  <c r="D52" i="27"/>
  <c r="D53" i="27"/>
  <c r="D54" i="27"/>
  <c r="D50" i="27"/>
  <c r="D55" i="27"/>
  <c r="D56" i="27"/>
  <c r="E55" i="27"/>
  <c r="E53" i="27"/>
  <c r="E54" i="27"/>
  <c r="C53" i="27"/>
  <c r="C54" i="27"/>
  <c r="C55" i="27"/>
  <c r="C56" i="27"/>
  <c r="K55" i="27"/>
  <c r="F55" i="27"/>
  <c r="K47" i="27"/>
  <c r="F47" i="27"/>
  <c r="K56" i="27"/>
  <c r="F56" i="27"/>
  <c r="K50" i="27"/>
  <c r="F50" i="27"/>
  <c r="K53" i="27"/>
  <c r="F53" i="27"/>
  <c r="K44" i="27"/>
  <c r="F44" i="27"/>
  <c r="K48" i="27"/>
  <c r="F48" i="27"/>
  <c r="K45" i="27"/>
  <c r="F45" i="27"/>
  <c r="K54" i="27"/>
  <c r="F54" i="27"/>
  <c r="K37" i="27"/>
  <c r="F37" i="27"/>
  <c r="K46" i="27"/>
  <c r="F46" i="27"/>
  <c r="K40" i="27"/>
  <c r="F40" i="27"/>
  <c r="K49" i="27"/>
  <c r="F49" i="27"/>
  <c r="K39" i="27"/>
  <c r="F39" i="27"/>
  <c r="D39" i="27"/>
  <c r="K13" i="27"/>
  <c r="F13" i="27"/>
  <c r="D13" i="27"/>
  <c r="K51" i="27"/>
  <c r="F51" i="27"/>
  <c r="D51" i="27"/>
  <c r="K30" i="27"/>
  <c r="F30" i="27"/>
  <c r="D30" i="27"/>
  <c r="K21" i="27"/>
  <c r="F21" i="27"/>
  <c r="D24" i="27"/>
  <c r="D27" i="27"/>
  <c r="D28" i="27"/>
  <c r="D29" i="27"/>
  <c r="D25" i="27"/>
  <c r="D15" i="27"/>
  <c r="D16" i="27"/>
  <c r="D17" i="27"/>
  <c r="D41" i="27"/>
  <c r="D42" i="27"/>
  <c r="D35" i="27"/>
  <c r="D36" i="27"/>
  <c r="D18" i="27"/>
  <c r="D20" i="27"/>
  <c r="D31" i="27"/>
  <c r="D32" i="27"/>
  <c r="D33" i="27"/>
  <c r="D43" i="27"/>
  <c r="D38" i="27"/>
  <c r="D21" i="27"/>
  <c r="K38" i="27"/>
  <c r="F38" i="27"/>
  <c r="K32" i="27"/>
  <c r="F32" i="27"/>
  <c r="K43" i="27"/>
  <c r="F43" i="27"/>
  <c r="K35" i="27"/>
  <c r="F35" i="27"/>
  <c r="K16" i="27"/>
  <c r="F16" i="27"/>
  <c r="K41" i="27"/>
  <c r="F41" i="27"/>
  <c r="K33" i="27"/>
  <c r="F33" i="27"/>
  <c r="K31" i="27"/>
  <c r="F31" i="27"/>
  <c r="K20" i="27"/>
  <c r="F20" i="27"/>
  <c r="K18" i="27"/>
  <c r="F18" i="27"/>
  <c r="K36" i="27"/>
  <c r="F36" i="27"/>
  <c r="K28" i="27"/>
  <c r="F28" i="27"/>
  <c r="K27" i="27"/>
  <c r="F27" i="27"/>
  <c r="K42" i="27"/>
  <c r="F42" i="27"/>
  <c r="K15" i="27"/>
  <c r="F15" i="27"/>
  <c r="K17" i="27"/>
  <c r="F17" i="27"/>
  <c r="K25" i="27"/>
  <c r="F25" i="27"/>
  <c r="K29" i="27"/>
  <c r="F29" i="27"/>
  <c r="K24" i="27"/>
  <c r="F24" i="27"/>
  <c r="K34" i="27"/>
  <c r="F34" i="27"/>
  <c r="D34" i="27"/>
  <c r="K26" i="27"/>
  <c r="F26" i="27"/>
  <c r="D26" i="27"/>
  <c r="K19" i="27"/>
  <c r="F19" i="27"/>
  <c r="D12" i="27"/>
  <c r="D23" i="27"/>
  <c r="D19" i="27"/>
  <c r="K23" i="27"/>
  <c r="F23" i="27"/>
  <c r="K12" i="27"/>
  <c r="F12" i="27"/>
  <c r="K22" i="27"/>
  <c r="F22" i="27"/>
  <c r="D22" i="27"/>
  <c r="K8" i="27"/>
  <c r="F8" i="27"/>
  <c r="D8" i="27"/>
  <c r="K7" i="27"/>
  <c r="F7" i="27"/>
  <c r="D7" i="27"/>
  <c r="D9" i="27"/>
  <c r="D10" i="27"/>
  <c r="D11" i="27"/>
  <c r="D5" i="27"/>
  <c r="D6" i="27"/>
  <c r="D14" i="27"/>
  <c r="K10" i="27"/>
  <c r="F10" i="27"/>
  <c r="K14" i="27"/>
  <c r="F14" i="27"/>
  <c r="K6" i="27"/>
  <c r="F6" i="27"/>
  <c r="K5" i="27"/>
  <c r="F5" i="27"/>
  <c r="K9" i="27"/>
  <c r="F9" i="27"/>
  <c r="K11" i="27"/>
  <c r="F11" i="27"/>
  <c r="K4" i="27"/>
  <c r="F4" i="27"/>
  <c r="E3" i="27"/>
  <c r="E2" i="27"/>
  <c r="C2" i="27"/>
  <c r="C3" i="27"/>
  <c r="C4" i="27"/>
  <c r="D4" i="27"/>
  <c r="K3" i="27"/>
  <c r="F3" i="27"/>
  <c r="D3" i="27"/>
  <c r="K2" i="27"/>
  <c r="F2" i="27"/>
  <c r="D2" i="27"/>
  <c r="R1" i="27"/>
  <c r="S1" i="27"/>
  <c r="T1" i="27"/>
  <c r="U1" i="27"/>
  <c r="V1" i="27"/>
  <c r="W1" i="27"/>
  <c r="X1" i="27"/>
  <c r="Y1" i="27"/>
  <c r="Z1" i="27"/>
  <c r="AA1" i="27"/>
  <c r="AB1" i="27"/>
  <c r="AC1" i="27"/>
  <c r="K387" i="26"/>
  <c r="F387" i="26"/>
  <c r="E387" i="26"/>
  <c r="C387" i="26"/>
  <c r="D387" i="26"/>
  <c r="K385" i="26"/>
  <c r="F385" i="26"/>
  <c r="E385" i="26"/>
  <c r="C385" i="26"/>
  <c r="D385" i="26"/>
  <c r="K382" i="26"/>
  <c r="F382" i="26"/>
  <c r="E382" i="26"/>
  <c r="E381" i="26"/>
  <c r="C382" i="26"/>
  <c r="D382" i="26"/>
  <c r="K381" i="26"/>
  <c r="F381" i="26"/>
  <c r="E378" i="26"/>
  <c r="C378" i="26"/>
  <c r="D378" i="26"/>
  <c r="D379" i="26"/>
  <c r="D380" i="26"/>
  <c r="D381" i="26"/>
  <c r="E380" i="26"/>
  <c r="E379" i="26"/>
  <c r="C379" i="26"/>
  <c r="C380" i="26"/>
  <c r="C381" i="26"/>
  <c r="K380" i="26"/>
  <c r="F380" i="26"/>
  <c r="K379" i="26"/>
  <c r="F379" i="26"/>
  <c r="K378" i="26"/>
  <c r="F378" i="26"/>
  <c r="K375" i="26"/>
  <c r="F375" i="26"/>
  <c r="E375" i="26"/>
  <c r="E374" i="26"/>
  <c r="E373" i="26"/>
  <c r="C374" i="26"/>
  <c r="D374" i="26"/>
  <c r="D375" i="26"/>
  <c r="C375" i="26"/>
  <c r="K374" i="26"/>
  <c r="F374" i="26"/>
  <c r="K373" i="26"/>
  <c r="F373" i="26"/>
  <c r="E372" i="26"/>
  <c r="E371" i="26"/>
  <c r="C372" i="26"/>
  <c r="D372" i="26"/>
  <c r="D373" i="26"/>
  <c r="C373" i="26"/>
  <c r="K372" i="26"/>
  <c r="F372" i="26"/>
  <c r="K371" i="26"/>
  <c r="F371" i="26"/>
  <c r="E370" i="26"/>
  <c r="C370" i="26"/>
  <c r="D370" i="26"/>
  <c r="D371" i="26"/>
  <c r="C371" i="26"/>
  <c r="K370" i="26"/>
  <c r="F370" i="26"/>
  <c r="K367" i="26"/>
  <c r="F367" i="26"/>
  <c r="E367" i="26"/>
  <c r="C367" i="26"/>
  <c r="D367" i="26"/>
  <c r="K365" i="26"/>
  <c r="F365" i="26"/>
  <c r="E365" i="26"/>
  <c r="C365" i="26"/>
  <c r="D365" i="26"/>
  <c r="K363" i="26"/>
  <c r="F363" i="26"/>
  <c r="E363" i="26"/>
  <c r="E362" i="26"/>
  <c r="E361" i="26"/>
  <c r="C362" i="26"/>
  <c r="C363" i="26"/>
  <c r="D363" i="26"/>
  <c r="K362" i="26"/>
  <c r="F362" i="26"/>
  <c r="E360" i="26"/>
  <c r="C360" i="26"/>
  <c r="D360" i="26"/>
  <c r="D361" i="26"/>
  <c r="D362" i="26"/>
  <c r="K361" i="26"/>
  <c r="F361" i="26"/>
  <c r="C361" i="26"/>
  <c r="K360" i="26"/>
  <c r="F360" i="26"/>
  <c r="K358" i="26"/>
  <c r="F358" i="26"/>
  <c r="E358" i="26"/>
  <c r="E357" i="26"/>
  <c r="E356" i="26"/>
  <c r="C357" i="26"/>
  <c r="D357" i="26"/>
  <c r="D358" i="26"/>
  <c r="C358" i="26"/>
  <c r="K357" i="26"/>
  <c r="F357" i="26"/>
  <c r="K356" i="26"/>
  <c r="F356" i="26"/>
  <c r="C356" i="26"/>
  <c r="D356" i="26"/>
  <c r="K354" i="26"/>
  <c r="F354" i="26"/>
  <c r="E354" i="26"/>
  <c r="E353" i="26"/>
  <c r="E352" i="26"/>
  <c r="E351" i="26"/>
  <c r="C352" i="26"/>
  <c r="C353" i="26"/>
  <c r="C354" i="26"/>
  <c r="D354" i="26"/>
  <c r="K353" i="26"/>
  <c r="F353" i="26"/>
  <c r="D352" i="26"/>
  <c r="D353" i="26"/>
  <c r="K352" i="26"/>
  <c r="F352" i="26"/>
  <c r="K351" i="26"/>
  <c r="F351" i="26"/>
  <c r="E344" i="26"/>
  <c r="E343" i="26"/>
  <c r="C344" i="26"/>
  <c r="D344" i="26"/>
  <c r="D345" i="26"/>
  <c r="D346" i="26"/>
  <c r="D347" i="26"/>
  <c r="D348" i="26"/>
  <c r="D349" i="26"/>
  <c r="D350" i="26"/>
  <c r="D351" i="26"/>
  <c r="E350" i="26"/>
  <c r="E349" i="26"/>
  <c r="E348" i="26"/>
  <c r="E347" i="26"/>
  <c r="E346" i="26"/>
  <c r="E345" i="26"/>
  <c r="C345" i="26"/>
  <c r="C346" i="26"/>
  <c r="C347" i="26"/>
  <c r="C348" i="26"/>
  <c r="C349" i="26"/>
  <c r="C350" i="26"/>
  <c r="C351" i="26"/>
  <c r="K350" i="26"/>
  <c r="F350" i="26"/>
  <c r="K349" i="26"/>
  <c r="F349" i="26"/>
  <c r="K348" i="26"/>
  <c r="F348" i="26"/>
  <c r="K347" i="26"/>
  <c r="F347" i="26"/>
  <c r="K346" i="26"/>
  <c r="F346" i="26"/>
  <c r="K345" i="26"/>
  <c r="F345" i="26"/>
  <c r="K344" i="26"/>
  <c r="F344" i="26"/>
  <c r="K343" i="26"/>
  <c r="F343" i="26"/>
  <c r="E342" i="26"/>
  <c r="C342" i="26"/>
  <c r="D342" i="26"/>
  <c r="D343" i="26"/>
  <c r="C343" i="26"/>
  <c r="K342" i="26"/>
  <c r="F342" i="26"/>
  <c r="K340" i="26"/>
  <c r="F340" i="26"/>
  <c r="E340" i="26"/>
  <c r="E334" i="26"/>
  <c r="E333" i="26"/>
  <c r="E332" i="26"/>
  <c r="E331" i="26"/>
  <c r="E330" i="26"/>
  <c r="E329" i="26"/>
  <c r="E328" i="26"/>
  <c r="E327" i="26"/>
  <c r="E326" i="26"/>
  <c r="E325" i="26"/>
  <c r="E324" i="26"/>
  <c r="E323" i="26"/>
  <c r="E322" i="26"/>
  <c r="E321" i="26"/>
  <c r="E320" i="26"/>
  <c r="E319" i="26"/>
  <c r="E318" i="26"/>
  <c r="E317" i="26"/>
  <c r="E316" i="26"/>
  <c r="E315" i="26"/>
  <c r="E314" i="26"/>
  <c r="E313" i="26"/>
  <c r="C314" i="26"/>
  <c r="C315" i="26"/>
  <c r="C316" i="26"/>
  <c r="C317" i="26"/>
  <c r="C318" i="26"/>
  <c r="C319" i="26"/>
  <c r="C320" i="26"/>
  <c r="C321" i="26"/>
  <c r="C322" i="26"/>
  <c r="C323" i="26"/>
  <c r="C324" i="26"/>
  <c r="C325" i="26"/>
  <c r="C326" i="26"/>
  <c r="C327" i="26"/>
  <c r="C328" i="26"/>
  <c r="C329" i="26"/>
  <c r="C330" i="26"/>
  <c r="C331" i="26"/>
  <c r="C332" i="26"/>
  <c r="C333" i="26"/>
  <c r="C334" i="26"/>
  <c r="D334" i="26"/>
  <c r="D335" i="26"/>
  <c r="D336" i="26"/>
  <c r="D337" i="26"/>
  <c r="D338" i="26"/>
  <c r="D339" i="26"/>
  <c r="D340" i="26"/>
  <c r="E339" i="26"/>
  <c r="E338" i="26"/>
  <c r="E337" i="26"/>
  <c r="E336" i="26"/>
  <c r="E335" i="26"/>
  <c r="C335" i="26"/>
  <c r="C336" i="26"/>
  <c r="C337" i="26"/>
  <c r="C338" i="26"/>
  <c r="C339" i="26"/>
  <c r="C340" i="26"/>
  <c r="K339" i="26"/>
  <c r="F339" i="26"/>
  <c r="K338" i="26"/>
  <c r="F338" i="26"/>
  <c r="K337" i="26"/>
  <c r="F337" i="26"/>
  <c r="K336" i="26"/>
  <c r="F336" i="26"/>
  <c r="K335" i="26"/>
  <c r="F335" i="26"/>
  <c r="K334" i="26"/>
  <c r="F334" i="26"/>
  <c r="K333" i="26"/>
  <c r="F333" i="26"/>
  <c r="D333" i="26"/>
  <c r="K332" i="26"/>
  <c r="F332" i="26"/>
  <c r="D332" i="26"/>
  <c r="K331" i="26"/>
  <c r="F331" i="26"/>
  <c r="D331" i="26"/>
  <c r="K330" i="26"/>
  <c r="F330" i="26"/>
  <c r="D314" i="26"/>
  <c r="D315" i="26"/>
  <c r="D316" i="26"/>
  <c r="D317" i="26"/>
  <c r="D318" i="26"/>
  <c r="D319" i="26"/>
  <c r="D320" i="26"/>
  <c r="D321" i="26"/>
  <c r="D322" i="26"/>
  <c r="D323" i="26"/>
  <c r="D324" i="26"/>
  <c r="D325" i="26"/>
  <c r="D326" i="26"/>
  <c r="D327" i="26"/>
  <c r="D328" i="26"/>
  <c r="D329" i="26"/>
  <c r="D330" i="26"/>
  <c r="K329" i="26"/>
  <c r="F329" i="26"/>
  <c r="K328" i="26"/>
  <c r="F328" i="26"/>
  <c r="K327" i="26"/>
  <c r="F327" i="26"/>
  <c r="K326" i="26"/>
  <c r="F326" i="26"/>
  <c r="K325" i="26"/>
  <c r="F325" i="26"/>
  <c r="K324" i="26"/>
  <c r="F324" i="26"/>
  <c r="K323" i="26"/>
  <c r="F323" i="26"/>
  <c r="K322" i="26"/>
  <c r="F322" i="26"/>
  <c r="K321" i="26"/>
  <c r="F321" i="26"/>
  <c r="K320" i="26"/>
  <c r="F320" i="26"/>
  <c r="K319" i="26"/>
  <c r="F319" i="26"/>
  <c r="K318" i="26"/>
  <c r="F318" i="26"/>
  <c r="K317" i="26"/>
  <c r="F317" i="26"/>
  <c r="K316" i="26"/>
  <c r="F316" i="26"/>
  <c r="K315" i="26"/>
  <c r="F315" i="26"/>
  <c r="K314" i="26"/>
  <c r="F314" i="26"/>
  <c r="K313" i="26"/>
  <c r="F313" i="26"/>
  <c r="E307" i="26"/>
  <c r="E306" i="26"/>
  <c r="E305" i="26"/>
  <c r="E304" i="26"/>
  <c r="E303" i="26"/>
  <c r="E302" i="26"/>
  <c r="E301" i="26"/>
  <c r="E300" i="26"/>
  <c r="E299" i="26"/>
  <c r="E298" i="26"/>
  <c r="E297" i="26"/>
  <c r="E296" i="26"/>
  <c r="E295" i="26"/>
  <c r="E294" i="26"/>
  <c r="E293" i="26"/>
  <c r="E292" i="26"/>
  <c r="E291" i="26"/>
  <c r="E290" i="26"/>
  <c r="E289" i="26"/>
  <c r="E288" i="26"/>
  <c r="E287" i="26"/>
  <c r="E286" i="26"/>
  <c r="E285" i="26"/>
  <c r="E284" i="26"/>
  <c r="E283" i="26"/>
  <c r="E282" i="26"/>
  <c r="E281" i="26"/>
  <c r="E280" i="26"/>
  <c r="C281" i="26"/>
  <c r="C282" i="26"/>
  <c r="C283" i="26"/>
  <c r="C284" i="26"/>
  <c r="C285" i="26"/>
  <c r="C286" i="26"/>
  <c r="C287" i="26"/>
  <c r="C288" i="26"/>
  <c r="C289" i="26"/>
  <c r="C290" i="26"/>
  <c r="C291" i="26"/>
  <c r="C292" i="26"/>
  <c r="C293" i="26"/>
  <c r="C294" i="26"/>
  <c r="C295" i="26"/>
  <c r="C296" i="26"/>
  <c r="C297" i="26"/>
  <c r="C298" i="26"/>
  <c r="C299" i="26"/>
  <c r="C300" i="26"/>
  <c r="C301" i="26"/>
  <c r="C302" i="26"/>
  <c r="C303" i="26"/>
  <c r="C304" i="26"/>
  <c r="C305" i="26"/>
  <c r="C306" i="26"/>
  <c r="C307" i="26"/>
  <c r="D307" i="26"/>
  <c r="D308" i="26"/>
  <c r="D309" i="26"/>
  <c r="D310" i="26"/>
  <c r="D311" i="26"/>
  <c r="D312" i="26"/>
  <c r="D313" i="26"/>
  <c r="E312" i="26"/>
  <c r="E311" i="26"/>
  <c r="E310" i="26"/>
  <c r="E309" i="26"/>
  <c r="E308" i="26"/>
  <c r="C308" i="26"/>
  <c r="C309" i="26"/>
  <c r="C310" i="26"/>
  <c r="C311" i="26"/>
  <c r="C312" i="26"/>
  <c r="C313" i="26"/>
  <c r="K312" i="26"/>
  <c r="F312" i="26"/>
  <c r="K311" i="26"/>
  <c r="F311" i="26"/>
  <c r="K310" i="26"/>
  <c r="F310" i="26"/>
  <c r="K309" i="26"/>
  <c r="F309" i="26"/>
  <c r="K308" i="26"/>
  <c r="F308" i="26"/>
  <c r="K307" i="26"/>
  <c r="F307" i="26"/>
  <c r="K306" i="26"/>
  <c r="F306" i="26"/>
  <c r="D306" i="26"/>
  <c r="K305" i="26"/>
  <c r="F305" i="26"/>
  <c r="D305" i="26"/>
  <c r="K304" i="26"/>
  <c r="F304" i="26"/>
  <c r="D304" i="26"/>
  <c r="K303" i="26"/>
  <c r="F303" i="26"/>
  <c r="D281" i="26"/>
  <c r="D282" i="26"/>
  <c r="D283" i="26"/>
  <c r="D284" i="26"/>
  <c r="D285" i="26"/>
  <c r="D286" i="26"/>
  <c r="D287" i="26"/>
  <c r="D288" i="26"/>
  <c r="D289" i="26"/>
  <c r="D290" i="26"/>
  <c r="D291" i="26"/>
  <c r="D292" i="26"/>
  <c r="D293" i="26"/>
  <c r="D294" i="26"/>
  <c r="D295" i="26"/>
  <c r="D296" i="26"/>
  <c r="D297" i="26"/>
  <c r="D298" i="26"/>
  <c r="D299" i="26"/>
  <c r="D300" i="26"/>
  <c r="D301" i="26"/>
  <c r="D302" i="26"/>
  <c r="D303" i="26"/>
  <c r="K302" i="26"/>
  <c r="F302" i="26"/>
  <c r="K301" i="26"/>
  <c r="F301" i="26"/>
  <c r="K300" i="26"/>
  <c r="F300" i="26"/>
  <c r="K299" i="26"/>
  <c r="F299" i="26"/>
  <c r="K298" i="26"/>
  <c r="F298" i="26"/>
  <c r="K297" i="26"/>
  <c r="F297" i="26"/>
  <c r="K296" i="26"/>
  <c r="F296" i="26"/>
  <c r="K295" i="26"/>
  <c r="F295" i="26"/>
  <c r="K294" i="26"/>
  <c r="F294" i="26"/>
  <c r="K293" i="26"/>
  <c r="F293" i="26"/>
  <c r="K292" i="26"/>
  <c r="F292" i="26"/>
  <c r="K291" i="26"/>
  <c r="F291" i="26"/>
  <c r="K290" i="26"/>
  <c r="F290" i="26"/>
  <c r="K289" i="26"/>
  <c r="F289" i="26"/>
  <c r="K288" i="26"/>
  <c r="F288" i="26"/>
  <c r="K287" i="26"/>
  <c r="F287" i="26"/>
  <c r="K286" i="26"/>
  <c r="F286" i="26"/>
  <c r="K285" i="26"/>
  <c r="F285" i="26"/>
  <c r="K284" i="26"/>
  <c r="F284" i="26"/>
  <c r="K283" i="26"/>
  <c r="F283" i="26"/>
  <c r="K282" i="26"/>
  <c r="F282" i="26"/>
  <c r="K281" i="26"/>
  <c r="F281" i="26"/>
  <c r="K280" i="26"/>
  <c r="F280" i="26"/>
  <c r="E269" i="26"/>
  <c r="E268" i="26"/>
  <c r="E267" i="26"/>
  <c r="E266" i="26"/>
  <c r="E265" i="26"/>
  <c r="E264" i="26"/>
  <c r="E263" i="26"/>
  <c r="E262" i="26"/>
  <c r="E261" i="26"/>
  <c r="E260" i="26"/>
  <c r="E259" i="26"/>
  <c r="E258" i="26"/>
  <c r="E257" i="26"/>
  <c r="E256" i="26"/>
  <c r="E255" i="26"/>
  <c r="E254" i="26"/>
  <c r="E253" i="26"/>
  <c r="E252" i="26"/>
  <c r="E251" i="26"/>
  <c r="E250" i="26"/>
  <c r="E249" i="26"/>
  <c r="E248" i="26"/>
  <c r="E247" i="26"/>
  <c r="E246" i="26"/>
  <c r="E245" i="26"/>
  <c r="E244" i="26"/>
  <c r="E243" i="26"/>
  <c r="E242" i="26"/>
  <c r="E241" i="26"/>
  <c r="E240" i="26"/>
  <c r="E239" i="26"/>
  <c r="E238" i="26"/>
  <c r="E237" i="26"/>
  <c r="E236" i="26"/>
  <c r="E235" i="26"/>
  <c r="E234" i="26"/>
  <c r="E233" i="26"/>
  <c r="E232" i="26"/>
  <c r="E231" i="26"/>
  <c r="E230" i="26"/>
  <c r="E229" i="26"/>
  <c r="E228" i="26"/>
  <c r="E227" i="26"/>
  <c r="E226" i="26"/>
  <c r="E225" i="26"/>
  <c r="E224" i="26"/>
  <c r="C225" i="26"/>
  <c r="C226" i="26"/>
  <c r="C227" i="26"/>
  <c r="C228" i="26"/>
  <c r="C229" i="26"/>
  <c r="C230" i="26"/>
  <c r="C231" i="26"/>
  <c r="C232" i="26"/>
  <c r="C233" i="26"/>
  <c r="C234" i="26"/>
  <c r="C235" i="26"/>
  <c r="C236" i="26"/>
  <c r="C237" i="26"/>
  <c r="C238" i="26"/>
  <c r="C239" i="26"/>
  <c r="C240" i="26"/>
  <c r="C241" i="26"/>
  <c r="C242" i="26"/>
  <c r="C243" i="26"/>
  <c r="C244" i="26"/>
  <c r="C245" i="26"/>
  <c r="C246" i="26"/>
  <c r="C247" i="26"/>
  <c r="C248" i="26"/>
  <c r="C249" i="26"/>
  <c r="C250" i="26"/>
  <c r="C251" i="26"/>
  <c r="C252" i="26"/>
  <c r="C253" i="26"/>
  <c r="C254" i="26"/>
  <c r="C255" i="26"/>
  <c r="C256" i="26"/>
  <c r="C257" i="26"/>
  <c r="C258" i="26"/>
  <c r="C259" i="26"/>
  <c r="C260" i="26"/>
  <c r="C261" i="26"/>
  <c r="C262" i="26"/>
  <c r="C263" i="26"/>
  <c r="C264" i="26"/>
  <c r="C265" i="26"/>
  <c r="C266" i="26"/>
  <c r="C267" i="26"/>
  <c r="C268" i="26"/>
  <c r="C269" i="26"/>
  <c r="D269" i="26"/>
  <c r="D270" i="26"/>
  <c r="D271" i="26"/>
  <c r="D272" i="26"/>
  <c r="D273" i="26"/>
  <c r="D274" i="26"/>
  <c r="D275" i="26"/>
  <c r="D276" i="26"/>
  <c r="D277" i="26"/>
  <c r="D278" i="26"/>
  <c r="D279" i="26"/>
  <c r="D280" i="26"/>
  <c r="E279" i="26"/>
  <c r="E278" i="26"/>
  <c r="E277" i="26"/>
  <c r="E276" i="26"/>
  <c r="E275" i="26"/>
  <c r="E274" i="26"/>
  <c r="E273" i="26"/>
  <c r="E272" i="26"/>
  <c r="E271" i="26"/>
  <c r="E270" i="26"/>
  <c r="C270" i="26"/>
  <c r="C271" i="26"/>
  <c r="C272" i="26"/>
  <c r="C273" i="26"/>
  <c r="C274" i="26"/>
  <c r="C275" i="26"/>
  <c r="C276" i="26"/>
  <c r="C277" i="26"/>
  <c r="C278" i="26"/>
  <c r="C279" i="26"/>
  <c r="C280" i="26"/>
  <c r="K279" i="26"/>
  <c r="F279" i="26"/>
  <c r="K278" i="26"/>
  <c r="F278" i="26"/>
  <c r="K277" i="26"/>
  <c r="F277" i="26"/>
  <c r="K276" i="26"/>
  <c r="F276" i="26"/>
  <c r="K275" i="26"/>
  <c r="F275" i="26"/>
  <c r="K274" i="26"/>
  <c r="F274" i="26"/>
  <c r="K273" i="26"/>
  <c r="F273" i="26"/>
  <c r="K272" i="26"/>
  <c r="F272" i="26"/>
  <c r="K271" i="26"/>
  <c r="F271" i="26"/>
  <c r="K270" i="26"/>
  <c r="F270" i="26"/>
  <c r="K269" i="26"/>
  <c r="F269" i="26"/>
  <c r="K268" i="26"/>
  <c r="F268" i="26"/>
  <c r="D268" i="26"/>
  <c r="K267" i="26"/>
  <c r="F267" i="26"/>
  <c r="D267" i="26"/>
  <c r="K266" i="26"/>
  <c r="F266" i="26"/>
  <c r="D266" i="26"/>
  <c r="K265" i="26"/>
  <c r="F265" i="26"/>
  <c r="D265" i="26"/>
  <c r="K264" i="26"/>
  <c r="F264" i="26"/>
  <c r="D258" i="26"/>
  <c r="D259" i="26"/>
  <c r="D260" i="26"/>
  <c r="D261" i="26"/>
  <c r="D262" i="26"/>
  <c r="D263" i="26"/>
  <c r="D264" i="26"/>
  <c r="K263" i="26"/>
  <c r="F263" i="26"/>
  <c r="K262" i="26"/>
  <c r="F262" i="26"/>
  <c r="K261" i="26"/>
  <c r="F261" i="26"/>
  <c r="K260" i="26"/>
  <c r="F260" i="26"/>
  <c r="K259" i="26"/>
  <c r="F259" i="26"/>
  <c r="K258" i="26"/>
  <c r="F258" i="26"/>
  <c r="K257" i="26"/>
  <c r="F257" i="26"/>
  <c r="D257" i="26"/>
  <c r="K256" i="26"/>
  <c r="F256" i="26"/>
  <c r="D255" i="26"/>
  <c r="D256" i="26"/>
  <c r="K255" i="26"/>
  <c r="F255" i="26"/>
  <c r="K254" i="26"/>
  <c r="F254" i="26"/>
  <c r="D254" i="26"/>
  <c r="K253" i="26"/>
  <c r="F253" i="26"/>
  <c r="D225" i="26"/>
  <c r="D226" i="26"/>
  <c r="D227" i="26"/>
  <c r="D228" i="26"/>
  <c r="D229" i="26"/>
  <c r="D230" i="26"/>
  <c r="D231" i="26"/>
  <c r="D232" i="26"/>
  <c r="D233" i="26"/>
  <c r="D234" i="26"/>
  <c r="D235" i="26"/>
  <c r="D236" i="26"/>
  <c r="D237" i="26"/>
  <c r="D238" i="26"/>
  <c r="D239" i="26"/>
  <c r="D240" i="26"/>
  <c r="D241" i="26"/>
  <c r="D242" i="26"/>
  <c r="D243" i="26"/>
  <c r="D244" i="26"/>
  <c r="D245" i="26"/>
  <c r="D246" i="26"/>
  <c r="D247" i="26"/>
  <c r="D248" i="26"/>
  <c r="D249" i="26"/>
  <c r="D250" i="26"/>
  <c r="D251" i="26"/>
  <c r="D252" i="26"/>
  <c r="D253" i="26"/>
  <c r="K252" i="26"/>
  <c r="F252" i="26"/>
  <c r="K251" i="26"/>
  <c r="F251" i="26"/>
  <c r="K250" i="26"/>
  <c r="F250" i="26"/>
  <c r="K249" i="26"/>
  <c r="F249" i="26"/>
  <c r="K248" i="26"/>
  <c r="F248" i="26"/>
  <c r="K247" i="26"/>
  <c r="F247" i="26"/>
  <c r="K246" i="26"/>
  <c r="F246" i="26"/>
  <c r="K245" i="26"/>
  <c r="F245" i="26"/>
  <c r="K244" i="26"/>
  <c r="F244" i="26"/>
  <c r="K243" i="26"/>
  <c r="F243" i="26"/>
  <c r="K242" i="26"/>
  <c r="F242" i="26"/>
  <c r="K241" i="26"/>
  <c r="F241" i="26"/>
  <c r="K240" i="26"/>
  <c r="F240" i="26"/>
  <c r="K239" i="26"/>
  <c r="F239" i="26"/>
  <c r="K238" i="26"/>
  <c r="F238" i="26"/>
  <c r="K237" i="26"/>
  <c r="F237" i="26"/>
  <c r="K236" i="26"/>
  <c r="F236" i="26"/>
  <c r="K235" i="26"/>
  <c r="F235" i="26"/>
  <c r="K234" i="26"/>
  <c r="F234" i="26"/>
  <c r="K233" i="26"/>
  <c r="F233" i="26"/>
  <c r="K232" i="26"/>
  <c r="F232" i="26"/>
  <c r="K231" i="26"/>
  <c r="F231" i="26"/>
  <c r="K230" i="26"/>
  <c r="F230" i="26"/>
  <c r="K229" i="26"/>
  <c r="F229" i="26"/>
  <c r="K228" i="26"/>
  <c r="F228" i="26"/>
  <c r="K227" i="26"/>
  <c r="F227" i="26"/>
  <c r="K226" i="26"/>
  <c r="F226" i="26"/>
  <c r="K225" i="26"/>
  <c r="F225" i="26"/>
  <c r="K224" i="26"/>
  <c r="F224" i="26"/>
  <c r="E208" i="26"/>
  <c r="E207" i="26"/>
  <c r="E206" i="26"/>
  <c r="E205" i="26"/>
  <c r="E204" i="26"/>
  <c r="E203" i="26"/>
  <c r="E202" i="26"/>
  <c r="E201" i="26"/>
  <c r="E200" i="26"/>
  <c r="E199" i="26"/>
  <c r="E198" i="26"/>
  <c r="E197" i="26"/>
  <c r="E196" i="26"/>
  <c r="E195" i="26"/>
  <c r="E194" i="26"/>
  <c r="E193" i="26"/>
  <c r="E192" i="26"/>
  <c r="E191" i="26"/>
  <c r="E190" i="26"/>
  <c r="E189" i="26"/>
  <c r="E188" i="26"/>
  <c r="E187" i="26"/>
  <c r="E186" i="26"/>
  <c r="E185" i="26"/>
  <c r="E184" i="26"/>
  <c r="E183" i="26"/>
  <c r="E182" i="26"/>
  <c r="E181" i="26"/>
  <c r="E180" i="26"/>
  <c r="E179" i="26"/>
  <c r="E178" i="26"/>
  <c r="E177" i="26"/>
  <c r="E176" i="26"/>
  <c r="E175" i="26"/>
  <c r="E174" i="26"/>
  <c r="E173" i="26"/>
  <c r="E172" i="26"/>
  <c r="E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D208" i="26"/>
  <c r="D209" i="26"/>
  <c r="D210" i="26"/>
  <c r="D211" i="26"/>
  <c r="D212" i="26"/>
  <c r="D213" i="26"/>
  <c r="D214" i="26"/>
  <c r="D215" i="26"/>
  <c r="D216" i="26"/>
  <c r="D217" i="26"/>
  <c r="D218" i="26"/>
  <c r="D219" i="26"/>
  <c r="D220" i="26"/>
  <c r="D221" i="26"/>
  <c r="D222" i="26"/>
  <c r="D223" i="26"/>
  <c r="D224" i="26"/>
  <c r="E223" i="26"/>
  <c r="E222" i="26"/>
  <c r="E221" i="26"/>
  <c r="E220" i="26"/>
  <c r="E219" i="26"/>
  <c r="E218" i="26"/>
  <c r="E217" i="26"/>
  <c r="E216" i="26"/>
  <c r="E215" i="26"/>
  <c r="E214" i="26"/>
  <c r="E213" i="26"/>
  <c r="E212" i="26"/>
  <c r="E211" i="26"/>
  <c r="E210" i="26"/>
  <c r="E209" i="26"/>
  <c r="C209" i="26"/>
  <c r="C210" i="26"/>
  <c r="C211" i="26"/>
  <c r="C212" i="26"/>
  <c r="C213" i="26"/>
  <c r="C214" i="26"/>
  <c r="C215" i="26"/>
  <c r="C216" i="26"/>
  <c r="C217" i="26"/>
  <c r="C218" i="26"/>
  <c r="C219" i="26"/>
  <c r="C220" i="26"/>
  <c r="C221" i="26"/>
  <c r="C222" i="26"/>
  <c r="C223" i="26"/>
  <c r="C224" i="26"/>
  <c r="K223" i="26"/>
  <c r="F223" i="26"/>
  <c r="K222" i="26"/>
  <c r="F222" i="26"/>
  <c r="K221" i="26"/>
  <c r="F221" i="26"/>
  <c r="K220" i="26"/>
  <c r="F220" i="26"/>
  <c r="K219" i="26"/>
  <c r="F219" i="26"/>
  <c r="K218" i="26"/>
  <c r="F218" i="26"/>
  <c r="K217" i="26"/>
  <c r="F217" i="26"/>
  <c r="K216" i="26"/>
  <c r="F216" i="26"/>
  <c r="K215" i="26"/>
  <c r="F215" i="26"/>
  <c r="K214" i="26"/>
  <c r="F214" i="26"/>
  <c r="K213" i="26"/>
  <c r="F213" i="26"/>
  <c r="K212" i="26"/>
  <c r="F212" i="26"/>
  <c r="K211" i="26"/>
  <c r="F211" i="26"/>
  <c r="K210" i="26"/>
  <c r="F210" i="26"/>
  <c r="K209" i="26"/>
  <c r="F209" i="26"/>
  <c r="K208" i="26"/>
  <c r="F208" i="26"/>
  <c r="K207" i="26"/>
  <c r="F207" i="26"/>
  <c r="D207" i="26"/>
  <c r="K206" i="26"/>
  <c r="F206" i="26"/>
  <c r="D206" i="26"/>
  <c r="K205" i="26"/>
  <c r="F205" i="26"/>
  <c r="D202" i="26"/>
  <c r="D203" i="26"/>
  <c r="D204" i="26"/>
  <c r="D205" i="26"/>
  <c r="K204" i="26"/>
  <c r="F204" i="26"/>
  <c r="K203" i="26"/>
  <c r="F203" i="26"/>
  <c r="K202" i="26"/>
  <c r="F202" i="26"/>
  <c r="K201" i="26"/>
  <c r="F201" i="26"/>
  <c r="D201" i="26"/>
  <c r="K200" i="26"/>
  <c r="F200" i="26"/>
  <c r="D172" i="26"/>
  <c r="D173" i="26"/>
  <c r="D174" i="26"/>
  <c r="D175" i="26"/>
  <c r="D176" i="26"/>
  <c r="D177" i="26"/>
  <c r="D178" i="26"/>
  <c r="D179" i="26"/>
  <c r="D180" i="26"/>
  <c r="D181" i="26"/>
  <c r="D182" i="26"/>
  <c r="D183" i="26"/>
  <c r="D184" i="26"/>
  <c r="D185" i="26"/>
  <c r="D186" i="26"/>
  <c r="D187" i="26"/>
  <c r="D188" i="26"/>
  <c r="D189" i="26"/>
  <c r="D190" i="26"/>
  <c r="D191" i="26"/>
  <c r="D192" i="26"/>
  <c r="D193" i="26"/>
  <c r="D194" i="26"/>
  <c r="D195" i="26"/>
  <c r="D196" i="26"/>
  <c r="D197" i="26"/>
  <c r="D198" i="26"/>
  <c r="D199" i="26"/>
  <c r="D200" i="26"/>
  <c r="K199" i="26"/>
  <c r="F199" i="26"/>
  <c r="K198" i="26"/>
  <c r="F198" i="26"/>
  <c r="K197" i="26"/>
  <c r="F197" i="26"/>
  <c r="K196" i="26"/>
  <c r="F196" i="26"/>
  <c r="K195" i="26"/>
  <c r="F195" i="26"/>
  <c r="K194" i="26"/>
  <c r="F194" i="26"/>
  <c r="K193" i="26"/>
  <c r="F193" i="26"/>
  <c r="K192" i="26"/>
  <c r="F192" i="26"/>
  <c r="K191" i="26"/>
  <c r="F191" i="26"/>
  <c r="K190" i="26"/>
  <c r="F190" i="26"/>
  <c r="K189" i="26"/>
  <c r="F189" i="26"/>
  <c r="K188" i="26"/>
  <c r="F188" i="26"/>
  <c r="K187" i="26"/>
  <c r="F187" i="26"/>
  <c r="K186" i="26"/>
  <c r="F186" i="26"/>
  <c r="K185" i="26"/>
  <c r="F185" i="26"/>
  <c r="K184" i="26"/>
  <c r="F184" i="26"/>
  <c r="K183" i="26"/>
  <c r="F183" i="26"/>
  <c r="K182" i="26"/>
  <c r="F182" i="26"/>
  <c r="K181" i="26"/>
  <c r="F181" i="26"/>
  <c r="K180" i="26"/>
  <c r="F180" i="26"/>
  <c r="K179" i="26"/>
  <c r="F179" i="26"/>
  <c r="K178" i="26"/>
  <c r="F178" i="26"/>
  <c r="K177" i="26"/>
  <c r="F177" i="26"/>
  <c r="K176" i="26"/>
  <c r="F176" i="26"/>
  <c r="K175" i="26"/>
  <c r="F175" i="26"/>
  <c r="K174" i="26"/>
  <c r="F174" i="26"/>
  <c r="K173" i="26"/>
  <c r="F173" i="26"/>
  <c r="K172" i="26"/>
  <c r="F172" i="26"/>
  <c r="K171" i="26"/>
  <c r="F171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D148" i="26"/>
  <c r="D149" i="26"/>
  <c r="D150" i="26"/>
  <c r="D151" i="26"/>
  <c r="D152" i="26"/>
  <c r="D153" i="26"/>
  <c r="D154" i="26"/>
  <c r="D155" i="26"/>
  <c r="D156" i="26"/>
  <c r="D157" i="26"/>
  <c r="D158" i="26"/>
  <c r="D159" i="26"/>
  <c r="D160" i="26"/>
  <c r="D161" i="26"/>
  <c r="D162" i="26"/>
  <c r="D163" i="26"/>
  <c r="D164" i="26"/>
  <c r="D165" i="26"/>
  <c r="D166" i="26"/>
  <c r="D167" i="26"/>
  <c r="D168" i="26"/>
  <c r="D169" i="26"/>
  <c r="D170" i="26"/>
  <c r="D171" i="26"/>
  <c r="E170" i="2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K170" i="26"/>
  <c r="F170" i="26"/>
  <c r="K169" i="26"/>
  <c r="F169" i="26"/>
  <c r="K168" i="26"/>
  <c r="F168" i="26"/>
  <c r="K167" i="26"/>
  <c r="F167" i="26"/>
  <c r="K166" i="26"/>
  <c r="F166" i="26"/>
  <c r="K165" i="26"/>
  <c r="F165" i="26"/>
  <c r="K164" i="26"/>
  <c r="F164" i="26"/>
  <c r="K163" i="26"/>
  <c r="F163" i="26"/>
  <c r="K162" i="26"/>
  <c r="F162" i="26"/>
  <c r="K161" i="26"/>
  <c r="F161" i="26"/>
  <c r="K160" i="26"/>
  <c r="F160" i="26"/>
  <c r="K159" i="26"/>
  <c r="F159" i="26"/>
  <c r="K158" i="26"/>
  <c r="F158" i="26"/>
  <c r="K157" i="26"/>
  <c r="F157" i="26"/>
  <c r="K156" i="26"/>
  <c r="F156" i="26"/>
  <c r="K155" i="26"/>
  <c r="F155" i="26"/>
  <c r="K154" i="26"/>
  <c r="F154" i="26"/>
  <c r="K153" i="26"/>
  <c r="F153" i="26"/>
  <c r="K152" i="26"/>
  <c r="F152" i="26"/>
  <c r="K151" i="26"/>
  <c r="F151" i="26"/>
  <c r="K150" i="26"/>
  <c r="F150" i="26"/>
  <c r="K149" i="26"/>
  <c r="F149" i="26"/>
  <c r="K148" i="26"/>
  <c r="F148" i="26"/>
  <c r="K147" i="26"/>
  <c r="F147" i="26"/>
  <c r="D147" i="26"/>
  <c r="K146" i="26"/>
  <c r="F146" i="26"/>
  <c r="D146" i="26"/>
  <c r="K145" i="26"/>
  <c r="F145" i="26"/>
  <c r="D145" i="26"/>
  <c r="K144" i="26"/>
  <c r="F144" i="26"/>
  <c r="D142" i="26"/>
  <c r="D143" i="26"/>
  <c r="D144" i="26"/>
  <c r="K143" i="26"/>
  <c r="F143" i="26"/>
  <c r="K142" i="26"/>
  <c r="F142" i="26"/>
  <c r="K141" i="26"/>
  <c r="F141" i="26"/>
  <c r="D139" i="26"/>
  <c r="D140" i="26"/>
  <c r="D141" i="26"/>
  <c r="K140" i="26"/>
  <c r="F140" i="26"/>
  <c r="K139" i="26"/>
  <c r="F139" i="26"/>
  <c r="K138" i="26"/>
  <c r="F138" i="26"/>
  <c r="D137" i="26"/>
  <c r="D138" i="26"/>
  <c r="K137" i="26"/>
  <c r="F137" i="26"/>
  <c r="K136" i="26"/>
  <c r="F136" i="26"/>
  <c r="D136" i="26"/>
  <c r="K135" i="26"/>
  <c r="F135" i="26"/>
  <c r="D134" i="26"/>
  <c r="D135" i="26"/>
  <c r="K134" i="26"/>
  <c r="F134" i="26"/>
  <c r="K133" i="26"/>
  <c r="F133" i="26"/>
  <c r="D133" i="26"/>
  <c r="K132" i="26"/>
  <c r="F132" i="26"/>
  <c r="D103" i="26"/>
  <c r="D104" i="26"/>
  <c r="D105" i="26"/>
  <c r="D106" i="26"/>
  <c r="D107" i="26"/>
  <c r="D108" i="26"/>
  <c r="D109" i="26"/>
  <c r="D110" i="26"/>
  <c r="D111" i="26"/>
  <c r="D112" i="26"/>
  <c r="D113" i="26"/>
  <c r="D114" i="26"/>
  <c r="D115" i="26"/>
  <c r="D116" i="26"/>
  <c r="D117" i="26"/>
  <c r="D118" i="26"/>
  <c r="D119" i="26"/>
  <c r="D120" i="26"/>
  <c r="D121" i="26"/>
  <c r="D122" i="26"/>
  <c r="D123" i="26"/>
  <c r="D124" i="26"/>
  <c r="D125" i="26"/>
  <c r="D126" i="26"/>
  <c r="D127" i="26"/>
  <c r="D128" i="26"/>
  <c r="D129" i="26"/>
  <c r="D130" i="26"/>
  <c r="D131" i="26"/>
  <c r="D132" i="26"/>
  <c r="K131" i="26"/>
  <c r="F131" i="26"/>
  <c r="K130" i="26"/>
  <c r="F130" i="26"/>
  <c r="K129" i="26"/>
  <c r="F129" i="26"/>
  <c r="K128" i="26"/>
  <c r="F128" i="26"/>
  <c r="K127" i="26"/>
  <c r="F127" i="26"/>
  <c r="K126" i="26"/>
  <c r="F126" i="26"/>
  <c r="K125" i="26"/>
  <c r="F125" i="26"/>
  <c r="K124" i="26"/>
  <c r="F124" i="26"/>
  <c r="K123" i="26"/>
  <c r="F123" i="26"/>
  <c r="K122" i="26"/>
  <c r="F122" i="26"/>
  <c r="K121" i="26"/>
  <c r="F121" i="26"/>
  <c r="K120" i="26"/>
  <c r="F120" i="26"/>
  <c r="K119" i="26"/>
  <c r="F119" i="26"/>
  <c r="K118" i="26"/>
  <c r="F118" i="26"/>
  <c r="K117" i="26"/>
  <c r="F117" i="26"/>
  <c r="K116" i="26"/>
  <c r="F116" i="26"/>
  <c r="K115" i="26"/>
  <c r="F115" i="26"/>
  <c r="K114" i="26"/>
  <c r="F114" i="26"/>
  <c r="K113" i="26"/>
  <c r="F113" i="26"/>
  <c r="K112" i="26"/>
  <c r="F112" i="26"/>
  <c r="K111" i="26"/>
  <c r="F111" i="26"/>
  <c r="K110" i="26"/>
  <c r="F110" i="26"/>
  <c r="K109" i="26"/>
  <c r="F109" i="26"/>
  <c r="K108" i="26"/>
  <c r="F108" i="26"/>
  <c r="K107" i="26"/>
  <c r="F107" i="26"/>
  <c r="K106" i="26"/>
  <c r="F106" i="26"/>
  <c r="K105" i="26"/>
  <c r="F105" i="26"/>
  <c r="K104" i="26"/>
  <c r="F104" i="26"/>
  <c r="K103" i="26"/>
  <c r="F103" i="26"/>
  <c r="K102" i="26"/>
  <c r="F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D102" i="26"/>
  <c r="K101" i="26"/>
  <c r="F101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K100" i="26"/>
  <c r="F100" i="26"/>
  <c r="K99" i="26"/>
  <c r="F99" i="26"/>
  <c r="K98" i="26"/>
  <c r="F98" i="26"/>
  <c r="K97" i="26"/>
  <c r="F97" i="26"/>
  <c r="K96" i="26"/>
  <c r="F96" i="26"/>
  <c r="K95" i="26"/>
  <c r="F95" i="26"/>
  <c r="K94" i="26"/>
  <c r="F94" i="26"/>
  <c r="K93" i="26"/>
  <c r="F93" i="26"/>
  <c r="K92" i="26"/>
  <c r="F92" i="26"/>
  <c r="K91" i="26"/>
  <c r="F91" i="26"/>
  <c r="K90" i="26"/>
  <c r="F90" i="26"/>
  <c r="K89" i="26"/>
  <c r="F89" i="26"/>
  <c r="K88" i="26"/>
  <c r="F88" i="26"/>
  <c r="K87" i="26"/>
  <c r="F87" i="26"/>
  <c r="K86" i="26"/>
  <c r="F86" i="26"/>
  <c r="K85" i="26"/>
  <c r="F85" i="26"/>
  <c r="K84" i="26"/>
  <c r="F84" i="26"/>
  <c r="K83" i="26"/>
  <c r="F83" i="26"/>
  <c r="K82" i="26"/>
  <c r="F82" i="26"/>
  <c r="K81" i="26"/>
  <c r="F81" i="26"/>
  <c r="K80" i="26"/>
  <c r="F80" i="26"/>
  <c r="D79" i="26"/>
  <c r="D80" i="26"/>
  <c r="K79" i="26"/>
  <c r="F79" i="26"/>
  <c r="K78" i="26"/>
  <c r="F78" i="26"/>
  <c r="D78" i="26"/>
  <c r="K77" i="26"/>
  <c r="F77" i="26"/>
  <c r="D76" i="26"/>
  <c r="D77" i="26"/>
  <c r="K76" i="26"/>
  <c r="F76" i="26"/>
  <c r="K75" i="26"/>
  <c r="F75" i="26"/>
  <c r="D75" i="26"/>
  <c r="K74" i="26"/>
  <c r="F74" i="26"/>
  <c r="D74" i="26"/>
  <c r="K73" i="26"/>
  <c r="F73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K72" i="26"/>
  <c r="F72" i="26"/>
  <c r="K71" i="26"/>
  <c r="F71" i="26"/>
  <c r="K70" i="26"/>
  <c r="F70" i="26"/>
  <c r="K69" i="26"/>
  <c r="F69" i="26"/>
  <c r="K68" i="26"/>
  <c r="F68" i="26"/>
  <c r="K67" i="26"/>
  <c r="F67" i="26"/>
  <c r="K66" i="26"/>
  <c r="F66" i="26"/>
  <c r="K65" i="26"/>
  <c r="F65" i="26"/>
  <c r="K64" i="26"/>
  <c r="F64" i="26"/>
  <c r="K63" i="26"/>
  <c r="F63" i="26"/>
  <c r="K62" i="26"/>
  <c r="F62" i="26"/>
  <c r="K61" i="26"/>
  <c r="F61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K60" i="26"/>
  <c r="F60" i="26"/>
  <c r="K59" i="26"/>
  <c r="F59" i="26"/>
  <c r="K58" i="26"/>
  <c r="F58" i="26"/>
  <c r="K57" i="26"/>
  <c r="F57" i="26"/>
  <c r="K56" i="26"/>
  <c r="F56" i="26"/>
  <c r="K55" i="26"/>
  <c r="F55" i="26"/>
  <c r="K54" i="26"/>
  <c r="F54" i="26"/>
  <c r="K53" i="26"/>
  <c r="F53" i="26"/>
  <c r="K52" i="26"/>
  <c r="F52" i="26"/>
  <c r="K51" i="26"/>
  <c r="F51" i="26"/>
  <c r="K50" i="26"/>
  <c r="F50" i="26"/>
  <c r="K49" i="26"/>
  <c r="F49" i="26"/>
  <c r="K48" i="26"/>
  <c r="F48" i="26"/>
  <c r="K47" i="26"/>
  <c r="F47" i="26"/>
  <c r="K46" i="26"/>
  <c r="F46" i="26"/>
  <c r="K45" i="26"/>
  <c r="F45" i="26"/>
  <c r="D45" i="26"/>
  <c r="K44" i="26"/>
  <c r="F44" i="26"/>
  <c r="D44" i="26"/>
  <c r="K43" i="26"/>
  <c r="F43" i="26"/>
  <c r="D43" i="26"/>
  <c r="K42" i="26"/>
  <c r="F42" i="26"/>
  <c r="D42" i="26"/>
  <c r="K41" i="26"/>
  <c r="F41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K40" i="26"/>
  <c r="F40" i="26"/>
  <c r="K39" i="26"/>
  <c r="F39" i="26"/>
  <c r="K38" i="26"/>
  <c r="F38" i="26"/>
  <c r="K37" i="26"/>
  <c r="F37" i="26"/>
  <c r="K36" i="26"/>
  <c r="F36" i="26"/>
  <c r="K35" i="26"/>
  <c r="F35" i="26"/>
  <c r="K34" i="26"/>
  <c r="F34" i="26"/>
  <c r="K33" i="26"/>
  <c r="F33" i="26"/>
  <c r="K32" i="26"/>
  <c r="F32" i="26"/>
  <c r="K31" i="26"/>
  <c r="F31" i="26"/>
  <c r="K30" i="26"/>
  <c r="F30" i="26"/>
  <c r="K29" i="26"/>
  <c r="F29" i="26"/>
  <c r="K28" i="26"/>
  <c r="F28" i="26"/>
  <c r="K27" i="26"/>
  <c r="F27" i="26"/>
  <c r="K26" i="26"/>
  <c r="F26" i="26"/>
  <c r="K25" i="26"/>
  <c r="F25" i="26"/>
  <c r="K24" i="26"/>
  <c r="F24" i="26"/>
  <c r="K23" i="26"/>
  <c r="F23" i="26"/>
  <c r="K22" i="26"/>
  <c r="F22" i="26"/>
  <c r="K21" i="26"/>
  <c r="F21" i="26"/>
  <c r="K20" i="26"/>
  <c r="F20" i="26"/>
  <c r="D20" i="26"/>
  <c r="K19" i="26"/>
  <c r="F19" i="26"/>
  <c r="D19" i="26"/>
  <c r="K18" i="26"/>
  <c r="F18" i="26"/>
  <c r="D16" i="26"/>
  <c r="D17" i="26"/>
  <c r="D18" i="26"/>
  <c r="K17" i="26"/>
  <c r="F17" i="26"/>
  <c r="K16" i="26"/>
  <c r="F16" i="26"/>
  <c r="K15" i="26"/>
  <c r="F15" i="26"/>
  <c r="D15" i="26"/>
  <c r="K14" i="26"/>
  <c r="F14" i="26"/>
  <c r="D14" i="26"/>
  <c r="K13" i="26"/>
  <c r="F13" i="26"/>
  <c r="D13" i="26"/>
  <c r="K12" i="26"/>
  <c r="F12" i="26"/>
  <c r="D5" i="26"/>
  <c r="D6" i="26"/>
  <c r="D7" i="26"/>
  <c r="D8" i="26"/>
  <c r="D9" i="26"/>
  <c r="D10" i="26"/>
  <c r="D11" i="26"/>
  <c r="D12" i="26"/>
  <c r="K11" i="26"/>
  <c r="F11" i="26"/>
  <c r="K10" i="26"/>
  <c r="F10" i="26"/>
  <c r="K9" i="26"/>
  <c r="F9" i="26"/>
  <c r="K8" i="26"/>
  <c r="F8" i="26"/>
  <c r="K7" i="26"/>
  <c r="F7" i="26"/>
  <c r="K6" i="26"/>
  <c r="F6" i="26"/>
  <c r="K5" i="26"/>
  <c r="F5" i="26"/>
  <c r="K4" i="26"/>
  <c r="F4" i="26"/>
  <c r="E3" i="26"/>
  <c r="E2" i="26"/>
  <c r="C2" i="26"/>
  <c r="C3" i="26"/>
  <c r="C4" i="26"/>
  <c r="D4" i="26"/>
  <c r="K3" i="26"/>
  <c r="F3" i="26"/>
  <c r="D3" i="26"/>
  <c r="K2" i="26"/>
  <c r="F2" i="26"/>
  <c r="D2" i="26"/>
  <c r="R1" i="26"/>
  <c r="S1" i="26"/>
  <c r="T1" i="26"/>
  <c r="U1" i="26"/>
  <c r="V1" i="26"/>
  <c r="W1" i="26"/>
  <c r="X1" i="26"/>
  <c r="Y1" i="26"/>
  <c r="Z1" i="26"/>
  <c r="AA1" i="26"/>
  <c r="AB1" i="26"/>
  <c r="AC1" i="26"/>
  <c r="AW10" i="20"/>
  <c r="AW9" i="20"/>
  <c r="AW8" i="20"/>
  <c r="AW7" i="20"/>
  <c r="AW6" i="20"/>
  <c r="AW5" i="20"/>
  <c r="AW4" i="20"/>
  <c r="AW3" i="20"/>
  <c r="A259" i="21"/>
  <c r="AE255" i="21"/>
  <c r="AE201" i="21"/>
  <c r="AE202" i="21"/>
  <c r="AE203" i="21"/>
  <c r="AE204" i="21"/>
  <c r="AE205" i="21"/>
  <c r="AE206" i="21"/>
  <c r="AC255" i="21"/>
  <c r="AC201" i="21"/>
  <c r="AC202" i="21"/>
  <c r="AC203" i="21"/>
  <c r="AC204" i="21"/>
  <c r="AC205" i="21"/>
  <c r="AC206" i="21"/>
  <c r="AE256" i="21"/>
  <c r="AE257" i="21"/>
  <c r="AC256" i="21"/>
  <c r="AC257" i="21"/>
  <c r="AB255" i="21"/>
  <c r="AB201" i="21"/>
  <c r="AB202" i="21"/>
  <c r="AB203" i="21"/>
  <c r="AB204" i="21"/>
  <c r="AB205" i="21"/>
  <c r="AB206" i="21"/>
  <c r="Z255" i="21"/>
  <c r="Z201" i="21"/>
  <c r="Z202" i="21"/>
  <c r="Z203" i="21"/>
  <c r="Z204" i="21"/>
  <c r="Z205" i="21"/>
  <c r="Z206" i="21"/>
  <c r="AB256" i="21"/>
  <c r="AB257" i="21"/>
  <c r="Z256" i="21"/>
  <c r="Z257" i="21"/>
  <c r="Y255" i="21"/>
  <c r="Y201" i="21"/>
  <c r="Y202" i="21"/>
  <c r="Y203" i="21"/>
  <c r="Y204" i="21"/>
  <c r="Y205" i="21"/>
  <c r="Y206" i="21"/>
  <c r="W255" i="21"/>
  <c r="W201" i="21"/>
  <c r="W202" i="21"/>
  <c r="W203" i="21"/>
  <c r="W204" i="21"/>
  <c r="W205" i="21"/>
  <c r="W206" i="21"/>
  <c r="Y256" i="21"/>
  <c r="Y257" i="21"/>
  <c r="W256" i="21"/>
  <c r="W257" i="21"/>
  <c r="V255" i="21"/>
  <c r="V201" i="21"/>
  <c r="V202" i="21"/>
  <c r="V203" i="21"/>
  <c r="V204" i="21"/>
  <c r="V205" i="21"/>
  <c r="V206" i="21"/>
  <c r="T255" i="21"/>
  <c r="T201" i="21"/>
  <c r="T202" i="21"/>
  <c r="T203" i="21"/>
  <c r="T204" i="21"/>
  <c r="T205" i="21"/>
  <c r="T206" i="21"/>
  <c r="V256" i="21"/>
  <c r="V257" i="21"/>
  <c r="T256" i="21"/>
  <c r="T257" i="21"/>
  <c r="N243" i="21"/>
  <c r="P243" i="21"/>
  <c r="K243" i="21"/>
  <c r="M243" i="21"/>
  <c r="H243" i="21"/>
  <c r="H201" i="21"/>
  <c r="H202" i="21"/>
  <c r="H203" i="21"/>
  <c r="H204" i="21"/>
  <c r="H205" i="21"/>
  <c r="H234" i="21"/>
  <c r="J234" i="21"/>
  <c r="H235" i="21"/>
  <c r="J201" i="21"/>
  <c r="J202" i="21"/>
  <c r="J203" i="21"/>
  <c r="J204" i="21"/>
  <c r="J205" i="21"/>
  <c r="J235" i="21"/>
  <c r="H236" i="21"/>
  <c r="J236" i="21"/>
  <c r="H237" i="21"/>
  <c r="J237" i="21"/>
  <c r="H238" i="21"/>
  <c r="J238" i="21"/>
  <c r="I241" i="21"/>
  <c r="J243" i="21"/>
  <c r="E234" i="21"/>
  <c r="G234" i="21"/>
  <c r="E201" i="21"/>
  <c r="E202" i="21"/>
  <c r="E203" i="21"/>
  <c r="E204" i="21"/>
  <c r="E205" i="21"/>
  <c r="E235" i="21"/>
  <c r="G235" i="21"/>
  <c r="E236" i="21"/>
  <c r="G201" i="21"/>
  <c r="G202" i="21"/>
  <c r="G203" i="21"/>
  <c r="G204" i="21"/>
  <c r="G205" i="21"/>
  <c r="G236" i="21"/>
  <c r="E237" i="21"/>
  <c r="G237" i="21"/>
  <c r="E238" i="21"/>
  <c r="G238" i="21"/>
  <c r="F241" i="21"/>
  <c r="E243" i="21"/>
  <c r="B243" i="21"/>
  <c r="D243" i="21"/>
  <c r="E95" i="20"/>
  <c r="V265" i="20"/>
  <c r="E180" i="21"/>
  <c r="B250" i="21"/>
  <c r="E8" i="20"/>
  <c r="B79" i="20"/>
  <c r="AT79" i="20"/>
  <c r="E10" i="20"/>
  <c r="B80" i="20"/>
  <c r="AT80" i="20"/>
  <c r="E12" i="20"/>
  <c r="B81" i="20"/>
  <c r="AT81" i="20"/>
  <c r="E14" i="20"/>
  <c r="B82" i="20"/>
  <c r="AT82" i="20"/>
  <c r="AC72" i="20"/>
  <c r="AE72" i="20"/>
  <c r="Z72" i="20"/>
  <c r="AB72" i="20"/>
  <c r="W72" i="20"/>
  <c r="Y72" i="20"/>
  <c r="T72" i="20"/>
  <c r="V72" i="20"/>
  <c r="Q31" i="20"/>
  <c r="Q32" i="20"/>
  <c r="Q33" i="20"/>
  <c r="Q34" i="20"/>
  <c r="Q35" i="20"/>
  <c r="Q64" i="20"/>
  <c r="S64" i="20"/>
  <c r="Q65" i="20"/>
  <c r="S31" i="20"/>
  <c r="S32" i="20"/>
  <c r="S33" i="20"/>
  <c r="S34" i="20"/>
  <c r="S35" i="20"/>
  <c r="S65" i="20"/>
  <c r="Q66" i="20"/>
  <c r="S66" i="20"/>
  <c r="Q67" i="20"/>
  <c r="S67" i="20"/>
  <c r="Q68" i="20"/>
  <c r="S68" i="20"/>
  <c r="R71" i="20"/>
  <c r="Q72" i="20"/>
  <c r="N72" i="20"/>
  <c r="P72" i="20"/>
  <c r="K31" i="20"/>
  <c r="K32" i="20"/>
  <c r="K33" i="20"/>
  <c r="K34" i="20"/>
  <c r="K35" i="20"/>
  <c r="K64" i="20"/>
  <c r="M64" i="20"/>
  <c r="K65" i="20"/>
  <c r="M65" i="20"/>
  <c r="K66" i="20"/>
  <c r="M31" i="20"/>
  <c r="M32" i="20"/>
  <c r="M33" i="20"/>
  <c r="M34" i="20"/>
  <c r="M35" i="20"/>
  <c r="M66" i="20"/>
  <c r="K67" i="20"/>
  <c r="M67" i="20"/>
  <c r="K68" i="20"/>
  <c r="M68" i="20"/>
  <c r="L71" i="20"/>
  <c r="K72" i="20"/>
  <c r="H72" i="20"/>
  <c r="J72" i="20"/>
  <c r="E31" i="20"/>
  <c r="E32" i="20"/>
  <c r="E33" i="20"/>
  <c r="E34" i="20"/>
  <c r="E35" i="20"/>
  <c r="E64" i="20"/>
  <c r="G64" i="20"/>
  <c r="E65" i="20"/>
  <c r="G65" i="20"/>
  <c r="E66" i="20"/>
  <c r="G66" i="20"/>
  <c r="E67" i="20"/>
  <c r="G31" i="20"/>
  <c r="G32" i="20"/>
  <c r="G33" i="20"/>
  <c r="G34" i="20"/>
  <c r="G35" i="20"/>
  <c r="G67" i="20"/>
  <c r="E68" i="20"/>
  <c r="G68" i="20"/>
  <c r="F71" i="20"/>
  <c r="E72" i="20"/>
  <c r="B72" i="20"/>
  <c r="D72" i="20"/>
  <c r="C79" i="20"/>
  <c r="D79" i="20"/>
  <c r="E85" i="20"/>
  <c r="E36" i="20"/>
  <c r="B75" i="20"/>
  <c r="D75" i="20"/>
  <c r="C82" i="20"/>
  <c r="D82" i="20"/>
  <c r="G85" i="20"/>
  <c r="G36" i="20"/>
  <c r="E86" i="20"/>
  <c r="E87" i="20"/>
  <c r="G79" i="20"/>
  <c r="J79" i="20"/>
  <c r="K85" i="20"/>
  <c r="K36" i="20"/>
  <c r="H74" i="20"/>
  <c r="J74" i="20"/>
  <c r="E74" i="20"/>
  <c r="G74" i="20"/>
  <c r="B74" i="20"/>
  <c r="B64" i="20"/>
  <c r="D64" i="20"/>
  <c r="B31" i="20"/>
  <c r="B32" i="20"/>
  <c r="B33" i="20"/>
  <c r="B34" i="20"/>
  <c r="B35" i="20"/>
  <c r="B65" i="20"/>
  <c r="D65" i="20"/>
  <c r="B66" i="20"/>
  <c r="D31" i="20"/>
  <c r="D32" i="20"/>
  <c r="D33" i="20"/>
  <c r="D34" i="20"/>
  <c r="D35" i="20"/>
  <c r="D66" i="20"/>
  <c r="B67" i="20"/>
  <c r="D67" i="20"/>
  <c r="B68" i="20"/>
  <c r="D68" i="20"/>
  <c r="C71" i="20"/>
  <c r="D74" i="20"/>
  <c r="C81" i="20"/>
  <c r="D85" i="20"/>
  <c r="D36" i="20"/>
  <c r="C80" i="20"/>
  <c r="B85" i="20"/>
  <c r="B36" i="20"/>
  <c r="D86" i="20"/>
  <c r="D87" i="20"/>
  <c r="D81" i="20"/>
  <c r="G81" i="20"/>
  <c r="J81" i="20"/>
  <c r="M85" i="20"/>
  <c r="M36" i="20"/>
  <c r="K86" i="20"/>
  <c r="K87" i="20"/>
  <c r="M79" i="20"/>
  <c r="P79" i="20"/>
  <c r="Q85" i="20"/>
  <c r="Q36" i="20"/>
  <c r="N73" i="20"/>
  <c r="P73" i="20"/>
  <c r="K73" i="20"/>
  <c r="M73" i="20"/>
  <c r="H64" i="20"/>
  <c r="J64" i="20"/>
  <c r="H31" i="20"/>
  <c r="H32" i="20"/>
  <c r="H33" i="20"/>
  <c r="H34" i="20"/>
  <c r="H35" i="20"/>
  <c r="H65" i="20"/>
  <c r="J65" i="20"/>
  <c r="H66" i="20"/>
  <c r="J66" i="20"/>
  <c r="H67" i="20"/>
  <c r="J31" i="20"/>
  <c r="J32" i="20"/>
  <c r="J33" i="20"/>
  <c r="J34" i="20"/>
  <c r="J35" i="20"/>
  <c r="J67" i="20"/>
  <c r="H68" i="20"/>
  <c r="J68" i="20"/>
  <c r="I71" i="20"/>
  <c r="H73" i="20"/>
  <c r="E73" i="20"/>
  <c r="G73" i="20"/>
  <c r="B73" i="20"/>
  <c r="B86" i="20"/>
  <c r="B87" i="20"/>
  <c r="D80" i="20"/>
  <c r="G80" i="20"/>
  <c r="H85" i="20"/>
  <c r="H36" i="20"/>
  <c r="E75" i="20"/>
  <c r="G75" i="20"/>
  <c r="G86" i="20"/>
  <c r="G87" i="20"/>
  <c r="G82" i="20"/>
  <c r="J85" i="20"/>
  <c r="J36" i="20"/>
  <c r="H86" i="20"/>
  <c r="H87" i="20"/>
  <c r="J80" i="20"/>
  <c r="M80" i="20"/>
  <c r="P80" i="20"/>
  <c r="S85" i="20"/>
  <c r="S36" i="20"/>
  <c r="Q86" i="20"/>
  <c r="Q87" i="20"/>
  <c r="S79" i="20"/>
  <c r="V79" i="20"/>
  <c r="Y79" i="20"/>
  <c r="AB79" i="20"/>
  <c r="AE79" i="20"/>
  <c r="AU79" i="20"/>
  <c r="AC73" i="20"/>
  <c r="AE73" i="20"/>
  <c r="Z73" i="20"/>
  <c r="AB73" i="20"/>
  <c r="W73" i="20"/>
  <c r="Y73" i="20"/>
  <c r="T73" i="20"/>
  <c r="V73" i="20"/>
  <c r="Q73" i="20"/>
  <c r="S73" i="20"/>
  <c r="S86" i="20"/>
  <c r="S87" i="20"/>
  <c r="S80" i="20"/>
  <c r="V80" i="20"/>
  <c r="Y80" i="20"/>
  <c r="AB80" i="20"/>
  <c r="AE80" i="20"/>
  <c r="AU80" i="20"/>
  <c r="AC74" i="20"/>
  <c r="AE74" i="20"/>
  <c r="Z74" i="20"/>
  <c r="AB74" i="20"/>
  <c r="W74" i="20"/>
  <c r="Y74" i="20"/>
  <c r="T74" i="20"/>
  <c r="V74" i="20"/>
  <c r="Q74" i="20"/>
  <c r="S74" i="20"/>
  <c r="N64" i="20"/>
  <c r="P64" i="20"/>
  <c r="N65" i="20"/>
  <c r="P65" i="20"/>
  <c r="N31" i="20"/>
  <c r="N32" i="20"/>
  <c r="N33" i="20"/>
  <c r="N34" i="20"/>
  <c r="N35" i="20"/>
  <c r="N66" i="20"/>
  <c r="P66" i="20"/>
  <c r="N67" i="20"/>
  <c r="P31" i="20"/>
  <c r="P32" i="20"/>
  <c r="P33" i="20"/>
  <c r="P34" i="20"/>
  <c r="P35" i="20"/>
  <c r="P67" i="20"/>
  <c r="N68" i="20"/>
  <c r="P68" i="20"/>
  <c r="O71" i="20"/>
  <c r="N74" i="20"/>
  <c r="K74" i="20"/>
  <c r="M74" i="20"/>
  <c r="M86" i="20"/>
  <c r="M87" i="20"/>
  <c r="M81" i="20"/>
  <c r="N85" i="20"/>
  <c r="N36" i="20"/>
  <c r="K75" i="20"/>
  <c r="M75" i="20"/>
  <c r="H75" i="20"/>
  <c r="J75" i="20"/>
  <c r="J86" i="20"/>
  <c r="J87" i="20"/>
  <c r="J82" i="20"/>
  <c r="M82" i="20"/>
  <c r="P85" i="20"/>
  <c r="P36" i="20"/>
  <c r="N86" i="20"/>
  <c r="N87" i="20"/>
  <c r="P81" i="20"/>
  <c r="S81" i="20"/>
  <c r="V81" i="20"/>
  <c r="Y81" i="20"/>
  <c r="AB81" i="20"/>
  <c r="AE81" i="20"/>
  <c r="AU81" i="20"/>
  <c r="AC75" i="20"/>
  <c r="AE75" i="20"/>
  <c r="Z75" i="20"/>
  <c r="AB75" i="20"/>
  <c r="W75" i="20"/>
  <c r="Y75" i="20"/>
  <c r="T75" i="20"/>
  <c r="V75" i="20"/>
  <c r="Q75" i="20"/>
  <c r="S75" i="20"/>
  <c r="N75" i="20"/>
  <c r="P75" i="20"/>
  <c r="P86" i="20"/>
  <c r="P87" i="20"/>
  <c r="P82" i="20"/>
  <c r="S82" i="20"/>
  <c r="V82" i="20"/>
  <c r="Y82" i="20"/>
  <c r="AB82" i="20"/>
  <c r="AE82" i="20"/>
  <c r="AU82" i="20"/>
  <c r="E16" i="20"/>
  <c r="B83" i="20"/>
  <c r="AT83" i="20"/>
  <c r="AC76" i="20"/>
  <c r="AE76" i="20"/>
  <c r="Z76" i="20"/>
  <c r="AB76" i="20"/>
  <c r="W76" i="20"/>
  <c r="Y76" i="20"/>
  <c r="T76" i="20"/>
  <c r="V76" i="20"/>
  <c r="Q76" i="20"/>
  <c r="S76" i="20"/>
  <c r="N76" i="20"/>
  <c r="P76" i="20"/>
  <c r="K76" i="20"/>
  <c r="M76" i="20"/>
  <c r="H76" i="20"/>
  <c r="J76" i="20"/>
  <c r="E76" i="20"/>
  <c r="G76" i="20"/>
  <c r="B76" i="20"/>
  <c r="D76" i="20"/>
  <c r="C83" i="20"/>
  <c r="D83" i="20"/>
  <c r="G83" i="20"/>
  <c r="J83" i="20"/>
  <c r="M83" i="20"/>
  <c r="P83" i="20"/>
  <c r="S83" i="20"/>
  <c r="V83" i="20"/>
  <c r="Y83" i="20"/>
  <c r="AB83" i="20"/>
  <c r="AE83" i="20"/>
  <c r="AU83" i="20"/>
  <c r="E93" i="20"/>
  <c r="B164" i="20"/>
  <c r="AT164" i="20"/>
  <c r="AC157" i="20"/>
  <c r="AE157" i="20"/>
  <c r="Z157" i="20"/>
  <c r="AB157" i="20"/>
  <c r="W157" i="20"/>
  <c r="Y157" i="20"/>
  <c r="T157" i="20"/>
  <c r="V157" i="20"/>
  <c r="Q116" i="20"/>
  <c r="Q117" i="20"/>
  <c r="Q118" i="20"/>
  <c r="Q119" i="20"/>
  <c r="Q120" i="20"/>
  <c r="Q149" i="20"/>
  <c r="S149" i="20"/>
  <c r="Q150" i="20"/>
  <c r="S116" i="20"/>
  <c r="S117" i="20"/>
  <c r="S118" i="20"/>
  <c r="S119" i="20"/>
  <c r="S120" i="20"/>
  <c r="S150" i="20"/>
  <c r="Q151" i="20"/>
  <c r="S151" i="20"/>
  <c r="Q152" i="20"/>
  <c r="S152" i="20"/>
  <c r="Q153" i="20"/>
  <c r="S153" i="20"/>
  <c r="R156" i="20"/>
  <c r="Q157" i="20"/>
  <c r="N157" i="20"/>
  <c r="P157" i="20"/>
  <c r="K116" i="20"/>
  <c r="K117" i="20"/>
  <c r="K118" i="20"/>
  <c r="K119" i="20"/>
  <c r="K120" i="20"/>
  <c r="K149" i="20"/>
  <c r="M149" i="20"/>
  <c r="K150" i="20"/>
  <c r="M150" i="20"/>
  <c r="K151" i="20"/>
  <c r="M116" i="20"/>
  <c r="M117" i="20"/>
  <c r="M118" i="20"/>
  <c r="M119" i="20"/>
  <c r="M120" i="20"/>
  <c r="M151" i="20"/>
  <c r="K152" i="20"/>
  <c r="M152" i="20"/>
  <c r="K153" i="20"/>
  <c r="M153" i="20"/>
  <c r="L156" i="20"/>
  <c r="K157" i="20"/>
  <c r="H157" i="20"/>
  <c r="J157" i="20"/>
  <c r="E116" i="20"/>
  <c r="E117" i="20"/>
  <c r="E118" i="20"/>
  <c r="E119" i="20"/>
  <c r="E120" i="20"/>
  <c r="E149" i="20"/>
  <c r="G149" i="20"/>
  <c r="E150" i="20"/>
  <c r="G150" i="20"/>
  <c r="E151" i="20"/>
  <c r="G151" i="20"/>
  <c r="E152" i="20"/>
  <c r="G116" i="20"/>
  <c r="G117" i="20"/>
  <c r="G118" i="20"/>
  <c r="G119" i="20"/>
  <c r="G120" i="20"/>
  <c r="G152" i="20"/>
  <c r="E153" i="20"/>
  <c r="G153" i="20"/>
  <c r="F156" i="20"/>
  <c r="E157" i="20"/>
  <c r="B157" i="20"/>
  <c r="D157" i="20"/>
  <c r="C164" i="20"/>
  <c r="D164" i="20"/>
  <c r="E170" i="20"/>
  <c r="E121" i="20"/>
  <c r="B160" i="20"/>
  <c r="D160" i="20"/>
  <c r="E99" i="20"/>
  <c r="B167" i="20"/>
  <c r="C167" i="20"/>
  <c r="D167" i="20"/>
  <c r="G170" i="20"/>
  <c r="G121" i="20"/>
  <c r="E171" i="20"/>
  <c r="E172" i="20"/>
  <c r="G164" i="20"/>
  <c r="J164" i="20"/>
  <c r="K170" i="20"/>
  <c r="K121" i="20"/>
  <c r="H159" i="20"/>
  <c r="J159" i="20"/>
  <c r="E159" i="20"/>
  <c r="G159" i="20"/>
  <c r="B159" i="20"/>
  <c r="B149" i="20"/>
  <c r="D149" i="20"/>
  <c r="B116" i="20"/>
  <c r="B117" i="20"/>
  <c r="B118" i="20"/>
  <c r="B119" i="20"/>
  <c r="B120" i="20"/>
  <c r="B150" i="20"/>
  <c r="D150" i="20"/>
  <c r="B151" i="20"/>
  <c r="D116" i="20"/>
  <c r="D117" i="20"/>
  <c r="D118" i="20"/>
  <c r="D119" i="20"/>
  <c r="D120" i="20"/>
  <c r="D151" i="20"/>
  <c r="B152" i="20"/>
  <c r="D152" i="20"/>
  <c r="B153" i="20"/>
  <c r="D153" i="20"/>
  <c r="C156" i="20"/>
  <c r="D159" i="20"/>
  <c r="E97" i="20"/>
  <c r="B166" i="20"/>
  <c r="C166" i="20"/>
  <c r="D170" i="20"/>
  <c r="D121" i="20"/>
  <c r="B165" i="20"/>
  <c r="C165" i="20"/>
  <c r="B170" i="20"/>
  <c r="B121" i="20"/>
  <c r="D171" i="20"/>
  <c r="D172" i="20"/>
  <c r="D166" i="20"/>
  <c r="G166" i="20"/>
  <c r="J166" i="20"/>
  <c r="M170" i="20"/>
  <c r="M121" i="20"/>
  <c r="K171" i="20"/>
  <c r="K172" i="20"/>
  <c r="M164" i="20"/>
  <c r="P164" i="20"/>
  <c r="Q170" i="20"/>
  <c r="Q121" i="20"/>
  <c r="N158" i="20"/>
  <c r="P158" i="20"/>
  <c r="K158" i="20"/>
  <c r="M158" i="20"/>
  <c r="H149" i="20"/>
  <c r="J149" i="20"/>
  <c r="H116" i="20"/>
  <c r="H117" i="20"/>
  <c r="H118" i="20"/>
  <c r="H119" i="20"/>
  <c r="H120" i="20"/>
  <c r="H150" i="20"/>
  <c r="J150" i="20"/>
  <c r="H151" i="20"/>
  <c r="J151" i="20"/>
  <c r="H152" i="20"/>
  <c r="J116" i="20"/>
  <c r="J117" i="20"/>
  <c r="J118" i="20"/>
  <c r="J119" i="20"/>
  <c r="J120" i="20"/>
  <c r="J152" i="20"/>
  <c r="H153" i="20"/>
  <c r="J153" i="20"/>
  <c r="I156" i="20"/>
  <c r="H158" i="20"/>
  <c r="E158" i="20"/>
  <c r="G158" i="20"/>
  <c r="B158" i="20"/>
  <c r="B171" i="20"/>
  <c r="B172" i="20"/>
  <c r="D165" i="20"/>
  <c r="G165" i="20"/>
  <c r="H170" i="20"/>
  <c r="H121" i="20"/>
  <c r="E160" i="20"/>
  <c r="G160" i="20"/>
  <c r="G171" i="20"/>
  <c r="G172" i="20"/>
  <c r="G167" i="20"/>
  <c r="J170" i="20"/>
  <c r="J121" i="20"/>
  <c r="H171" i="20"/>
  <c r="H172" i="20"/>
  <c r="J165" i="20"/>
  <c r="M165" i="20"/>
  <c r="P165" i="20"/>
  <c r="S170" i="20"/>
  <c r="S121" i="20"/>
  <c r="Q171" i="20"/>
  <c r="Q172" i="20"/>
  <c r="S164" i="20"/>
  <c r="V164" i="20"/>
  <c r="Y164" i="20"/>
  <c r="AB164" i="20"/>
  <c r="AE164" i="20"/>
  <c r="AU164" i="20"/>
  <c r="AT165" i="20"/>
  <c r="AC158" i="20"/>
  <c r="AE158" i="20"/>
  <c r="Z158" i="20"/>
  <c r="AB158" i="20"/>
  <c r="W158" i="20"/>
  <c r="Y158" i="20"/>
  <c r="T158" i="20"/>
  <c r="V158" i="20"/>
  <c r="Q158" i="20"/>
  <c r="S158" i="20"/>
  <c r="S171" i="20"/>
  <c r="S172" i="20"/>
  <c r="S165" i="20"/>
  <c r="V165" i="20"/>
  <c r="Y165" i="20"/>
  <c r="AB165" i="20"/>
  <c r="AE165" i="20"/>
  <c r="AU165" i="20"/>
  <c r="AT166" i="20"/>
  <c r="AC159" i="20"/>
  <c r="AE159" i="20"/>
  <c r="Z159" i="20"/>
  <c r="AB159" i="20"/>
  <c r="W159" i="20"/>
  <c r="Y159" i="20"/>
  <c r="T159" i="20"/>
  <c r="V159" i="20"/>
  <c r="Q159" i="20"/>
  <c r="S159" i="20"/>
  <c r="N149" i="20"/>
  <c r="P149" i="20"/>
  <c r="N150" i="20"/>
  <c r="P150" i="20"/>
  <c r="N116" i="20"/>
  <c r="N117" i="20"/>
  <c r="N118" i="20"/>
  <c r="N119" i="20"/>
  <c r="N120" i="20"/>
  <c r="N151" i="20"/>
  <c r="P151" i="20"/>
  <c r="N152" i="20"/>
  <c r="P116" i="20"/>
  <c r="P117" i="20"/>
  <c r="P118" i="20"/>
  <c r="P119" i="20"/>
  <c r="P120" i="20"/>
  <c r="P152" i="20"/>
  <c r="N153" i="20"/>
  <c r="P153" i="20"/>
  <c r="O156" i="20"/>
  <c r="N159" i="20"/>
  <c r="K159" i="20"/>
  <c r="M159" i="20"/>
  <c r="M171" i="20"/>
  <c r="M172" i="20"/>
  <c r="M166" i="20"/>
  <c r="N170" i="20"/>
  <c r="N121" i="20"/>
  <c r="K160" i="20"/>
  <c r="M160" i="20"/>
  <c r="H160" i="20"/>
  <c r="J160" i="20"/>
  <c r="J171" i="20"/>
  <c r="J172" i="20"/>
  <c r="J167" i="20"/>
  <c r="M167" i="20"/>
  <c r="P170" i="20"/>
  <c r="P121" i="20"/>
  <c r="N171" i="20"/>
  <c r="N172" i="20"/>
  <c r="P166" i="20"/>
  <c r="S166" i="20"/>
  <c r="V166" i="20"/>
  <c r="Y166" i="20"/>
  <c r="AB166" i="20"/>
  <c r="AE166" i="20"/>
  <c r="AU166" i="20"/>
  <c r="AT167" i="20"/>
  <c r="AC160" i="20"/>
  <c r="AE160" i="20"/>
  <c r="Z160" i="20"/>
  <c r="AB160" i="20"/>
  <c r="W160" i="20"/>
  <c r="Y160" i="20"/>
  <c r="T160" i="20"/>
  <c r="V160" i="20"/>
  <c r="Q160" i="20"/>
  <c r="S160" i="20"/>
  <c r="N160" i="20"/>
  <c r="P160" i="20"/>
  <c r="P171" i="20"/>
  <c r="P172" i="20"/>
  <c r="P167" i="20"/>
  <c r="S167" i="20"/>
  <c r="V167" i="20"/>
  <c r="Y167" i="20"/>
  <c r="AB167" i="20"/>
  <c r="AE167" i="20"/>
  <c r="AU167" i="20"/>
  <c r="E101" i="20"/>
  <c r="B168" i="20"/>
  <c r="AT168" i="20"/>
  <c r="AC161" i="20"/>
  <c r="AE161" i="20"/>
  <c r="Z161" i="20"/>
  <c r="AB161" i="20"/>
  <c r="W161" i="20"/>
  <c r="Y161" i="20"/>
  <c r="T161" i="20"/>
  <c r="V161" i="20"/>
  <c r="Q161" i="20"/>
  <c r="S161" i="20"/>
  <c r="N161" i="20"/>
  <c r="P161" i="20"/>
  <c r="K161" i="20"/>
  <c r="M161" i="20"/>
  <c r="H161" i="20"/>
  <c r="J161" i="20"/>
  <c r="E161" i="20"/>
  <c r="G161" i="20"/>
  <c r="B161" i="20"/>
  <c r="D161" i="20"/>
  <c r="C168" i="20"/>
  <c r="D168" i="20"/>
  <c r="G168" i="20"/>
  <c r="J168" i="20"/>
  <c r="M168" i="20"/>
  <c r="P168" i="20"/>
  <c r="S168" i="20"/>
  <c r="V168" i="20"/>
  <c r="Y168" i="20"/>
  <c r="AB168" i="20"/>
  <c r="AE168" i="20"/>
  <c r="AU168" i="20"/>
  <c r="E178" i="20"/>
  <c r="B249" i="20"/>
  <c r="AT249" i="20"/>
  <c r="AC242" i="20"/>
  <c r="AE242" i="20"/>
  <c r="Z242" i="20"/>
  <c r="AB242" i="20"/>
  <c r="W242" i="20"/>
  <c r="Y242" i="20"/>
  <c r="T242" i="20"/>
  <c r="V242" i="20"/>
  <c r="Q201" i="20"/>
  <c r="Q202" i="20"/>
  <c r="Q203" i="20"/>
  <c r="Q204" i="20"/>
  <c r="Q205" i="20"/>
  <c r="Q234" i="20"/>
  <c r="S234" i="20"/>
  <c r="Q235" i="20"/>
  <c r="S201" i="20"/>
  <c r="S202" i="20"/>
  <c r="S203" i="20"/>
  <c r="S204" i="20"/>
  <c r="S205" i="20"/>
  <c r="S235" i="20"/>
  <c r="Q236" i="20"/>
  <c r="S236" i="20"/>
  <c r="Q237" i="20"/>
  <c r="S237" i="20"/>
  <c r="Q238" i="20"/>
  <c r="S238" i="20"/>
  <c r="R241" i="20"/>
  <c r="Q242" i="20"/>
  <c r="S242" i="20"/>
  <c r="N242" i="20"/>
  <c r="P242" i="20"/>
  <c r="K201" i="20"/>
  <c r="K202" i="20"/>
  <c r="K203" i="20"/>
  <c r="K204" i="20"/>
  <c r="K205" i="20"/>
  <c r="K234" i="20"/>
  <c r="M234" i="20"/>
  <c r="K235" i="20"/>
  <c r="M235" i="20"/>
  <c r="K236" i="20"/>
  <c r="M201" i="20"/>
  <c r="M202" i="20"/>
  <c r="M203" i="20"/>
  <c r="M204" i="20"/>
  <c r="M205" i="20"/>
  <c r="M236" i="20"/>
  <c r="K237" i="20"/>
  <c r="M237" i="20"/>
  <c r="K238" i="20"/>
  <c r="M238" i="20"/>
  <c r="L241" i="20"/>
  <c r="K242" i="20"/>
  <c r="M242" i="20"/>
  <c r="H201" i="20"/>
  <c r="H202" i="20"/>
  <c r="H203" i="20"/>
  <c r="H204" i="20"/>
  <c r="H205" i="20"/>
  <c r="H234" i="20"/>
  <c r="J234" i="20"/>
  <c r="H235" i="20"/>
  <c r="J201" i="20"/>
  <c r="J202" i="20"/>
  <c r="J203" i="20"/>
  <c r="J204" i="20"/>
  <c r="J205" i="20"/>
  <c r="J235" i="20"/>
  <c r="H236" i="20"/>
  <c r="J236" i="20"/>
  <c r="H237" i="20"/>
  <c r="J237" i="20"/>
  <c r="H238" i="20"/>
  <c r="J238" i="20"/>
  <c r="I241" i="20"/>
  <c r="H242" i="20"/>
  <c r="E242" i="20"/>
  <c r="G242" i="20"/>
  <c r="B201" i="20"/>
  <c r="B202" i="20"/>
  <c r="B203" i="20"/>
  <c r="B204" i="20"/>
  <c r="B205" i="20"/>
  <c r="B234" i="20"/>
  <c r="D234" i="20"/>
  <c r="B235" i="20"/>
  <c r="D235" i="20"/>
  <c r="B236" i="20"/>
  <c r="D201" i="20"/>
  <c r="D202" i="20"/>
  <c r="D203" i="20"/>
  <c r="D204" i="20"/>
  <c r="D205" i="20"/>
  <c r="D236" i="20"/>
  <c r="B237" i="20"/>
  <c r="D237" i="20"/>
  <c r="B238" i="20"/>
  <c r="D238" i="20"/>
  <c r="C241" i="20"/>
  <c r="B242" i="20"/>
  <c r="C249" i="20"/>
  <c r="B255" i="20"/>
  <c r="B206" i="20"/>
  <c r="E182" i="20"/>
  <c r="B251" i="20"/>
  <c r="C251" i="20"/>
  <c r="D255" i="20"/>
  <c r="D206" i="20"/>
  <c r="B256" i="20"/>
  <c r="B257" i="20"/>
  <c r="D249" i="20"/>
  <c r="G249" i="20"/>
  <c r="H255" i="20"/>
  <c r="H206" i="20"/>
  <c r="E234" i="20"/>
  <c r="G234" i="20"/>
  <c r="E201" i="20"/>
  <c r="E202" i="20"/>
  <c r="E203" i="20"/>
  <c r="E204" i="20"/>
  <c r="E205" i="20"/>
  <c r="E235" i="20"/>
  <c r="G235" i="20"/>
  <c r="E236" i="20"/>
  <c r="G201" i="20"/>
  <c r="G202" i="20"/>
  <c r="G203" i="20"/>
  <c r="G204" i="20"/>
  <c r="G205" i="20"/>
  <c r="G236" i="20"/>
  <c r="E237" i="20"/>
  <c r="G237" i="20"/>
  <c r="E238" i="20"/>
  <c r="G238" i="20"/>
  <c r="F241" i="20"/>
  <c r="E243" i="20"/>
  <c r="B243" i="20"/>
  <c r="D243" i="20"/>
  <c r="E180" i="20"/>
  <c r="B250" i="20"/>
  <c r="C250" i="20"/>
  <c r="D250" i="20"/>
  <c r="E255" i="20"/>
  <c r="E206" i="20"/>
  <c r="B244" i="20"/>
  <c r="D244" i="20"/>
  <c r="D256" i="20"/>
  <c r="D257" i="20"/>
  <c r="D251" i="20"/>
  <c r="G255" i="20"/>
  <c r="G206" i="20"/>
  <c r="E256" i="20"/>
  <c r="E257" i="20"/>
  <c r="G250" i="20"/>
  <c r="J255" i="20"/>
  <c r="J206" i="20"/>
  <c r="H256" i="20"/>
  <c r="H257" i="20"/>
  <c r="J249" i="20"/>
  <c r="M249" i="20"/>
  <c r="P249" i="20"/>
  <c r="S249" i="20"/>
  <c r="V249" i="20"/>
  <c r="Y249" i="20"/>
  <c r="AB249" i="20"/>
  <c r="AE249" i="20"/>
  <c r="AU249" i="20"/>
  <c r="AT250" i="20"/>
  <c r="AC243" i="20"/>
  <c r="AE243" i="20"/>
  <c r="Z243" i="20"/>
  <c r="AB243" i="20"/>
  <c r="W243" i="20"/>
  <c r="Y243" i="20"/>
  <c r="T243" i="20"/>
  <c r="V243" i="20"/>
  <c r="Q243" i="20"/>
  <c r="S243" i="20"/>
  <c r="N243" i="20"/>
  <c r="P243" i="20"/>
  <c r="K243" i="20"/>
  <c r="M243" i="20"/>
  <c r="H243" i="20"/>
  <c r="J243" i="20"/>
  <c r="J256" i="20"/>
  <c r="J257" i="20"/>
  <c r="J250" i="20"/>
  <c r="M250" i="20"/>
  <c r="P250" i="20"/>
  <c r="S250" i="20"/>
  <c r="V250" i="20"/>
  <c r="Y250" i="20"/>
  <c r="AB250" i="20"/>
  <c r="AE250" i="20"/>
  <c r="AU250" i="20"/>
  <c r="AT251" i="20"/>
  <c r="AC244" i="20"/>
  <c r="AE244" i="20"/>
  <c r="Z244" i="20"/>
  <c r="AB244" i="20"/>
  <c r="W244" i="20"/>
  <c r="Y244" i="20"/>
  <c r="T244" i="20"/>
  <c r="V244" i="20"/>
  <c r="Q244" i="20"/>
  <c r="S244" i="20"/>
  <c r="N234" i="20"/>
  <c r="P234" i="20"/>
  <c r="N235" i="20"/>
  <c r="P235" i="20"/>
  <c r="N201" i="20"/>
  <c r="N202" i="20"/>
  <c r="N203" i="20"/>
  <c r="N204" i="20"/>
  <c r="N205" i="20"/>
  <c r="N236" i="20"/>
  <c r="P236" i="20"/>
  <c r="N237" i="20"/>
  <c r="P201" i="20"/>
  <c r="P202" i="20"/>
  <c r="P203" i="20"/>
  <c r="P204" i="20"/>
  <c r="P205" i="20"/>
  <c r="P237" i="20"/>
  <c r="N238" i="20"/>
  <c r="P238" i="20"/>
  <c r="O241" i="20"/>
  <c r="N244" i="20"/>
  <c r="P244" i="20"/>
  <c r="K244" i="20"/>
  <c r="M244" i="20"/>
  <c r="H244" i="20"/>
  <c r="J244" i="20"/>
  <c r="E244" i="20"/>
  <c r="G244" i="20"/>
  <c r="G256" i="20"/>
  <c r="G257" i="20"/>
  <c r="G251" i="20"/>
  <c r="J251" i="20"/>
  <c r="M251" i="20"/>
  <c r="P251" i="20"/>
  <c r="S251" i="20"/>
  <c r="V251" i="20"/>
  <c r="Y251" i="20"/>
  <c r="AB251" i="20"/>
  <c r="AE251" i="20"/>
  <c r="AU251" i="20"/>
  <c r="E184" i="20"/>
  <c r="B252" i="20"/>
  <c r="AT252" i="20"/>
  <c r="AC245" i="20"/>
  <c r="AE245" i="20"/>
  <c r="Z245" i="20"/>
  <c r="AB245" i="20"/>
  <c r="W245" i="20"/>
  <c r="Y245" i="20"/>
  <c r="T245" i="20"/>
  <c r="V245" i="20"/>
  <c r="Q245" i="20"/>
  <c r="S245" i="20"/>
  <c r="N245" i="20"/>
  <c r="P245" i="20"/>
  <c r="K245" i="20"/>
  <c r="M245" i="20"/>
  <c r="H245" i="20"/>
  <c r="J245" i="20"/>
  <c r="E245" i="20"/>
  <c r="G245" i="20"/>
  <c r="B245" i="20"/>
  <c r="D245" i="20"/>
  <c r="C252" i="20"/>
  <c r="D252" i="20"/>
  <c r="G252" i="20"/>
  <c r="J252" i="20"/>
  <c r="M252" i="20"/>
  <c r="P252" i="20"/>
  <c r="S252" i="20"/>
  <c r="V252" i="20"/>
  <c r="Y252" i="20"/>
  <c r="AB252" i="20"/>
  <c r="AE252" i="20"/>
  <c r="AU252" i="20"/>
  <c r="E186" i="20"/>
  <c r="B253" i="20"/>
  <c r="AT253" i="20"/>
  <c r="AC246" i="20"/>
  <c r="AE246" i="20"/>
  <c r="Z246" i="20"/>
  <c r="AB246" i="20"/>
  <c r="W246" i="20"/>
  <c r="Y246" i="20"/>
  <c r="T246" i="20"/>
  <c r="V246" i="20"/>
  <c r="Q246" i="20"/>
  <c r="S246" i="20"/>
  <c r="N246" i="20"/>
  <c r="P246" i="20"/>
  <c r="K246" i="20"/>
  <c r="M246" i="20"/>
  <c r="H246" i="20"/>
  <c r="J246" i="20"/>
  <c r="E246" i="20"/>
  <c r="G246" i="20"/>
  <c r="B246" i="20"/>
  <c r="D246" i="20"/>
  <c r="C253" i="20"/>
  <c r="D253" i="20"/>
  <c r="G253" i="20"/>
  <c r="J253" i="20"/>
  <c r="M253" i="20"/>
  <c r="P253" i="20"/>
  <c r="S253" i="20"/>
  <c r="V253" i="20"/>
  <c r="Y253" i="20"/>
  <c r="AB253" i="20"/>
  <c r="AE253" i="20"/>
  <c r="AU253" i="20"/>
  <c r="AX5" i="20"/>
  <c r="AW6" i="21"/>
  <c r="C250" i="21"/>
  <c r="D250" i="21"/>
  <c r="E255" i="21"/>
  <c r="E206" i="21"/>
  <c r="B244" i="21"/>
  <c r="B201" i="21"/>
  <c r="B202" i="21"/>
  <c r="B203" i="21"/>
  <c r="B204" i="21"/>
  <c r="B205" i="21"/>
  <c r="B234" i="21"/>
  <c r="D234" i="21"/>
  <c r="B235" i="21"/>
  <c r="D235" i="21"/>
  <c r="B236" i="21"/>
  <c r="D201" i="21"/>
  <c r="D202" i="21"/>
  <c r="D203" i="21"/>
  <c r="D204" i="21"/>
  <c r="D205" i="21"/>
  <c r="D236" i="21"/>
  <c r="B237" i="21"/>
  <c r="D237" i="21"/>
  <c r="B238" i="21"/>
  <c r="D238" i="21"/>
  <c r="C241" i="21"/>
  <c r="D244" i="21"/>
  <c r="V266" i="20"/>
  <c r="E182" i="21"/>
  <c r="B251" i="21"/>
  <c r="AX6" i="20"/>
  <c r="AW4" i="21"/>
  <c r="C251" i="21"/>
  <c r="D255" i="21"/>
  <c r="D206" i="21"/>
  <c r="V264" i="20"/>
  <c r="E178" i="21"/>
  <c r="B249" i="21"/>
  <c r="AX3" i="20"/>
  <c r="AW10" i="21"/>
  <c r="C249" i="21"/>
  <c r="B255" i="21"/>
  <c r="B206" i="21"/>
  <c r="D256" i="21"/>
  <c r="D257" i="21"/>
  <c r="D251" i="21"/>
  <c r="G255" i="21"/>
  <c r="G206" i="21"/>
  <c r="E256" i="21"/>
  <c r="E257" i="21"/>
  <c r="G250" i="21"/>
  <c r="J255" i="21"/>
  <c r="J206" i="21"/>
  <c r="E242" i="21"/>
  <c r="G242" i="21"/>
  <c r="B242" i="21"/>
  <c r="B256" i="21"/>
  <c r="B257" i="21"/>
  <c r="D249" i="21"/>
  <c r="G249" i="21"/>
  <c r="H255" i="21"/>
  <c r="H206" i="21"/>
  <c r="J256" i="21"/>
  <c r="J257" i="21"/>
  <c r="J250" i="21"/>
  <c r="M250" i="21"/>
  <c r="P250" i="21"/>
  <c r="S255" i="21"/>
  <c r="S201" i="21"/>
  <c r="S202" i="21"/>
  <c r="S203" i="21"/>
  <c r="S204" i="21"/>
  <c r="S205" i="21"/>
  <c r="S206" i="21"/>
  <c r="N242" i="21"/>
  <c r="P242" i="21"/>
  <c r="K201" i="21"/>
  <c r="K202" i="21"/>
  <c r="K203" i="21"/>
  <c r="K204" i="21"/>
  <c r="K205" i="21"/>
  <c r="K234" i="21"/>
  <c r="M234" i="21"/>
  <c r="K235" i="21"/>
  <c r="M235" i="21"/>
  <c r="K236" i="21"/>
  <c r="M201" i="21"/>
  <c r="M202" i="21"/>
  <c r="M203" i="21"/>
  <c r="M204" i="21"/>
  <c r="M205" i="21"/>
  <c r="M236" i="21"/>
  <c r="K237" i="21"/>
  <c r="M237" i="21"/>
  <c r="K238" i="21"/>
  <c r="M238" i="21"/>
  <c r="L241" i="21"/>
  <c r="K242" i="21"/>
  <c r="M242" i="21"/>
  <c r="H242" i="21"/>
  <c r="H256" i="21"/>
  <c r="H257" i="21"/>
  <c r="J249" i="21"/>
  <c r="M249" i="21"/>
  <c r="P249" i="21"/>
  <c r="Q255" i="21"/>
  <c r="Q201" i="21"/>
  <c r="Q202" i="21"/>
  <c r="Q203" i="21"/>
  <c r="Q204" i="21"/>
  <c r="Q205" i="21"/>
  <c r="Q206" i="21"/>
  <c r="S256" i="21"/>
  <c r="S257" i="21"/>
  <c r="Q256" i="21"/>
  <c r="Q257" i="21"/>
  <c r="K245" i="21"/>
  <c r="M245" i="21"/>
  <c r="H245" i="21"/>
  <c r="J245" i="21"/>
  <c r="E245" i="21"/>
  <c r="G245" i="21"/>
  <c r="B245" i="21"/>
  <c r="D245" i="21"/>
  <c r="E184" i="21"/>
  <c r="B252" i="21"/>
  <c r="C252" i="21"/>
  <c r="D252" i="21"/>
  <c r="G252" i="21"/>
  <c r="J252" i="21"/>
  <c r="M252" i="21"/>
  <c r="P255" i="21"/>
  <c r="P201" i="21"/>
  <c r="P202" i="21"/>
  <c r="P203" i="21"/>
  <c r="P204" i="21"/>
  <c r="P205" i="21"/>
  <c r="P206" i="21"/>
  <c r="K244" i="21"/>
  <c r="M244" i="21"/>
  <c r="H244" i="21"/>
  <c r="J244" i="21"/>
  <c r="E244" i="21"/>
  <c r="G244" i="21"/>
  <c r="G256" i="21"/>
  <c r="G257" i="21"/>
  <c r="G251" i="21"/>
  <c r="J251" i="21"/>
  <c r="M251" i="21"/>
  <c r="N255" i="21"/>
  <c r="N201" i="21"/>
  <c r="N202" i="21"/>
  <c r="N203" i="21"/>
  <c r="N204" i="21"/>
  <c r="N205" i="21"/>
  <c r="N206" i="21"/>
  <c r="P256" i="21"/>
  <c r="P257" i="21"/>
  <c r="N256" i="21"/>
  <c r="N257" i="21"/>
  <c r="M255" i="21"/>
  <c r="M206" i="21"/>
  <c r="K255" i="21"/>
  <c r="K206" i="21"/>
  <c r="M256" i="21"/>
  <c r="M257" i="21"/>
  <c r="K256" i="21"/>
  <c r="K257" i="21"/>
  <c r="AC246" i="21"/>
  <c r="AE246" i="21"/>
  <c r="Z246" i="21"/>
  <c r="AB246" i="21"/>
  <c r="W246" i="21"/>
  <c r="Y246" i="21"/>
  <c r="T246" i="21"/>
  <c r="V246" i="21"/>
  <c r="Q246" i="21"/>
  <c r="S246" i="21"/>
  <c r="N246" i="21"/>
  <c r="P246" i="21"/>
  <c r="K246" i="21"/>
  <c r="M246" i="21"/>
  <c r="H246" i="21"/>
  <c r="J246" i="21"/>
  <c r="E246" i="21"/>
  <c r="G246" i="21"/>
  <c r="B246" i="21"/>
  <c r="D246" i="21"/>
  <c r="E186" i="21"/>
  <c r="B253" i="21"/>
  <c r="C253" i="21"/>
  <c r="D253" i="21"/>
  <c r="G253" i="21"/>
  <c r="J253" i="21"/>
  <c r="M253" i="21"/>
  <c r="P253" i="21"/>
  <c r="S253" i="21"/>
  <c r="V253" i="21"/>
  <c r="Y253" i="21"/>
  <c r="AB253" i="21"/>
  <c r="AE253" i="21"/>
  <c r="AU253" i="21"/>
  <c r="AT253" i="21"/>
  <c r="AC245" i="21"/>
  <c r="AE245" i="21"/>
  <c r="Z245" i="21"/>
  <c r="AB245" i="21"/>
  <c r="W245" i="21"/>
  <c r="Y245" i="21"/>
  <c r="T245" i="21"/>
  <c r="V245" i="21"/>
  <c r="Q245" i="21"/>
  <c r="S245" i="21"/>
  <c r="N245" i="21"/>
  <c r="N234" i="21"/>
  <c r="P234" i="21"/>
  <c r="N235" i="21"/>
  <c r="P235" i="21"/>
  <c r="N236" i="21"/>
  <c r="P236" i="21"/>
  <c r="N237" i="21"/>
  <c r="P237" i="21"/>
  <c r="N238" i="21"/>
  <c r="P238" i="21"/>
  <c r="O241" i="21"/>
  <c r="P245" i="21"/>
  <c r="P252" i="21"/>
  <c r="S252" i="21"/>
  <c r="V252" i="21"/>
  <c r="Y252" i="21"/>
  <c r="AB252" i="21"/>
  <c r="AE252" i="21"/>
  <c r="AU252" i="21"/>
  <c r="AT252" i="21"/>
  <c r="AC244" i="21"/>
  <c r="AE244" i="21"/>
  <c r="Z244" i="21"/>
  <c r="AB244" i="21"/>
  <c r="W244" i="21"/>
  <c r="Y244" i="21"/>
  <c r="T244" i="21"/>
  <c r="V244" i="21"/>
  <c r="Q244" i="21"/>
  <c r="S244" i="21"/>
  <c r="N244" i="21"/>
  <c r="P244" i="21"/>
  <c r="P251" i="21"/>
  <c r="S251" i="21"/>
  <c r="V251" i="21"/>
  <c r="Y251" i="21"/>
  <c r="AB251" i="21"/>
  <c r="AE251" i="21"/>
  <c r="AU251" i="21"/>
  <c r="AT251" i="21"/>
  <c r="AC243" i="21"/>
  <c r="AE243" i="21"/>
  <c r="Z243" i="21"/>
  <c r="AB243" i="21"/>
  <c r="W243" i="21"/>
  <c r="Y243" i="21"/>
  <c r="T243" i="21"/>
  <c r="V243" i="21"/>
  <c r="Q243" i="21"/>
  <c r="Q234" i="21"/>
  <c r="S234" i="21"/>
  <c r="Q235" i="21"/>
  <c r="S235" i="21"/>
  <c r="Q236" i="21"/>
  <c r="S236" i="21"/>
  <c r="Q237" i="21"/>
  <c r="S237" i="21"/>
  <c r="Q238" i="21"/>
  <c r="S238" i="21"/>
  <c r="R241" i="21"/>
  <c r="S243" i="21"/>
  <c r="S250" i="21"/>
  <c r="V250" i="21"/>
  <c r="Y250" i="21"/>
  <c r="AB250" i="21"/>
  <c r="AE250" i="21"/>
  <c r="AU250" i="21"/>
  <c r="AT250" i="21"/>
  <c r="AC242" i="21"/>
  <c r="AE242" i="21"/>
  <c r="Z242" i="21"/>
  <c r="AB242" i="21"/>
  <c r="W242" i="21"/>
  <c r="Y242" i="21"/>
  <c r="T242" i="21"/>
  <c r="V242" i="21"/>
  <c r="Q242" i="21"/>
  <c r="S242" i="21"/>
  <c r="S249" i="21"/>
  <c r="V249" i="21"/>
  <c r="Y249" i="21"/>
  <c r="AB249" i="21"/>
  <c r="AE249" i="21"/>
  <c r="AU249" i="21"/>
  <c r="AT249" i="21"/>
  <c r="AF246" i="21"/>
  <c r="AF245" i="21"/>
  <c r="AF244" i="21"/>
  <c r="G243" i="21"/>
  <c r="AF243" i="21"/>
  <c r="D242" i="21"/>
  <c r="J242" i="21"/>
  <c r="AF242" i="21"/>
  <c r="AC234" i="21"/>
  <c r="AE234" i="21"/>
  <c r="AC235" i="21"/>
  <c r="AE235" i="21"/>
  <c r="AC236" i="21"/>
  <c r="AE236" i="21"/>
  <c r="AC237" i="21"/>
  <c r="AE237" i="21"/>
  <c r="AC238" i="21"/>
  <c r="AE238" i="21"/>
  <c r="AD241" i="21"/>
  <c r="Z234" i="21"/>
  <c r="AB234" i="21"/>
  <c r="Z235" i="21"/>
  <c r="AB235" i="21"/>
  <c r="Z236" i="21"/>
  <c r="AB236" i="21"/>
  <c r="Z237" i="21"/>
  <c r="AB237" i="21"/>
  <c r="Z238" i="21"/>
  <c r="AB238" i="21"/>
  <c r="AA241" i="21"/>
  <c r="W234" i="21"/>
  <c r="Y234" i="21"/>
  <c r="W235" i="21"/>
  <c r="Y235" i="21"/>
  <c r="W236" i="21"/>
  <c r="Y236" i="21"/>
  <c r="W237" i="21"/>
  <c r="Y237" i="21"/>
  <c r="W238" i="21"/>
  <c r="Y238" i="21"/>
  <c r="X241" i="21"/>
  <c r="T234" i="21"/>
  <c r="V234" i="21"/>
  <c r="T235" i="21"/>
  <c r="V235" i="21"/>
  <c r="T236" i="21"/>
  <c r="V236" i="21"/>
  <c r="T237" i="21"/>
  <c r="V237" i="21"/>
  <c r="T238" i="21"/>
  <c r="V238" i="21"/>
  <c r="U241" i="21"/>
  <c r="AF238" i="21"/>
  <c r="AG238" i="21"/>
  <c r="AF237" i="21"/>
  <c r="AG237" i="21"/>
  <c r="AF236" i="21"/>
  <c r="AG236" i="21"/>
  <c r="AF235" i="21"/>
  <c r="AG235" i="21"/>
  <c r="AF234" i="21"/>
  <c r="AG234" i="21"/>
  <c r="B232" i="21"/>
  <c r="D232" i="21"/>
  <c r="E232" i="21"/>
  <c r="G232" i="21"/>
  <c r="H232" i="21"/>
  <c r="J232" i="21"/>
  <c r="K232" i="21"/>
  <c r="M232" i="21"/>
  <c r="N232" i="21"/>
  <c r="P232" i="21"/>
  <c r="Q232" i="21"/>
  <c r="S232" i="21"/>
  <c r="T232" i="21"/>
  <c r="V232" i="21"/>
  <c r="W232" i="21"/>
  <c r="Y232" i="21"/>
  <c r="Z232" i="21"/>
  <c r="AB232" i="21"/>
  <c r="AC232" i="21"/>
  <c r="AE232" i="21"/>
  <c r="AF232" i="21"/>
  <c r="B231" i="21"/>
  <c r="D231" i="21"/>
  <c r="E231" i="21"/>
  <c r="G231" i="21"/>
  <c r="H231" i="21"/>
  <c r="J231" i="21"/>
  <c r="K231" i="21"/>
  <c r="M231" i="21"/>
  <c r="N231" i="21"/>
  <c r="N209" i="21"/>
  <c r="P209" i="21"/>
  <c r="N210" i="21"/>
  <c r="P210" i="21"/>
  <c r="N211" i="21"/>
  <c r="P211" i="21"/>
  <c r="N212" i="21"/>
  <c r="P212" i="21"/>
  <c r="N213" i="21"/>
  <c r="P213" i="21"/>
  <c r="N214" i="21"/>
  <c r="P231" i="21"/>
  <c r="Q231" i="21"/>
  <c r="S231" i="21"/>
  <c r="T231" i="21"/>
  <c r="V231" i="21"/>
  <c r="W231" i="21"/>
  <c r="Y231" i="21"/>
  <c r="Z231" i="21"/>
  <c r="AB231" i="21"/>
  <c r="AC231" i="21"/>
  <c r="AE231" i="21"/>
  <c r="AF231" i="21"/>
  <c r="B230" i="21"/>
  <c r="B209" i="21"/>
  <c r="D209" i="21"/>
  <c r="B210" i="21"/>
  <c r="D210" i="21"/>
  <c r="B211" i="21"/>
  <c r="D211" i="21"/>
  <c r="B212" i="21"/>
  <c r="D212" i="21"/>
  <c r="B213" i="21"/>
  <c r="D213" i="21"/>
  <c r="B214" i="21"/>
  <c r="D230" i="21"/>
  <c r="E230" i="21"/>
  <c r="E209" i="21"/>
  <c r="G209" i="21"/>
  <c r="E210" i="21"/>
  <c r="G210" i="21"/>
  <c r="E211" i="21"/>
  <c r="G211" i="21"/>
  <c r="E212" i="21"/>
  <c r="G212" i="21"/>
  <c r="E213" i="21"/>
  <c r="G213" i="21"/>
  <c r="E214" i="21"/>
  <c r="G230" i="21"/>
  <c r="H230" i="21"/>
  <c r="J230" i="21"/>
  <c r="K230" i="21"/>
  <c r="K209" i="21"/>
  <c r="M209" i="21"/>
  <c r="K210" i="21"/>
  <c r="M210" i="21"/>
  <c r="K211" i="21"/>
  <c r="M211" i="21"/>
  <c r="K212" i="21"/>
  <c r="M212" i="21"/>
  <c r="K213" i="21"/>
  <c r="M213" i="21"/>
  <c r="K214" i="21"/>
  <c r="M230" i="21"/>
  <c r="N230" i="21"/>
  <c r="P230" i="21"/>
  <c r="Q230" i="21"/>
  <c r="S230" i="21"/>
  <c r="T230" i="21"/>
  <c r="V230" i="21"/>
  <c r="W230" i="21"/>
  <c r="Y230" i="21"/>
  <c r="Z230" i="21"/>
  <c r="AB230" i="21"/>
  <c r="AC230" i="21"/>
  <c r="AE230" i="21"/>
  <c r="AF230" i="21"/>
  <c r="B229" i="21"/>
  <c r="D229" i="21"/>
  <c r="E229" i="21"/>
  <c r="G229" i="21"/>
  <c r="H229" i="21"/>
  <c r="H209" i="21"/>
  <c r="J209" i="21"/>
  <c r="H210" i="21"/>
  <c r="J210" i="21"/>
  <c r="H211" i="21"/>
  <c r="J211" i="21"/>
  <c r="H212" i="21"/>
  <c r="J212" i="21"/>
  <c r="H213" i="21"/>
  <c r="J213" i="21"/>
  <c r="H214" i="21"/>
  <c r="J229" i="21"/>
  <c r="K229" i="21"/>
  <c r="M229" i="21"/>
  <c r="N229" i="21"/>
  <c r="P229" i="21"/>
  <c r="Q229" i="21"/>
  <c r="Q209" i="21"/>
  <c r="S209" i="21"/>
  <c r="Q210" i="21"/>
  <c r="S210" i="21"/>
  <c r="Q211" i="21"/>
  <c r="S211" i="21"/>
  <c r="Q212" i="21"/>
  <c r="S212" i="21"/>
  <c r="Q213" i="21"/>
  <c r="S213" i="21"/>
  <c r="Q214" i="21"/>
  <c r="S229" i="21"/>
  <c r="T229" i="21"/>
  <c r="V229" i="21"/>
  <c r="W229" i="21"/>
  <c r="Y229" i="21"/>
  <c r="Z229" i="21"/>
  <c r="AB229" i="21"/>
  <c r="AC229" i="21"/>
  <c r="AE229" i="21"/>
  <c r="AF229" i="21"/>
  <c r="B228" i="21"/>
  <c r="D228" i="21"/>
  <c r="E228" i="21"/>
  <c r="G228" i="21"/>
  <c r="H228" i="21"/>
  <c r="J228" i="21"/>
  <c r="K228" i="21"/>
  <c r="M228" i="21"/>
  <c r="N228" i="21"/>
  <c r="P228" i="21"/>
  <c r="Q228" i="21"/>
  <c r="S228" i="21"/>
  <c r="T228" i="21"/>
  <c r="V228" i="21"/>
  <c r="W228" i="21"/>
  <c r="Y228" i="21"/>
  <c r="Z228" i="21"/>
  <c r="AB228" i="21"/>
  <c r="AC228" i="21"/>
  <c r="AE228" i="21"/>
  <c r="AF228" i="21"/>
  <c r="B226" i="21"/>
  <c r="D226" i="21"/>
  <c r="E226" i="21"/>
  <c r="G226" i="21"/>
  <c r="H226" i="21"/>
  <c r="J226" i="21"/>
  <c r="K226" i="21"/>
  <c r="M226" i="21"/>
  <c r="N226" i="21"/>
  <c r="P226" i="21"/>
  <c r="Q226" i="21"/>
  <c r="S226" i="21"/>
  <c r="T226" i="21"/>
  <c r="V226" i="21"/>
  <c r="W226" i="21"/>
  <c r="Y226" i="21"/>
  <c r="Z226" i="21"/>
  <c r="AB226" i="21"/>
  <c r="AC226" i="21"/>
  <c r="AE226" i="21"/>
  <c r="AF226" i="21"/>
  <c r="B225" i="21"/>
  <c r="D225" i="21"/>
  <c r="E225" i="21"/>
  <c r="G225" i="21"/>
  <c r="H225" i="21"/>
  <c r="J225" i="21"/>
  <c r="K225" i="21"/>
  <c r="M225" i="21"/>
  <c r="N225" i="21"/>
  <c r="N207" i="21"/>
  <c r="P207" i="21"/>
  <c r="O207" i="21"/>
  <c r="P225" i="21"/>
  <c r="Q225" i="21"/>
  <c r="S225" i="21"/>
  <c r="T225" i="21"/>
  <c r="V225" i="21"/>
  <c r="W225" i="21"/>
  <c r="Y225" i="21"/>
  <c r="Z225" i="21"/>
  <c r="AB225" i="21"/>
  <c r="AC225" i="21"/>
  <c r="AE225" i="21"/>
  <c r="AF225" i="21"/>
  <c r="B224" i="21"/>
  <c r="B207" i="21"/>
  <c r="D207" i="21"/>
  <c r="C207" i="21"/>
  <c r="D224" i="21"/>
  <c r="E224" i="21"/>
  <c r="E207" i="21"/>
  <c r="G207" i="21"/>
  <c r="F207" i="21"/>
  <c r="G224" i="21"/>
  <c r="H224" i="21"/>
  <c r="J224" i="21"/>
  <c r="K224" i="21"/>
  <c r="K207" i="21"/>
  <c r="M207" i="21"/>
  <c r="L207" i="21"/>
  <c r="M224" i="21"/>
  <c r="N224" i="21"/>
  <c r="P224" i="21"/>
  <c r="Q224" i="21"/>
  <c r="S224" i="21"/>
  <c r="T224" i="21"/>
  <c r="V224" i="21"/>
  <c r="W224" i="21"/>
  <c r="Y224" i="21"/>
  <c r="Z224" i="21"/>
  <c r="AB224" i="21"/>
  <c r="AC224" i="21"/>
  <c r="AE224" i="21"/>
  <c r="AF224" i="21"/>
  <c r="B223" i="21"/>
  <c r="D223" i="21"/>
  <c r="E223" i="21"/>
  <c r="G223" i="21"/>
  <c r="H223" i="21"/>
  <c r="H207" i="21"/>
  <c r="J207" i="21"/>
  <c r="I207" i="21"/>
  <c r="J223" i="21"/>
  <c r="K223" i="21"/>
  <c r="M223" i="21"/>
  <c r="N223" i="21"/>
  <c r="P223" i="21"/>
  <c r="Q223" i="21"/>
  <c r="Q207" i="21"/>
  <c r="S207" i="21"/>
  <c r="R207" i="21"/>
  <c r="S223" i="21"/>
  <c r="T223" i="21"/>
  <c r="V223" i="21"/>
  <c r="W223" i="21"/>
  <c r="Y223" i="21"/>
  <c r="Z223" i="21"/>
  <c r="AB223" i="21"/>
  <c r="AC223" i="21"/>
  <c r="AE223" i="21"/>
  <c r="AF223" i="21"/>
  <c r="B222" i="21"/>
  <c r="D222" i="21"/>
  <c r="E222" i="21"/>
  <c r="G222" i="21"/>
  <c r="H222" i="21"/>
  <c r="J222" i="21"/>
  <c r="K222" i="21"/>
  <c r="M222" i="21"/>
  <c r="N222" i="21"/>
  <c r="P222" i="21"/>
  <c r="Q222" i="21"/>
  <c r="S222" i="21"/>
  <c r="T222" i="21"/>
  <c r="V222" i="21"/>
  <c r="W222" i="21"/>
  <c r="Y222" i="21"/>
  <c r="Z222" i="21"/>
  <c r="AB222" i="21"/>
  <c r="AC222" i="21"/>
  <c r="AE222" i="21"/>
  <c r="AF222" i="21"/>
  <c r="B220" i="21"/>
  <c r="D220" i="21"/>
  <c r="E220" i="21"/>
  <c r="G220" i="21"/>
  <c r="H220" i="21"/>
  <c r="J220" i="21"/>
  <c r="K220" i="21"/>
  <c r="M220" i="21"/>
  <c r="N220" i="21"/>
  <c r="P220" i="21"/>
  <c r="Q220" i="21"/>
  <c r="S220" i="21"/>
  <c r="T220" i="21"/>
  <c r="V220" i="21"/>
  <c r="W220" i="21"/>
  <c r="Y220" i="21"/>
  <c r="Z220" i="21"/>
  <c r="AB220" i="21"/>
  <c r="AC220" i="21"/>
  <c r="AE220" i="21"/>
  <c r="AF220" i="21"/>
  <c r="AG220" i="21"/>
  <c r="B219" i="21"/>
  <c r="D219" i="21"/>
  <c r="E219" i="21"/>
  <c r="G219" i="21"/>
  <c r="H219" i="21"/>
  <c r="J219" i="21"/>
  <c r="K219" i="21"/>
  <c r="M219" i="21"/>
  <c r="N219" i="21"/>
  <c r="P219" i="21"/>
  <c r="Q219" i="21"/>
  <c r="S219" i="21"/>
  <c r="T219" i="21"/>
  <c r="V219" i="21"/>
  <c r="W219" i="21"/>
  <c r="Y219" i="21"/>
  <c r="Z219" i="21"/>
  <c r="AB219" i="21"/>
  <c r="AC219" i="21"/>
  <c r="AE219" i="21"/>
  <c r="AF219" i="21"/>
  <c r="AG219" i="21"/>
  <c r="B218" i="21"/>
  <c r="D218" i="21"/>
  <c r="E218" i="21"/>
  <c r="G218" i="21"/>
  <c r="H218" i="21"/>
  <c r="J218" i="21"/>
  <c r="K218" i="21"/>
  <c r="M218" i="21"/>
  <c r="N218" i="21"/>
  <c r="P218" i="21"/>
  <c r="Q218" i="21"/>
  <c r="S218" i="21"/>
  <c r="T218" i="21"/>
  <c r="V218" i="21"/>
  <c r="W218" i="21"/>
  <c r="Y218" i="21"/>
  <c r="Z218" i="21"/>
  <c r="AB218" i="21"/>
  <c r="AC218" i="21"/>
  <c r="AE218" i="21"/>
  <c r="AF218" i="21"/>
  <c r="AG218" i="21"/>
  <c r="B217" i="21"/>
  <c r="D217" i="21"/>
  <c r="E217" i="21"/>
  <c r="G217" i="21"/>
  <c r="H217" i="21"/>
  <c r="J217" i="21"/>
  <c r="K217" i="21"/>
  <c r="M217" i="21"/>
  <c r="N217" i="21"/>
  <c r="P217" i="21"/>
  <c r="Q217" i="21"/>
  <c r="S217" i="21"/>
  <c r="T217" i="21"/>
  <c r="V217" i="21"/>
  <c r="W217" i="21"/>
  <c r="Y217" i="21"/>
  <c r="Z217" i="21"/>
  <c r="AB217" i="21"/>
  <c r="AC217" i="21"/>
  <c r="AE217" i="21"/>
  <c r="AF217" i="21"/>
  <c r="AG217" i="21"/>
  <c r="B216" i="21"/>
  <c r="D216" i="21"/>
  <c r="E216" i="21"/>
  <c r="G216" i="21"/>
  <c r="H216" i="21"/>
  <c r="J216" i="21"/>
  <c r="K216" i="21"/>
  <c r="M216" i="21"/>
  <c r="N216" i="21"/>
  <c r="P216" i="21"/>
  <c r="Q216" i="21"/>
  <c r="S216" i="21"/>
  <c r="T216" i="21"/>
  <c r="V216" i="21"/>
  <c r="W216" i="21"/>
  <c r="Y216" i="21"/>
  <c r="Z216" i="21"/>
  <c r="AB216" i="21"/>
  <c r="AC216" i="21"/>
  <c r="AE216" i="21"/>
  <c r="AF216" i="21"/>
  <c r="AG216" i="21"/>
  <c r="AC209" i="21"/>
  <c r="AE209" i="21"/>
  <c r="AC210" i="21"/>
  <c r="AE210" i="21"/>
  <c r="AC211" i="21"/>
  <c r="AE211" i="21"/>
  <c r="AC212" i="21"/>
  <c r="AE212" i="21"/>
  <c r="AC213" i="21"/>
  <c r="AE213" i="21"/>
  <c r="AC214" i="21"/>
  <c r="Z209" i="21"/>
  <c r="AB209" i="21"/>
  <c r="Z210" i="21"/>
  <c r="AB210" i="21"/>
  <c r="Z211" i="21"/>
  <c r="AB211" i="21"/>
  <c r="Z212" i="21"/>
  <c r="AB212" i="21"/>
  <c r="Z213" i="21"/>
  <c r="AB213" i="21"/>
  <c r="Z214" i="21"/>
  <c r="W209" i="21"/>
  <c r="Y209" i="21"/>
  <c r="W210" i="21"/>
  <c r="Y210" i="21"/>
  <c r="W211" i="21"/>
  <c r="Y211" i="21"/>
  <c r="W212" i="21"/>
  <c r="Y212" i="21"/>
  <c r="W213" i="21"/>
  <c r="Y213" i="21"/>
  <c r="W214" i="21"/>
  <c r="T209" i="21"/>
  <c r="V209" i="21"/>
  <c r="T210" i="21"/>
  <c r="V210" i="21"/>
  <c r="T211" i="21"/>
  <c r="V211" i="21"/>
  <c r="T212" i="21"/>
  <c r="V212" i="21"/>
  <c r="T213" i="21"/>
  <c r="V213" i="21"/>
  <c r="T214" i="21"/>
  <c r="AE207" i="21"/>
  <c r="AC207" i="21"/>
  <c r="AD207" i="21"/>
  <c r="AB207" i="21"/>
  <c r="Z207" i="21"/>
  <c r="AA207" i="21"/>
  <c r="Y207" i="21"/>
  <c r="W207" i="21"/>
  <c r="X207" i="21"/>
  <c r="V207" i="21"/>
  <c r="T207" i="21"/>
  <c r="U207" i="21"/>
  <c r="AE200" i="21"/>
  <c r="AC200" i="21"/>
  <c r="AB200" i="21"/>
  <c r="Z200" i="21"/>
  <c r="Y200" i="21"/>
  <c r="W200" i="21"/>
  <c r="V200" i="21"/>
  <c r="T200" i="21"/>
  <c r="S200" i="21"/>
  <c r="Q200" i="21"/>
  <c r="P200" i="21"/>
  <c r="N200" i="21"/>
  <c r="M200" i="21"/>
  <c r="K200" i="21"/>
  <c r="J200" i="21"/>
  <c r="H200" i="21"/>
  <c r="G200" i="21"/>
  <c r="E200" i="21"/>
  <c r="D200" i="21"/>
  <c r="B200" i="21"/>
  <c r="AD199" i="21"/>
  <c r="AA199" i="21"/>
  <c r="X199" i="21"/>
  <c r="U199" i="21"/>
  <c r="R199" i="21"/>
  <c r="O199" i="21"/>
  <c r="L199" i="21"/>
  <c r="I199" i="21"/>
  <c r="F199" i="21"/>
  <c r="A199" i="21"/>
  <c r="AG198" i="21"/>
  <c r="AH198" i="21"/>
  <c r="AI198" i="21"/>
  <c r="AJ198" i="21"/>
  <c r="AK198" i="21"/>
  <c r="AL198" i="21"/>
  <c r="AM198" i="21"/>
  <c r="AN198" i="21"/>
  <c r="AO198" i="21"/>
  <c r="AP198" i="21"/>
  <c r="AQ198" i="21"/>
  <c r="AF198" i="21"/>
  <c r="AD198" i="21"/>
  <c r="AA198" i="21"/>
  <c r="X198" i="21"/>
  <c r="U198" i="21"/>
  <c r="R198" i="21"/>
  <c r="O198" i="21"/>
  <c r="L198" i="21"/>
  <c r="I198" i="21"/>
  <c r="F198" i="21"/>
  <c r="A198" i="21"/>
  <c r="AG197" i="21"/>
  <c r="AH197" i="21"/>
  <c r="AI197" i="21"/>
  <c r="AJ197" i="21"/>
  <c r="AK197" i="21"/>
  <c r="AL197" i="21"/>
  <c r="AM197" i="21"/>
  <c r="AN197" i="21"/>
  <c r="AO197" i="21"/>
  <c r="AP197" i="21"/>
  <c r="AQ197" i="21"/>
  <c r="AF197" i="21"/>
  <c r="AD197" i="21"/>
  <c r="AA197" i="21"/>
  <c r="X197" i="21"/>
  <c r="U197" i="21"/>
  <c r="R197" i="21"/>
  <c r="O197" i="21"/>
  <c r="L197" i="21"/>
  <c r="I197" i="21"/>
  <c r="F197" i="21"/>
  <c r="A197" i="21"/>
  <c r="AG196" i="21"/>
  <c r="AH196" i="21"/>
  <c r="AI196" i="21"/>
  <c r="AJ196" i="21"/>
  <c r="AK196" i="21"/>
  <c r="AL196" i="21"/>
  <c r="AM196" i="21"/>
  <c r="AN196" i="21"/>
  <c r="AO196" i="21"/>
  <c r="AP196" i="21"/>
  <c r="AQ196" i="21"/>
  <c r="AF196" i="21"/>
  <c r="AD196" i="21"/>
  <c r="AA196" i="21"/>
  <c r="X196" i="21"/>
  <c r="U196" i="21"/>
  <c r="R196" i="21"/>
  <c r="O196" i="21"/>
  <c r="L196" i="21"/>
  <c r="I196" i="21"/>
  <c r="F196" i="21"/>
  <c r="A196" i="21"/>
  <c r="AG195" i="21"/>
  <c r="AH195" i="21"/>
  <c r="AI195" i="21"/>
  <c r="AJ195" i="21"/>
  <c r="AK195" i="21"/>
  <c r="AL195" i="21"/>
  <c r="AM195" i="21"/>
  <c r="AN195" i="21"/>
  <c r="AO195" i="21"/>
  <c r="AP195" i="21"/>
  <c r="AQ195" i="21"/>
  <c r="AF195" i="21"/>
  <c r="AD195" i="21"/>
  <c r="AA195" i="21"/>
  <c r="X195" i="21"/>
  <c r="U195" i="21"/>
  <c r="R195" i="21"/>
  <c r="O195" i="21"/>
  <c r="L195" i="21"/>
  <c r="I195" i="21"/>
  <c r="F195" i="21"/>
  <c r="AG194" i="21"/>
  <c r="AH194" i="21"/>
  <c r="AI194" i="21"/>
  <c r="AJ194" i="21"/>
  <c r="AK194" i="21"/>
  <c r="AL194" i="21"/>
  <c r="AM194" i="21"/>
  <c r="AN194" i="21"/>
  <c r="AO194" i="21"/>
  <c r="AP194" i="21"/>
  <c r="AQ194" i="21"/>
  <c r="AF194" i="21"/>
  <c r="AD194" i="21"/>
  <c r="AA194" i="21"/>
  <c r="X194" i="21"/>
  <c r="U194" i="21"/>
  <c r="R194" i="21"/>
  <c r="O194" i="21"/>
  <c r="L194" i="21"/>
  <c r="I194" i="21"/>
  <c r="F194" i="21"/>
  <c r="AC192" i="21"/>
  <c r="Z192" i="21"/>
  <c r="W192" i="21"/>
  <c r="T192" i="21"/>
  <c r="Q192" i="21"/>
  <c r="N192" i="21"/>
  <c r="K192" i="21"/>
  <c r="H192" i="21"/>
  <c r="E192" i="21"/>
  <c r="E187" i="21"/>
  <c r="AC186" i="21"/>
  <c r="Z186" i="21"/>
  <c r="W186" i="21"/>
  <c r="R186" i="21"/>
  <c r="L186" i="21"/>
  <c r="A186" i="21"/>
  <c r="E185" i="21"/>
  <c r="AC184" i="21"/>
  <c r="Z184" i="21"/>
  <c r="W184" i="21"/>
  <c r="R184" i="21"/>
  <c r="L184" i="21"/>
  <c r="A184" i="21"/>
  <c r="E181" i="20"/>
  <c r="AB266" i="20"/>
  <c r="E183" i="21"/>
  <c r="AC182" i="21"/>
  <c r="Z182" i="21"/>
  <c r="W182" i="21"/>
  <c r="R182" i="21"/>
  <c r="L182" i="21"/>
  <c r="A182" i="21"/>
  <c r="E96" i="20"/>
  <c r="AB265" i="20"/>
  <c r="E181" i="21"/>
  <c r="AC180" i="21"/>
  <c r="Z180" i="21"/>
  <c r="W180" i="21"/>
  <c r="R180" i="21"/>
  <c r="L180" i="21"/>
  <c r="A180" i="21"/>
  <c r="E9" i="20"/>
  <c r="AB264" i="20"/>
  <c r="E179" i="21"/>
  <c r="AC178" i="21"/>
  <c r="Z178" i="21"/>
  <c r="W178" i="21"/>
  <c r="R178" i="21"/>
  <c r="L178" i="21"/>
  <c r="A178" i="21"/>
  <c r="R177" i="21"/>
  <c r="L177" i="21"/>
  <c r="K176" i="21"/>
  <c r="A174" i="21"/>
  <c r="AE170" i="21"/>
  <c r="AE116" i="21"/>
  <c r="AE117" i="21"/>
  <c r="AE118" i="21"/>
  <c r="AE119" i="21"/>
  <c r="AE120" i="21"/>
  <c r="AE121" i="21"/>
  <c r="AC170" i="21"/>
  <c r="AC116" i="21"/>
  <c r="AC117" i="21"/>
  <c r="AC118" i="21"/>
  <c r="AC119" i="21"/>
  <c r="AC120" i="21"/>
  <c r="AC121" i="21"/>
  <c r="AE171" i="21"/>
  <c r="AE172" i="21"/>
  <c r="AC171" i="21"/>
  <c r="AC172" i="21"/>
  <c r="AB170" i="21"/>
  <c r="AB116" i="21"/>
  <c r="AB117" i="21"/>
  <c r="AB118" i="21"/>
  <c r="AB119" i="21"/>
  <c r="AB120" i="21"/>
  <c r="AB121" i="21"/>
  <c r="Z170" i="21"/>
  <c r="Z116" i="21"/>
  <c r="Z117" i="21"/>
  <c r="Z118" i="21"/>
  <c r="Z119" i="21"/>
  <c r="Z120" i="21"/>
  <c r="Z121" i="21"/>
  <c r="AB171" i="21"/>
  <c r="AB172" i="21"/>
  <c r="Z171" i="21"/>
  <c r="Z172" i="21"/>
  <c r="Y170" i="21"/>
  <c r="Y116" i="21"/>
  <c r="Y117" i="21"/>
  <c r="Y118" i="21"/>
  <c r="Y119" i="21"/>
  <c r="Y120" i="21"/>
  <c r="Y121" i="21"/>
  <c r="W170" i="21"/>
  <c r="W116" i="21"/>
  <c r="W117" i="21"/>
  <c r="W118" i="21"/>
  <c r="W119" i="21"/>
  <c r="W120" i="21"/>
  <c r="W121" i="21"/>
  <c r="Y171" i="21"/>
  <c r="Y172" i="21"/>
  <c r="W171" i="21"/>
  <c r="W172" i="21"/>
  <c r="V170" i="21"/>
  <c r="V116" i="21"/>
  <c r="V117" i="21"/>
  <c r="V118" i="21"/>
  <c r="V119" i="21"/>
  <c r="V120" i="21"/>
  <c r="V121" i="21"/>
  <c r="T170" i="21"/>
  <c r="T116" i="21"/>
  <c r="T117" i="21"/>
  <c r="T118" i="21"/>
  <c r="T119" i="21"/>
  <c r="T120" i="21"/>
  <c r="T121" i="21"/>
  <c r="V171" i="21"/>
  <c r="V172" i="21"/>
  <c r="T171" i="21"/>
  <c r="T172" i="21"/>
  <c r="N158" i="21"/>
  <c r="P158" i="21"/>
  <c r="K158" i="21"/>
  <c r="M158" i="21"/>
  <c r="H149" i="21"/>
  <c r="J149" i="21"/>
  <c r="H116" i="21"/>
  <c r="H117" i="21"/>
  <c r="H118" i="21"/>
  <c r="H119" i="21"/>
  <c r="H120" i="21"/>
  <c r="H150" i="21"/>
  <c r="J150" i="21"/>
  <c r="H151" i="21"/>
  <c r="J151" i="21"/>
  <c r="H152" i="21"/>
  <c r="J116" i="21"/>
  <c r="J117" i="21"/>
  <c r="J118" i="21"/>
  <c r="J119" i="21"/>
  <c r="J120" i="21"/>
  <c r="J152" i="21"/>
  <c r="H153" i="21"/>
  <c r="J153" i="21"/>
  <c r="I156" i="21"/>
  <c r="H158" i="21"/>
  <c r="E158" i="21"/>
  <c r="G158" i="21"/>
  <c r="B149" i="21"/>
  <c r="D149" i="21"/>
  <c r="B116" i="21"/>
  <c r="B117" i="21"/>
  <c r="B118" i="21"/>
  <c r="B119" i="21"/>
  <c r="B120" i="21"/>
  <c r="B150" i="21"/>
  <c r="D150" i="21"/>
  <c r="B151" i="21"/>
  <c r="D116" i="21"/>
  <c r="D117" i="21"/>
  <c r="D118" i="21"/>
  <c r="D119" i="21"/>
  <c r="D120" i="21"/>
  <c r="D151" i="21"/>
  <c r="B152" i="21"/>
  <c r="D152" i="21"/>
  <c r="B153" i="21"/>
  <c r="D153" i="21"/>
  <c r="C156" i="21"/>
  <c r="B158" i="21"/>
  <c r="E95" i="21"/>
  <c r="B165" i="21"/>
  <c r="AX8" i="20"/>
  <c r="AW5" i="21"/>
  <c r="C165" i="21"/>
  <c r="B170" i="21"/>
  <c r="B121" i="21"/>
  <c r="E97" i="21"/>
  <c r="B166" i="21"/>
  <c r="AX4" i="20"/>
  <c r="AW8" i="21"/>
  <c r="C166" i="21"/>
  <c r="D170" i="21"/>
  <c r="D121" i="21"/>
  <c r="B171" i="21"/>
  <c r="B172" i="21"/>
  <c r="D165" i="21"/>
  <c r="G165" i="21"/>
  <c r="H170" i="21"/>
  <c r="H121" i="21"/>
  <c r="E160" i="21"/>
  <c r="E116" i="21"/>
  <c r="E117" i="21"/>
  <c r="E118" i="21"/>
  <c r="E119" i="21"/>
  <c r="E120" i="21"/>
  <c r="E149" i="21"/>
  <c r="G149" i="21"/>
  <c r="E150" i="21"/>
  <c r="G150" i="21"/>
  <c r="E151" i="21"/>
  <c r="G151" i="21"/>
  <c r="E152" i="21"/>
  <c r="G116" i="21"/>
  <c r="G117" i="21"/>
  <c r="G118" i="21"/>
  <c r="G119" i="21"/>
  <c r="G120" i="21"/>
  <c r="G152" i="21"/>
  <c r="E153" i="21"/>
  <c r="G153" i="21"/>
  <c r="F156" i="21"/>
  <c r="G160" i="21"/>
  <c r="B160" i="21"/>
  <c r="D160" i="21"/>
  <c r="E99" i="21"/>
  <c r="B167" i="21"/>
  <c r="AX10" i="20"/>
  <c r="AW9" i="21"/>
  <c r="C167" i="21"/>
  <c r="D167" i="21"/>
  <c r="G170" i="21"/>
  <c r="G121" i="21"/>
  <c r="B157" i="21"/>
  <c r="D157" i="21"/>
  <c r="E93" i="21"/>
  <c r="B164" i="21"/>
  <c r="C164" i="21"/>
  <c r="D164" i="21"/>
  <c r="E170" i="21"/>
  <c r="E121" i="21"/>
  <c r="G171" i="21"/>
  <c r="G172" i="21"/>
  <c r="G167" i="21"/>
  <c r="J170" i="21"/>
  <c r="J121" i="21"/>
  <c r="H171" i="21"/>
  <c r="H172" i="21"/>
  <c r="J165" i="21"/>
  <c r="M165" i="21"/>
  <c r="P165" i="21"/>
  <c r="S170" i="21"/>
  <c r="S116" i="21"/>
  <c r="S117" i="21"/>
  <c r="S118" i="21"/>
  <c r="S119" i="21"/>
  <c r="S120" i="21"/>
  <c r="S121" i="21"/>
  <c r="N157" i="21"/>
  <c r="P157" i="21"/>
  <c r="K116" i="21"/>
  <c r="K117" i="21"/>
  <c r="K118" i="21"/>
  <c r="K119" i="21"/>
  <c r="K120" i="21"/>
  <c r="K149" i="21"/>
  <c r="M149" i="21"/>
  <c r="K150" i="21"/>
  <c r="M150" i="21"/>
  <c r="K151" i="21"/>
  <c r="M116" i="21"/>
  <c r="M117" i="21"/>
  <c r="M118" i="21"/>
  <c r="M119" i="21"/>
  <c r="M120" i="21"/>
  <c r="M151" i="21"/>
  <c r="K152" i="21"/>
  <c r="M152" i="21"/>
  <c r="K153" i="21"/>
  <c r="M153" i="21"/>
  <c r="L156" i="21"/>
  <c r="K157" i="21"/>
  <c r="H157" i="21"/>
  <c r="J157" i="21"/>
  <c r="E157" i="21"/>
  <c r="E171" i="21"/>
  <c r="E172" i="21"/>
  <c r="G164" i="21"/>
  <c r="J164" i="21"/>
  <c r="K170" i="21"/>
  <c r="K121" i="21"/>
  <c r="H159" i="21"/>
  <c r="J159" i="21"/>
  <c r="E159" i="21"/>
  <c r="G159" i="21"/>
  <c r="B159" i="21"/>
  <c r="D159" i="21"/>
  <c r="D171" i="21"/>
  <c r="D172" i="21"/>
  <c r="D166" i="21"/>
  <c r="G166" i="21"/>
  <c r="J166" i="21"/>
  <c r="M170" i="21"/>
  <c r="M121" i="21"/>
  <c r="K171" i="21"/>
  <c r="K172" i="21"/>
  <c r="M164" i="21"/>
  <c r="P164" i="21"/>
  <c r="Q170" i="21"/>
  <c r="Q116" i="21"/>
  <c r="Q117" i="21"/>
  <c r="Q118" i="21"/>
  <c r="Q119" i="21"/>
  <c r="Q120" i="21"/>
  <c r="Q121" i="21"/>
  <c r="S171" i="21"/>
  <c r="S172" i="21"/>
  <c r="Q171" i="21"/>
  <c r="Q172" i="21"/>
  <c r="K160" i="21"/>
  <c r="M160" i="21"/>
  <c r="H160" i="21"/>
  <c r="J160" i="21"/>
  <c r="J171" i="21"/>
  <c r="J172" i="21"/>
  <c r="J167" i="21"/>
  <c r="M167" i="21"/>
  <c r="P170" i="21"/>
  <c r="P116" i="21"/>
  <c r="P117" i="21"/>
  <c r="P118" i="21"/>
  <c r="P119" i="21"/>
  <c r="P120" i="21"/>
  <c r="P121" i="21"/>
  <c r="K159" i="21"/>
  <c r="M159" i="21"/>
  <c r="M171" i="21"/>
  <c r="M172" i="21"/>
  <c r="M166" i="21"/>
  <c r="N170" i="21"/>
  <c r="N116" i="21"/>
  <c r="N117" i="21"/>
  <c r="N118" i="21"/>
  <c r="N119" i="21"/>
  <c r="N120" i="21"/>
  <c r="N121" i="21"/>
  <c r="P171" i="21"/>
  <c r="P172" i="21"/>
  <c r="N171" i="21"/>
  <c r="N172" i="21"/>
  <c r="AC161" i="21"/>
  <c r="AE161" i="21"/>
  <c r="Z161" i="21"/>
  <c r="AB161" i="21"/>
  <c r="W161" i="21"/>
  <c r="Y161" i="21"/>
  <c r="T161" i="21"/>
  <c r="V161" i="21"/>
  <c r="Q161" i="21"/>
  <c r="S161" i="21"/>
  <c r="N161" i="21"/>
  <c r="P161" i="21"/>
  <c r="K161" i="21"/>
  <c r="M161" i="21"/>
  <c r="H161" i="21"/>
  <c r="J161" i="21"/>
  <c r="E161" i="21"/>
  <c r="G161" i="21"/>
  <c r="B161" i="21"/>
  <c r="D161" i="21"/>
  <c r="E101" i="21"/>
  <c r="B168" i="21"/>
  <c r="C168" i="21"/>
  <c r="D168" i="21"/>
  <c r="G168" i="21"/>
  <c r="J168" i="21"/>
  <c r="M168" i="21"/>
  <c r="P168" i="21"/>
  <c r="S168" i="21"/>
  <c r="V168" i="21"/>
  <c r="Y168" i="21"/>
  <c r="AB168" i="21"/>
  <c r="AE168" i="21"/>
  <c r="AU168" i="21"/>
  <c r="AT168" i="21"/>
  <c r="AC160" i="21"/>
  <c r="AE160" i="21"/>
  <c r="Z160" i="21"/>
  <c r="AB160" i="21"/>
  <c r="W160" i="21"/>
  <c r="Y160" i="21"/>
  <c r="T160" i="21"/>
  <c r="V160" i="21"/>
  <c r="Q160" i="21"/>
  <c r="S160" i="21"/>
  <c r="N160" i="21"/>
  <c r="N149" i="21"/>
  <c r="P149" i="21"/>
  <c r="N150" i="21"/>
  <c r="P150" i="21"/>
  <c r="N151" i="21"/>
  <c r="P151" i="21"/>
  <c r="N152" i="21"/>
  <c r="P152" i="21"/>
  <c r="N153" i="21"/>
  <c r="P153" i="21"/>
  <c r="O156" i="21"/>
  <c r="P160" i="21"/>
  <c r="P167" i="21"/>
  <c r="S167" i="21"/>
  <c r="V167" i="21"/>
  <c r="Y167" i="21"/>
  <c r="AB167" i="21"/>
  <c r="AE167" i="21"/>
  <c r="AU167" i="21"/>
  <c r="AT167" i="21"/>
  <c r="AC159" i="21"/>
  <c r="AE159" i="21"/>
  <c r="Z159" i="21"/>
  <c r="AB159" i="21"/>
  <c r="W159" i="21"/>
  <c r="Y159" i="21"/>
  <c r="T159" i="21"/>
  <c r="V159" i="21"/>
  <c r="Q159" i="21"/>
  <c r="S159" i="21"/>
  <c r="N159" i="21"/>
  <c r="P166" i="21"/>
  <c r="S166" i="21"/>
  <c r="V166" i="21"/>
  <c r="Y166" i="21"/>
  <c r="AB166" i="21"/>
  <c r="AE166" i="21"/>
  <c r="AU166" i="21"/>
  <c r="AT166" i="21"/>
  <c r="AC158" i="21"/>
  <c r="AE158" i="21"/>
  <c r="Z158" i="21"/>
  <c r="AB158" i="21"/>
  <c r="W158" i="21"/>
  <c r="Y158" i="21"/>
  <c r="T158" i="21"/>
  <c r="V158" i="21"/>
  <c r="Q158" i="21"/>
  <c r="Q149" i="21"/>
  <c r="S149" i="21"/>
  <c r="Q150" i="21"/>
  <c r="S150" i="21"/>
  <c r="Q151" i="21"/>
  <c r="S151" i="21"/>
  <c r="Q152" i="21"/>
  <c r="S152" i="21"/>
  <c r="Q153" i="21"/>
  <c r="S153" i="21"/>
  <c r="R156" i="21"/>
  <c r="S158" i="21"/>
  <c r="S165" i="21"/>
  <c r="V165" i="21"/>
  <c r="Y165" i="21"/>
  <c r="AB165" i="21"/>
  <c r="AE165" i="21"/>
  <c r="AU165" i="21"/>
  <c r="AT165" i="21"/>
  <c r="AC157" i="21"/>
  <c r="AE157" i="21"/>
  <c r="Z157" i="21"/>
  <c r="AB157" i="21"/>
  <c r="W157" i="21"/>
  <c r="Y157" i="21"/>
  <c r="T157" i="21"/>
  <c r="V157" i="21"/>
  <c r="Q157" i="21"/>
  <c r="S164" i="21"/>
  <c r="V164" i="21"/>
  <c r="Y164" i="21"/>
  <c r="AB164" i="21"/>
  <c r="AE164" i="21"/>
  <c r="AU164" i="21"/>
  <c r="AT164" i="21"/>
  <c r="AF161" i="21"/>
  <c r="AF160" i="21"/>
  <c r="P159" i="21"/>
  <c r="AF159" i="21"/>
  <c r="D158" i="21"/>
  <c r="J158" i="21"/>
  <c r="AF158" i="21"/>
  <c r="G157" i="21"/>
  <c r="M157" i="21"/>
  <c r="S157" i="21"/>
  <c r="AF157" i="21"/>
  <c r="AC149" i="21"/>
  <c r="AE149" i="21"/>
  <c r="AC150" i="21"/>
  <c r="AE150" i="21"/>
  <c r="AC151" i="21"/>
  <c r="AE151" i="21"/>
  <c r="AC152" i="21"/>
  <c r="AE152" i="21"/>
  <c r="AC153" i="21"/>
  <c r="AE153" i="21"/>
  <c r="AD156" i="21"/>
  <c r="Z149" i="21"/>
  <c r="AB149" i="21"/>
  <c r="Z150" i="21"/>
  <c r="AB150" i="21"/>
  <c r="Z151" i="21"/>
  <c r="AB151" i="21"/>
  <c r="Z152" i="21"/>
  <c r="AB152" i="21"/>
  <c r="Z153" i="21"/>
  <c r="AB153" i="21"/>
  <c r="AA156" i="21"/>
  <c r="W149" i="21"/>
  <c r="Y149" i="21"/>
  <c r="W150" i="21"/>
  <c r="Y150" i="21"/>
  <c r="W151" i="21"/>
  <c r="Y151" i="21"/>
  <c r="W152" i="21"/>
  <c r="Y152" i="21"/>
  <c r="W153" i="21"/>
  <c r="Y153" i="21"/>
  <c r="X156" i="21"/>
  <c r="T149" i="21"/>
  <c r="V149" i="21"/>
  <c r="T150" i="21"/>
  <c r="V150" i="21"/>
  <c r="T151" i="21"/>
  <c r="V151" i="21"/>
  <c r="T152" i="21"/>
  <c r="V152" i="21"/>
  <c r="T153" i="21"/>
  <c r="V153" i="21"/>
  <c r="U156" i="21"/>
  <c r="AF153" i="21"/>
  <c r="AG153" i="21"/>
  <c r="AF152" i="21"/>
  <c r="AG152" i="21"/>
  <c r="AF151" i="21"/>
  <c r="AG151" i="21"/>
  <c r="AF150" i="21"/>
  <c r="AG150" i="21"/>
  <c r="AF149" i="21"/>
  <c r="AG149" i="21"/>
  <c r="B147" i="21"/>
  <c r="D147" i="21"/>
  <c r="E147" i="21"/>
  <c r="G147" i="21"/>
  <c r="H147" i="21"/>
  <c r="J147" i="21"/>
  <c r="K147" i="21"/>
  <c r="M147" i="21"/>
  <c r="N147" i="21"/>
  <c r="P147" i="21"/>
  <c r="Q147" i="21"/>
  <c r="S147" i="21"/>
  <c r="T147" i="21"/>
  <c r="V147" i="21"/>
  <c r="W147" i="21"/>
  <c r="Y147" i="21"/>
  <c r="Z147" i="21"/>
  <c r="AB147" i="21"/>
  <c r="AC147" i="21"/>
  <c r="AE147" i="21"/>
  <c r="AF147" i="21"/>
  <c r="B146" i="21"/>
  <c r="D146" i="21"/>
  <c r="E146" i="21"/>
  <c r="E124" i="21"/>
  <c r="G124" i="21"/>
  <c r="E125" i="21"/>
  <c r="G125" i="21"/>
  <c r="E126" i="21"/>
  <c r="G126" i="21"/>
  <c r="E127" i="21"/>
  <c r="G127" i="21"/>
  <c r="E128" i="21"/>
  <c r="G128" i="21"/>
  <c r="E129" i="21"/>
  <c r="G146" i="21"/>
  <c r="H146" i="21"/>
  <c r="H124" i="21"/>
  <c r="J124" i="21"/>
  <c r="H125" i="21"/>
  <c r="J125" i="21"/>
  <c r="H126" i="21"/>
  <c r="J126" i="21"/>
  <c r="H127" i="21"/>
  <c r="J127" i="21"/>
  <c r="H128" i="21"/>
  <c r="J128" i="21"/>
  <c r="H129" i="21"/>
  <c r="J146" i="21"/>
  <c r="K146" i="21"/>
  <c r="M146" i="21"/>
  <c r="N146" i="21"/>
  <c r="N124" i="21"/>
  <c r="P124" i="21"/>
  <c r="N125" i="21"/>
  <c r="P125" i="21"/>
  <c r="N126" i="21"/>
  <c r="P126" i="21"/>
  <c r="N127" i="21"/>
  <c r="P127" i="21"/>
  <c r="N128" i="21"/>
  <c r="P128" i="21"/>
  <c r="N129" i="21"/>
  <c r="P146" i="21"/>
  <c r="Q146" i="21"/>
  <c r="S146" i="21"/>
  <c r="T146" i="21"/>
  <c r="V146" i="21"/>
  <c r="W146" i="21"/>
  <c r="Y146" i="21"/>
  <c r="Z146" i="21"/>
  <c r="AB146" i="21"/>
  <c r="AC146" i="21"/>
  <c r="AE146" i="21"/>
  <c r="AF146" i="21"/>
  <c r="B145" i="21"/>
  <c r="B124" i="21"/>
  <c r="D124" i="21"/>
  <c r="B125" i="21"/>
  <c r="D125" i="21"/>
  <c r="B126" i="21"/>
  <c r="D126" i="21"/>
  <c r="B127" i="21"/>
  <c r="D127" i="21"/>
  <c r="B128" i="21"/>
  <c r="D128" i="21"/>
  <c r="B129" i="21"/>
  <c r="D145" i="21"/>
  <c r="E145" i="21"/>
  <c r="G145" i="21"/>
  <c r="H145" i="21"/>
  <c r="J145" i="21"/>
  <c r="K145" i="21"/>
  <c r="K124" i="21"/>
  <c r="M124" i="21"/>
  <c r="K125" i="21"/>
  <c r="M125" i="21"/>
  <c r="K126" i="21"/>
  <c r="M126" i="21"/>
  <c r="K127" i="21"/>
  <c r="M127" i="21"/>
  <c r="K128" i="21"/>
  <c r="M128" i="21"/>
  <c r="K129" i="21"/>
  <c r="M145" i="21"/>
  <c r="N145" i="21"/>
  <c r="P145" i="21"/>
  <c r="Q145" i="21"/>
  <c r="S145" i="21"/>
  <c r="T145" i="21"/>
  <c r="V145" i="21"/>
  <c r="W145" i="21"/>
  <c r="Y145" i="21"/>
  <c r="Z145" i="21"/>
  <c r="AB145" i="21"/>
  <c r="AC145" i="21"/>
  <c r="AE145" i="21"/>
  <c r="AF145" i="21"/>
  <c r="B144" i="21"/>
  <c r="D144" i="21"/>
  <c r="E144" i="21"/>
  <c r="G144" i="21"/>
  <c r="H144" i="21"/>
  <c r="J144" i="21"/>
  <c r="K144" i="21"/>
  <c r="M144" i="21"/>
  <c r="N144" i="21"/>
  <c r="P144" i="21"/>
  <c r="Q144" i="21"/>
  <c r="Q124" i="21"/>
  <c r="S124" i="21"/>
  <c r="Q125" i="21"/>
  <c r="S125" i="21"/>
  <c r="Q126" i="21"/>
  <c r="S126" i="21"/>
  <c r="Q127" i="21"/>
  <c r="S127" i="21"/>
  <c r="Q128" i="21"/>
  <c r="S128" i="21"/>
  <c r="Q129" i="21"/>
  <c r="S144" i="21"/>
  <c r="T144" i="21"/>
  <c r="V144" i="21"/>
  <c r="W144" i="21"/>
  <c r="Y144" i="21"/>
  <c r="Z144" i="21"/>
  <c r="AB144" i="21"/>
  <c r="AC144" i="21"/>
  <c r="AE144" i="21"/>
  <c r="AF144" i="21"/>
  <c r="B143" i="21"/>
  <c r="D143" i="21"/>
  <c r="E143" i="21"/>
  <c r="G143" i="21"/>
  <c r="H143" i="21"/>
  <c r="J143" i="21"/>
  <c r="K143" i="21"/>
  <c r="M143" i="21"/>
  <c r="N143" i="21"/>
  <c r="P143" i="21"/>
  <c r="Q143" i="21"/>
  <c r="S143" i="21"/>
  <c r="T143" i="21"/>
  <c r="V143" i="21"/>
  <c r="W143" i="21"/>
  <c r="Y143" i="21"/>
  <c r="Z143" i="21"/>
  <c r="AB143" i="21"/>
  <c r="AC143" i="21"/>
  <c r="AE143" i="21"/>
  <c r="AF143" i="21"/>
  <c r="B141" i="21"/>
  <c r="D141" i="21"/>
  <c r="E141" i="21"/>
  <c r="G141" i="21"/>
  <c r="H141" i="21"/>
  <c r="J141" i="21"/>
  <c r="K141" i="21"/>
  <c r="M141" i="21"/>
  <c r="N141" i="21"/>
  <c r="P141" i="21"/>
  <c r="Q141" i="21"/>
  <c r="S141" i="21"/>
  <c r="T141" i="21"/>
  <c r="V141" i="21"/>
  <c r="W141" i="21"/>
  <c r="Y141" i="21"/>
  <c r="Z141" i="21"/>
  <c r="AB141" i="21"/>
  <c r="AC141" i="21"/>
  <c r="AE141" i="21"/>
  <c r="AF141" i="21"/>
  <c r="B140" i="21"/>
  <c r="D140" i="21"/>
  <c r="E140" i="21"/>
  <c r="E122" i="21"/>
  <c r="G122" i="21"/>
  <c r="F122" i="21"/>
  <c r="G140" i="21"/>
  <c r="H140" i="21"/>
  <c r="H122" i="21"/>
  <c r="J122" i="21"/>
  <c r="I122" i="21"/>
  <c r="J140" i="21"/>
  <c r="K140" i="21"/>
  <c r="M140" i="21"/>
  <c r="N140" i="21"/>
  <c r="N122" i="21"/>
  <c r="P122" i="21"/>
  <c r="O122" i="21"/>
  <c r="P140" i="21"/>
  <c r="Q140" i="21"/>
  <c r="S140" i="21"/>
  <c r="T140" i="21"/>
  <c r="V140" i="21"/>
  <c r="W140" i="21"/>
  <c r="Y140" i="21"/>
  <c r="Z140" i="21"/>
  <c r="AB140" i="21"/>
  <c r="AC140" i="21"/>
  <c r="AE140" i="21"/>
  <c r="AF140" i="21"/>
  <c r="B139" i="21"/>
  <c r="B122" i="21"/>
  <c r="D122" i="21"/>
  <c r="C122" i="21"/>
  <c r="D139" i="21"/>
  <c r="E139" i="21"/>
  <c r="G139" i="21"/>
  <c r="H139" i="21"/>
  <c r="J139" i="21"/>
  <c r="K139" i="21"/>
  <c r="K122" i="21"/>
  <c r="M122" i="21"/>
  <c r="L122" i="21"/>
  <c r="M139" i="21"/>
  <c r="N139" i="21"/>
  <c r="P139" i="21"/>
  <c r="Q139" i="21"/>
  <c r="S139" i="21"/>
  <c r="T139" i="21"/>
  <c r="V139" i="21"/>
  <c r="W139" i="21"/>
  <c r="Y139" i="21"/>
  <c r="Z139" i="21"/>
  <c r="AB139" i="21"/>
  <c r="AC139" i="21"/>
  <c r="AE139" i="21"/>
  <c r="AF139" i="21"/>
  <c r="B138" i="21"/>
  <c r="D138" i="21"/>
  <c r="E138" i="21"/>
  <c r="G138" i="21"/>
  <c r="H138" i="21"/>
  <c r="J138" i="21"/>
  <c r="K138" i="21"/>
  <c r="M138" i="21"/>
  <c r="N138" i="21"/>
  <c r="P138" i="21"/>
  <c r="Q138" i="21"/>
  <c r="Q122" i="21"/>
  <c r="S122" i="21"/>
  <c r="R122" i="21"/>
  <c r="S138" i="21"/>
  <c r="T138" i="21"/>
  <c r="V138" i="21"/>
  <c r="W138" i="21"/>
  <c r="Y138" i="21"/>
  <c r="Z138" i="21"/>
  <c r="AB138" i="21"/>
  <c r="AC138" i="21"/>
  <c r="AE138" i="21"/>
  <c r="AF138" i="21"/>
  <c r="B137" i="21"/>
  <c r="D137" i="21"/>
  <c r="E137" i="21"/>
  <c r="G137" i="21"/>
  <c r="H137" i="21"/>
  <c r="J137" i="21"/>
  <c r="K137" i="21"/>
  <c r="M137" i="21"/>
  <c r="N137" i="21"/>
  <c r="P137" i="21"/>
  <c r="Q137" i="21"/>
  <c r="S137" i="21"/>
  <c r="T137" i="21"/>
  <c r="V137" i="21"/>
  <c r="W137" i="21"/>
  <c r="Y137" i="21"/>
  <c r="Z137" i="21"/>
  <c r="AB137" i="21"/>
  <c r="AC137" i="21"/>
  <c r="AE137" i="21"/>
  <c r="AF137" i="21"/>
  <c r="B135" i="21"/>
  <c r="D135" i="21"/>
  <c r="E135" i="21"/>
  <c r="G135" i="21"/>
  <c r="H135" i="21"/>
  <c r="J135" i="21"/>
  <c r="K135" i="21"/>
  <c r="M135" i="21"/>
  <c r="N135" i="21"/>
  <c r="P135" i="21"/>
  <c r="Q135" i="21"/>
  <c r="S135" i="21"/>
  <c r="T135" i="21"/>
  <c r="V135" i="21"/>
  <c r="W135" i="21"/>
  <c r="Y135" i="21"/>
  <c r="Z135" i="21"/>
  <c r="AB135" i="21"/>
  <c r="AC135" i="21"/>
  <c r="AE135" i="21"/>
  <c r="AF135" i="21"/>
  <c r="AG135" i="21"/>
  <c r="B134" i="21"/>
  <c r="D134" i="21"/>
  <c r="E134" i="21"/>
  <c r="G134" i="21"/>
  <c r="H134" i="21"/>
  <c r="J134" i="21"/>
  <c r="K134" i="21"/>
  <c r="M134" i="21"/>
  <c r="N134" i="21"/>
  <c r="P134" i="21"/>
  <c r="Q134" i="21"/>
  <c r="S134" i="21"/>
  <c r="T134" i="21"/>
  <c r="V134" i="21"/>
  <c r="W134" i="21"/>
  <c r="Y134" i="21"/>
  <c r="Z134" i="21"/>
  <c r="AB134" i="21"/>
  <c r="AC134" i="21"/>
  <c r="AE134" i="21"/>
  <c r="AF134" i="21"/>
  <c r="AG134" i="21"/>
  <c r="B133" i="21"/>
  <c r="D133" i="21"/>
  <c r="E133" i="21"/>
  <c r="G133" i="21"/>
  <c r="H133" i="21"/>
  <c r="J133" i="21"/>
  <c r="K133" i="21"/>
  <c r="M133" i="21"/>
  <c r="N133" i="21"/>
  <c r="P133" i="21"/>
  <c r="Q133" i="21"/>
  <c r="S133" i="21"/>
  <c r="T133" i="21"/>
  <c r="V133" i="21"/>
  <c r="W133" i="21"/>
  <c r="Y133" i="21"/>
  <c r="Z133" i="21"/>
  <c r="AB133" i="21"/>
  <c r="AC133" i="21"/>
  <c r="AE133" i="21"/>
  <c r="AF133" i="21"/>
  <c r="AG133" i="21"/>
  <c r="B132" i="21"/>
  <c r="D132" i="21"/>
  <c r="E132" i="21"/>
  <c r="G132" i="21"/>
  <c r="H132" i="21"/>
  <c r="J132" i="21"/>
  <c r="K132" i="21"/>
  <c r="M132" i="21"/>
  <c r="N132" i="21"/>
  <c r="P132" i="21"/>
  <c r="Q132" i="21"/>
  <c r="S132" i="21"/>
  <c r="T132" i="21"/>
  <c r="V132" i="21"/>
  <c r="W132" i="21"/>
  <c r="Y132" i="21"/>
  <c r="Z132" i="21"/>
  <c r="AB132" i="21"/>
  <c r="AC132" i="21"/>
  <c r="AE132" i="21"/>
  <c r="AF132" i="21"/>
  <c r="AG132" i="21"/>
  <c r="B131" i="21"/>
  <c r="D131" i="21"/>
  <c r="E131" i="21"/>
  <c r="G131" i="21"/>
  <c r="H131" i="21"/>
  <c r="J131" i="21"/>
  <c r="K131" i="21"/>
  <c r="M131" i="21"/>
  <c r="N131" i="21"/>
  <c r="P131" i="21"/>
  <c r="Q131" i="21"/>
  <c r="S131" i="21"/>
  <c r="T131" i="21"/>
  <c r="V131" i="21"/>
  <c r="W131" i="21"/>
  <c r="Y131" i="21"/>
  <c r="Z131" i="21"/>
  <c r="AB131" i="21"/>
  <c r="AC131" i="21"/>
  <c r="AE131" i="21"/>
  <c r="AF131" i="21"/>
  <c r="AG131" i="21"/>
  <c r="AC124" i="21"/>
  <c r="AE124" i="21"/>
  <c r="AC125" i="21"/>
  <c r="AE125" i="21"/>
  <c r="AC126" i="21"/>
  <c r="AE126" i="21"/>
  <c r="AC127" i="21"/>
  <c r="AE127" i="21"/>
  <c r="AC128" i="21"/>
  <c r="AE128" i="21"/>
  <c r="AC129" i="21"/>
  <c r="Z124" i="21"/>
  <c r="AB124" i="21"/>
  <c r="Z125" i="21"/>
  <c r="AB125" i="21"/>
  <c r="Z126" i="21"/>
  <c r="AB126" i="21"/>
  <c r="Z127" i="21"/>
  <c r="AB127" i="21"/>
  <c r="Z128" i="21"/>
  <c r="AB128" i="21"/>
  <c r="Z129" i="21"/>
  <c r="W124" i="21"/>
  <c r="Y124" i="21"/>
  <c r="W125" i="21"/>
  <c r="Y125" i="21"/>
  <c r="W126" i="21"/>
  <c r="Y126" i="21"/>
  <c r="W127" i="21"/>
  <c r="Y127" i="21"/>
  <c r="W128" i="21"/>
  <c r="Y128" i="21"/>
  <c r="W129" i="21"/>
  <c r="T124" i="21"/>
  <c r="V124" i="21"/>
  <c r="T125" i="21"/>
  <c r="V125" i="21"/>
  <c r="T126" i="21"/>
  <c r="V126" i="21"/>
  <c r="T127" i="21"/>
  <c r="V127" i="21"/>
  <c r="T128" i="21"/>
  <c r="V128" i="21"/>
  <c r="T129" i="21"/>
  <c r="AE122" i="21"/>
  <c r="AC122" i="21"/>
  <c r="AD122" i="21"/>
  <c r="AB122" i="21"/>
  <c r="Z122" i="21"/>
  <c r="AA122" i="21"/>
  <c r="Y122" i="21"/>
  <c r="W122" i="21"/>
  <c r="X122" i="21"/>
  <c r="V122" i="21"/>
  <c r="T122" i="21"/>
  <c r="U122" i="21"/>
  <c r="AE115" i="21"/>
  <c r="AC115" i="21"/>
  <c r="AB115" i="21"/>
  <c r="Z115" i="21"/>
  <c r="Y115" i="21"/>
  <c r="W115" i="21"/>
  <c r="V115" i="21"/>
  <c r="T115" i="21"/>
  <c r="S115" i="21"/>
  <c r="Q115" i="21"/>
  <c r="P115" i="21"/>
  <c r="N115" i="21"/>
  <c r="M115" i="21"/>
  <c r="K115" i="21"/>
  <c r="J115" i="21"/>
  <c r="H115" i="21"/>
  <c r="G115" i="21"/>
  <c r="E115" i="21"/>
  <c r="D115" i="21"/>
  <c r="B115" i="21"/>
  <c r="AD114" i="21"/>
  <c r="AA114" i="21"/>
  <c r="X114" i="21"/>
  <c r="U114" i="21"/>
  <c r="R114" i="21"/>
  <c r="O114" i="21"/>
  <c r="L114" i="21"/>
  <c r="I114" i="21"/>
  <c r="F114" i="21"/>
  <c r="A114" i="21"/>
  <c r="AG113" i="21"/>
  <c r="AH113" i="21"/>
  <c r="AI113" i="21"/>
  <c r="AJ113" i="21"/>
  <c r="AK113" i="21"/>
  <c r="AL113" i="21"/>
  <c r="AM113" i="21"/>
  <c r="AN113" i="21"/>
  <c r="AO113" i="21"/>
  <c r="AP113" i="21"/>
  <c r="AQ113" i="21"/>
  <c r="AF113" i="21"/>
  <c r="AD113" i="21"/>
  <c r="AA113" i="21"/>
  <c r="X113" i="21"/>
  <c r="U113" i="21"/>
  <c r="R113" i="21"/>
  <c r="O113" i="21"/>
  <c r="L113" i="21"/>
  <c r="I113" i="21"/>
  <c r="F113" i="21"/>
  <c r="A113" i="21"/>
  <c r="AG112" i="21"/>
  <c r="AH112" i="21"/>
  <c r="AI112" i="21"/>
  <c r="AJ112" i="21"/>
  <c r="AK112" i="21"/>
  <c r="AL112" i="21"/>
  <c r="AM112" i="21"/>
  <c r="AN112" i="21"/>
  <c r="AO112" i="21"/>
  <c r="AP112" i="21"/>
  <c r="AQ112" i="21"/>
  <c r="AF112" i="21"/>
  <c r="AD112" i="21"/>
  <c r="AA112" i="21"/>
  <c r="X112" i="21"/>
  <c r="U112" i="21"/>
  <c r="R112" i="21"/>
  <c r="O112" i="21"/>
  <c r="L112" i="21"/>
  <c r="I112" i="21"/>
  <c r="F112" i="21"/>
  <c r="A112" i="21"/>
  <c r="AG111" i="21"/>
  <c r="AH111" i="21"/>
  <c r="AI111" i="21"/>
  <c r="AJ111" i="21"/>
  <c r="AK111" i="21"/>
  <c r="AL111" i="21"/>
  <c r="AM111" i="21"/>
  <c r="AN111" i="21"/>
  <c r="AO111" i="21"/>
  <c r="AP111" i="21"/>
  <c r="AQ111" i="21"/>
  <c r="AF111" i="21"/>
  <c r="AD111" i="21"/>
  <c r="AA111" i="21"/>
  <c r="X111" i="21"/>
  <c r="U111" i="21"/>
  <c r="R111" i="21"/>
  <c r="O111" i="21"/>
  <c r="L111" i="21"/>
  <c r="I111" i="21"/>
  <c r="F111" i="21"/>
  <c r="A111" i="21"/>
  <c r="AG110" i="21"/>
  <c r="AH110" i="21"/>
  <c r="AI110" i="21"/>
  <c r="AJ110" i="21"/>
  <c r="AK110" i="21"/>
  <c r="AL110" i="21"/>
  <c r="AM110" i="21"/>
  <c r="AN110" i="21"/>
  <c r="AO110" i="21"/>
  <c r="AP110" i="21"/>
  <c r="AQ110" i="21"/>
  <c r="AF110" i="21"/>
  <c r="AD110" i="21"/>
  <c r="AA110" i="21"/>
  <c r="X110" i="21"/>
  <c r="U110" i="21"/>
  <c r="R110" i="21"/>
  <c r="O110" i="21"/>
  <c r="L110" i="21"/>
  <c r="I110" i="21"/>
  <c r="F110" i="21"/>
  <c r="AG109" i="21"/>
  <c r="AH109" i="21"/>
  <c r="AI109" i="21"/>
  <c r="AJ109" i="21"/>
  <c r="AK109" i="21"/>
  <c r="AL109" i="21"/>
  <c r="AM109" i="21"/>
  <c r="AN109" i="21"/>
  <c r="AO109" i="21"/>
  <c r="AP109" i="21"/>
  <c r="AQ109" i="21"/>
  <c r="AF109" i="21"/>
  <c r="AD109" i="21"/>
  <c r="AA109" i="21"/>
  <c r="X109" i="21"/>
  <c r="U109" i="21"/>
  <c r="R109" i="21"/>
  <c r="O109" i="21"/>
  <c r="L109" i="21"/>
  <c r="I109" i="21"/>
  <c r="F109" i="21"/>
  <c r="AC107" i="21"/>
  <c r="Z107" i="21"/>
  <c r="W107" i="21"/>
  <c r="T107" i="21"/>
  <c r="Q107" i="21"/>
  <c r="N107" i="21"/>
  <c r="K107" i="21"/>
  <c r="H107" i="21"/>
  <c r="E107" i="21"/>
  <c r="E102" i="21"/>
  <c r="AC101" i="21"/>
  <c r="Z101" i="21"/>
  <c r="W101" i="21"/>
  <c r="R101" i="21"/>
  <c r="L101" i="21"/>
  <c r="A101" i="21"/>
  <c r="E100" i="21"/>
  <c r="AC99" i="21"/>
  <c r="Z99" i="21"/>
  <c r="W99" i="21"/>
  <c r="R99" i="21"/>
  <c r="L99" i="21"/>
  <c r="A99" i="21"/>
  <c r="E98" i="21"/>
  <c r="AC97" i="21"/>
  <c r="Z97" i="21"/>
  <c r="W97" i="21"/>
  <c r="R97" i="21"/>
  <c r="L97" i="21"/>
  <c r="A97" i="21"/>
  <c r="E96" i="21"/>
  <c r="AC95" i="21"/>
  <c r="Z95" i="21"/>
  <c r="W95" i="21"/>
  <c r="R95" i="21"/>
  <c r="L95" i="21"/>
  <c r="A95" i="21"/>
  <c r="E94" i="21"/>
  <c r="AC93" i="21"/>
  <c r="Z93" i="21"/>
  <c r="W93" i="21"/>
  <c r="R93" i="21"/>
  <c r="L93" i="21"/>
  <c r="A93" i="21"/>
  <c r="R92" i="21"/>
  <c r="L92" i="21"/>
  <c r="K91" i="21"/>
  <c r="A89" i="21"/>
  <c r="AE85" i="21"/>
  <c r="AE31" i="21"/>
  <c r="AE32" i="21"/>
  <c r="AE33" i="21"/>
  <c r="AE34" i="21"/>
  <c r="AE35" i="21"/>
  <c r="AE36" i="21"/>
  <c r="AC85" i="21"/>
  <c r="AC31" i="21"/>
  <c r="AC32" i="21"/>
  <c r="AC33" i="21"/>
  <c r="AC34" i="21"/>
  <c r="AC35" i="21"/>
  <c r="AC36" i="21"/>
  <c r="AE86" i="21"/>
  <c r="AE87" i="21"/>
  <c r="AC86" i="21"/>
  <c r="AC87" i="21"/>
  <c r="AB85" i="21"/>
  <c r="AB31" i="21"/>
  <c r="AB32" i="21"/>
  <c r="AB33" i="21"/>
  <c r="AB34" i="21"/>
  <c r="AB35" i="21"/>
  <c r="AB36" i="21"/>
  <c r="Z85" i="21"/>
  <c r="Z31" i="21"/>
  <c r="Z32" i="21"/>
  <c r="Z33" i="21"/>
  <c r="Z34" i="21"/>
  <c r="Z35" i="21"/>
  <c r="Z36" i="21"/>
  <c r="AB86" i="21"/>
  <c r="AB87" i="21"/>
  <c r="Z86" i="21"/>
  <c r="Z87" i="21"/>
  <c r="Y85" i="21"/>
  <c r="Y31" i="21"/>
  <c r="Y32" i="21"/>
  <c r="Y33" i="21"/>
  <c r="Y34" i="21"/>
  <c r="Y35" i="21"/>
  <c r="Y36" i="21"/>
  <c r="W85" i="21"/>
  <c r="W31" i="21"/>
  <c r="W32" i="21"/>
  <c r="W33" i="21"/>
  <c r="W34" i="21"/>
  <c r="W35" i="21"/>
  <c r="W36" i="21"/>
  <c r="Y86" i="21"/>
  <c r="Y87" i="21"/>
  <c r="W86" i="21"/>
  <c r="W87" i="21"/>
  <c r="V85" i="21"/>
  <c r="V31" i="21"/>
  <c r="V32" i="21"/>
  <c r="V33" i="21"/>
  <c r="V34" i="21"/>
  <c r="V35" i="21"/>
  <c r="V36" i="21"/>
  <c r="T85" i="21"/>
  <c r="T31" i="21"/>
  <c r="T32" i="21"/>
  <c r="T33" i="21"/>
  <c r="T34" i="21"/>
  <c r="T35" i="21"/>
  <c r="T36" i="21"/>
  <c r="V86" i="21"/>
  <c r="V87" i="21"/>
  <c r="T86" i="21"/>
  <c r="T87" i="21"/>
  <c r="N73" i="21"/>
  <c r="P73" i="21"/>
  <c r="K73" i="21"/>
  <c r="M73" i="21"/>
  <c r="H64" i="21"/>
  <c r="J64" i="21"/>
  <c r="H31" i="21"/>
  <c r="H32" i="21"/>
  <c r="H33" i="21"/>
  <c r="H34" i="21"/>
  <c r="H35" i="21"/>
  <c r="H65" i="21"/>
  <c r="J65" i="21"/>
  <c r="H66" i="21"/>
  <c r="J66" i="21"/>
  <c r="H67" i="21"/>
  <c r="J31" i="21"/>
  <c r="J32" i="21"/>
  <c r="J33" i="21"/>
  <c r="J34" i="21"/>
  <c r="J35" i="21"/>
  <c r="J67" i="21"/>
  <c r="H68" i="21"/>
  <c r="J68" i="21"/>
  <c r="I71" i="21"/>
  <c r="H73" i="21"/>
  <c r="E73" i="21"/>
  <c r="G73" i="21"/>
  <c r="B64" i="21"/>
  <c r="D64" i="21"/>
  <c r="B31" i="21"/>
  <c r="B32" i="21"/>
  <c r="B33" i="21"/>
  <c r="B34" i="21"/>
  <c r="B35" i="21"/>
  <c r="B65" i="21"/>
  <c r="D65" i="21"/>
  <c r="B66" i="21"/>
  <c r="D31" i="21"/>
  <c r="D32" i="21"/>
  <c r="D33" i="21"/>
  <c r="D34" i="21"/>
  <c r="D35" i="21"/>
  <c r="D66" i="21"/>
  <c r="B67" i="21"/>
  <c r="D67" i="21"/>
  <c r="B68" i="21"/>
  <c r="D68" i="21"/>
  <c r="C71" i="21"/>
  <c r="B73" i="21"/>
  <c r="E10" i="21"/>
  <c r="B80" i="21"/>
  <c r="C80" i="21"/>
  <c r="B85" i="21"/>
  <c r="B36" i="21"/>
  <c r="E12" i="21"/>
  <c r="B81" i="21"/>
  <c r="AX9" i="20"/>
  <c r="AW7" i="21"/>
  <c r="C81" i="21"/>
  <c r="D85" i="21"/>
  <c r="D36" i="21"/>
  <c r="B86" i="21"/>
  <c r="B87" i="21"/>
  <c r="D80" i="21"/>
  <c r="G80" i="21"/>
  <c r="H85" i="21"/>
  <c r="H36" i="21"/>
  <c r="E75" i="21"/>
  <c r="E31" i="21"/>
  <c r="E32" i="21"/>
  <c r="E33" i="21"/>
  <c r="E34" i="21"/>
  <c r="E35" i="21"/>
  <c r="E64" i="21"/>
  <c r="G64" i="21"/>
  <c r="E65" i="21"/>
  <c r="G65" i="21"/>
  <c r="E66" i="21"/>
  <c r="G66" i="21"/>
  <c r="E67" i="21"/>
  <c r="G31" i="21"/>
  <c r="G32" i="21"/>
  <c r="G33" i="21"/>
  <c r="G34" i="21"/>
  <c r="G35" i="21"/>
  <c r="G67" i="21"/>
  <c r="E68" i="21"/>
  <c r="G68" i="21"/>
  <c r="F71" i="21"/>
  <c r="G75" i="21"/>
  <c r="B75" i="21"/>
  <c r="D75" i="21"/>
  <c r="E14" i="21"/>
  <c r="B82" i="21"/>
  <c r="C82" i="21"/>
  <c r="D82" i="21"/>
  <c r="G85" i="21"/>
  <c r="G36" i="21"/>
  <c r="B72" i="21"/>
  <c r="D72" i="21"/>
  <c r="E8" i="21"/>
  <c r="B79" i="21"/>
  <c r="AX7" i="20"/>
  <c r="AW3" i="21"/>
  <c r="C79" i="21"/>
  <c r="D79" i="21"/>
  <c r="E85" i="21"/>
  <c r="E36" i="21"/>
  <c r="G86" i="21"/>
  <c r="G87" i="21"/>
  <c r="G82" i="21"/>
  <c r="J85" i="21"/>
  <c r="J36" i="21"/>
  <c r="H86" i="21"/>
  <c r="H87" i="21"/>
  <c r="J80" i="21"/>
  <c r="M80" i="21"/>
  <c r="P80" i="21"/>
  <c r="S85" i="21"/>
  <c r="S31" i="21"/>
  <c r="S32" i="21"/>
  <c r="S33" i="21"/>
  <c r="S34" i="21"/>
  <c r="S35" i="21"/>
  <c r="S36" i="21"/>
  <c r="N72" i="21"/>
  <c r="P72" i="21"/>
  <c r="K31" i="21"/>
  <c r="K32" i="21"/>
  <c r="K33" i="21"/>
  <c r="K34" i="21"/>
  <c r="K35" i="21"/>
  <c r="K64" i="21"/>
  <c r="M64" i="21"/>
  <c r="K65" i="21"/>
  <c r="M65" i="21"/>
  <c r="K66" i="21"/>
  <c r="M31" i="21"/>
  <c r="M32" i="21"/>
  <c r="M33" i="21"/>
  <c r="M34" i="21"/>
  <c r="M35" i="21"/>
  <c r="M66" i="21"/>
  <c r="K67" i="21"/>
  <c r="M67" i="21"/>
  <c r="K68" i="21"/>
  <c r="M68" i="21"/>
  <c r="L71" i="21"/>
  <c r="K72" i="21"/>
  <c r="H72" i="21"/>
  <c r="J72" i="21"/>
  <c r="E72" i="21"/>
  <c r="E86" i="21"/>
  <c r="E87" i="21"/>
  <c r="G79" i="21"/>
  <c r="J79" i="21"/>
  <c r="K85" i="21"/>
  <c r="K36" i="21"/>
  <c r="H74" i="21"/>
  <c r="J74" i="21"/>
  <c r="E74" i="21"/>
  <c r="G74" i="21"/>
  <c r="B74" i="21"/>
  <c r="D74" i="21"/>
  <c r="D86" i="21"/>
  <c r="D87" i="21"/>
  <c r="D81" i="21"/>
  <c r="G81" i="21"/>
  <c r="J81" i="21"/>
  <c r="M85" i="21"/>
  <c r="M36" i="21"/>
  <c r="K86" i="21"/>
  <c r="K87" i="21"/>
  <c r="M79" i="21"/>
  <c r="P79" i="21"/>
  <c r="Q85" i="21"/>
  <c r="Q31" i="21"/>
  <c r="Q32" i="21"/>
  <c r="Q33" i="21"/>
  <c r="Q34" i="21"/>
  <c r="Q35" i="21"/>
  <c r="Q36" i="21"/>
  <c r="S86" i="21"/>
  <c r="S87" i="21"/>
  <c r="Q86" i="21"/>
  <c r="Q87" i="21"/>
  <c r="K75" i="21"/>
  <c r="M75" i="21"/>
  <c r="H75" i="21"/>
  <c r="J75" i="21"/>
  <c r="J86" i="21"/>
  <c r="J87" i="21"/>
  <c r="J82" i="21"/>
  <c r="M82" i="21"/>
  <c r="P85" i="21"/>
  <c r="P31" i="21"/>
  <c r="P32" i="21"/>
  <c r="P33" i="21"/>
  <c r="P34" i="21"/>
  <c r="P35" i="21"/>
  <c r="P36" i="21"/>
  <c r="K74" i="21"/>
  <c r="M74" i="21"/>
  <c r="M86" i="21"/>
  <c r="M87" i="21"/>
  <c r="M81" i="21"/>
  <c r="N85" i="21"/>
  <c r="N31" i="21"/>
  <c r="N32" i="21"/>
  <c r="N33" i="21"/>
  <c r="N34" i="21"/>
  <c r="N35" i="21"/>
  <c r="N36" i="21"/>
  <c r="P86" i="21"/>
  <c r="P87" i="21"/>
  <c r="N86" i="21"/>
  <c r="N87" i="21"/>
  <c r="AC76" i="21"/>
  <c r="AE76" i="21"/>
  <c r="Z76" i="21"/>
  <c r="AB76" i="21"/>
  <c r="W76" i="21"/>
  <c r="Y76" i="21"/>
  <c r="T76" i="21"/>
  <c r="V76" i="21"/>
  <c r="Q76" i="21"/>
  <c r="S76" i="21"/>
  <c r="N76" i="21"/>
  <c r="P76" i="21"/>
  <c r="K76" i="21"/>
  <c r="M76" i="21"/>
  <c r="H76" i="21"/>
  <c r="J76" i="21"/>
  <c r="E76" i="21"/>
  <c r="G76" i="21"/>
  <c r="B76" i="21"/>
  <c r="D76" i="21"/>
  <c r="E16" i="21"/>
  <c r="B83" i="21"/>
  <c r="C83" i="21"/>
  <c r="D83" i="21"/>
  <c r="G83" i="21"/>
  <c r="J83" i="21"/>
  <c r="M83" i="21"/>
  <c r="P83" i="21"/>
  <c r="S83" i="21"/>
  <c r="V83" i="21"/>
  <c r="Y83" i="21"/>
  <c r="AB83" i="21"/>
  <c r="AE83" i="21"/>
  <c r="AU83" i="21"/>
  <c r="AT83" i="21"/>
  <c r="AC75" i="21"/>
  <c r="AE75" i="21"/>
  <c r="Z75" i="21"/>
  <c r="AB75" i="21"/>
  <c r="W75" i="21"/>
  <c r="Y75" i="21"/>
  <c r="T75" i="21"/>
  <c r="V75" i="21"/>
  <c r="Q75" i="21"/>
  <c r="S75" i="21"/>
  <c r="N75" i="21"/>
  <c r="N64" i="21"/>
  <c r="P64" i="21"/>
  <c r="N65" i="21"/>
  <c r="P65" i="21"/>
  <c r="N66" i="21"/>
  <c r="P66" i="21"/>
  <c r="N67" i="21"/>
  <c r="P67" i="21"/>
  <c r="N68" i="21"/>
  <c r="P68" i="21"/>
  <c r="O71" i="21"/>
  <c r="P75" i="21"/>
  <c r="P82" i="21"/>
  <c r="S82" i="21"/>
  <c r="V82" i="21"/>
  <c r="Y82" i="21"/>
  <c r="AB82" i="21"/>
  <c r="AE82" i="21"/>
  <c r="AU82" i="21"/>
  <c r="AT82" i="21"/>
  <c r="AC74" i="21"/>
  <c r="AE74" i="21"/>
  <c r="Z74" i="21"/>
  <c r="AB74" i="21"/>
  <c r="W74" i="21"/>
  <c r="Y74" i="21"/>
  <c r="T74" i="21"/>
  <c r="V74" i="21"/>
  <c r="Q74" i="21"/>
  <c r="S74" i="21"/>
  <c r="N74" i="21"/>
  <c r="P81" i="21"/>
  <c r="S81" i="21"/>
  <c r="V81" i="21"/>
  <c r="Y81" i="21"/>
  <c r="AB81" i="21"/>
  <c r="AE81" i="21"/>
  <c r="AU81" i="21"/>
  <c r="AT81" i="21"/>
  <c r="AC73" i="21"/>
  <c r="AE73" i="21"/>
  <c r="Z73" i="21"/>
  <c r="AB73" i="21"/>
  <c r="W73" i="21"/>
  <c r="Y73" i="21"/>
  <c r="T73" i="21"/>
  <c r="V73" i="21"/>
  <c r="Q73" i="21"/>
  <c r="Q64" i="21"/>
  <c r="S64" i="21"/>
  <c r="Q65" i="21"/>
  <c r="S65" i="21"/>
  <c r="Q66" i="21"/>
  <c r="S66" i="21"/>
  <c r="Q67" i="21"/>
  <c r="S67" i="21"/>
  <c r="Q68" i="21"/>
  <c r="S68" i="21"/>
  <c r="R71" i="21"/>
  <c r="S73" i="21"/>
  <c r="S80" i="21"/>
  <c r="V80" i="21"/>
  <c r="Y80" i="21"/>
  <c r="AB80" i="21"/>
  <c r="AE80" i="21"/>
  <c r="AU80" i="21"/>
  <c r="AT80" i="21"/>
  <c r="AC72" i="21"/>
  <c r="AE72" i="21"/>
  <c r="Z72" i="21"/>
  <c r="AB72" i="21"/>
  <c r="W72" i="21"/>
  <c r="Y72" i="21"/>
  <c r="T72" i="21"/>
  <c r="V72" i="21"/>
  <c r="Q72" i="21"/>
  <c r="S79" i="21"/>
  <c r="V79" i="21"/>
  <c r="Y79" i="21"/>
  <c r="AB79" i="21"/>
  <c r="AE79" i="21"/>
  <c r="AU79" i="21"/>
  <c r="AT79" i="21"/>
  <c r="AF76" i="21"/>
  <c r="AF75" i="21"/>
  <c r="P74" i="21"/>
  <c r="AF74" i="21"/>
  <c r="D73" i="21"/>
  <c r="J73" i="21"/>
  <c r="AF73" i="21"/>
  <c r="G72" i="21"/>
  <c r="M72" i="21"/>
  <c r="S72" i="21"/>
  <c r="AF72" i="21"/>
  <c r="AC64" i="21"/>
  <c r="AE64" i="21"/>
  <c r="AC65" i="21"/>
  <c r="AE65" i="21"/>
  <c r="AC66" i="21"/>
  <c r="AE66" i="21"/>
  <c r="AC67" i="21"/>
  <c r="AE67" i="21"/>
  <c r="AC68" i="21"/>
  <c r="AE68" i="21"/>
  <c r="AD71" i="21"/>
  <c r="Z64" i="21"/>
  <c r="AB64" i="21"/>
  <c r="Z65" i="21"/>
  <c r="AB65" i="21"/>
  <c r="Z66" i="21"/>
  <c r="AB66" i="21"/>
  <c r="Z67" i="21"/>
  <c r="AB67" i="21"/>
  <c r="Z68" i="21"/>
  <c r="AB68" i="21"/>
  <c r="AA71" i="21"/>
  <c r="W64" i="21"/>
  <c r="Y64" i="21"/>
  <c r="W65" i="21"/>
  <c r="Y65" i="21"/>
  <c r="W66" i="21"/>
  <c r="Y66" i="21"/>
  <c r="W67" i="21"/>
  <c r="Y67" i="21"/>
  <c r="W68" i="21"/>
  <c r="Y68" i="21"/>
  <c r="X71" i="21"/>
  <c r="T64" i="21"/>
  <c r="V64" i="21"/>
  <c r="T65" i="21"/>
  <c r="V65" i="21"/>
  <c r="T66" i="21"/>
  <c r="V66" i="21"/>
  <c r="T67" i="21"/>
  <c r="V67" i="21"/>
  <c r="T68" i="21"/>
  <c r="V68" i="21"/>
  <c r="U71" i="21"/>
  <c r="AF68" i="21"/>
  <c r="AG68" i="21"/>
  <c r="AF67" i="21"/>
  <c r="AG67" i="21"/>
  <c r="AF66" i="21"/>
  <c r="AG66" i="21"/>
  <c r="AF65" i="21"/>
  <c r="AG65" i="21"/>
  <c r="AF64" i="21"/>
  <c r="AG64" i="21"/>
  <c r="B62" i="21"/>
  <c r="D62" i="21"/>
  <c r="E62" i="21"/>
  <c r="G62" i="21"/>
  <c r="H62" i="21"/>
  <c r="J62" i="21"/>
  <c r="K62" i="21"/>
  <c r="M62" i="21"/>
  <c r="N62" i="21"/>
  <c r="P62" i="21"/>
  <c r="Q62" i="21"/>
  <c r="S62" i="21"/>
  <c r="T62" i="21"/>
  <c r="V62" i="21"/>
  <c r="W62" i="21"/>
  <c r="Y62" i="21"/>
  <c r="Z62" i="21"/>
  <c r="AB62" i="21"/>
  <c r="AC62" i="21"/>
  <c r="AE62" i="21"/>
  <c r="AF62" i="21"/>
  <c r="B61" i="21"/>
  <c r="D61" i="21"/>
  <c r="E61" i="21"/>
  <c r="E39" i="21"/>
  <c r="G39" i="21"/>
  <c r="E40" i="21"/>
  <c r="G40" i="21"/>
  <c r="E41" i="21"/>
  <c r="G41" i="21"/>
  <c r="E42" i="21"/>
  <c r="G42" i="21"/>
  <c r="E43" i="21"/>
  <c r="G43" i="21"/>
  <c r="E44" i="21"/>
  <c r="G61" i="21"/>
  <c r="H61" i="21"/>
  <c r="H39" i="21"/>
  <c r="J39" i="21"/>
  <c r="H40" i="21"/>
  <c r="J40" i="21"/>
  <c r="H41" i="21"/>
  <c r="J41" i="21"/>
  <c r="H42" i="21"/>
  <c r="J42" i="21"/>
  <c r="H43" i="21"/>
  <c r="J43" i="21"/>
  <c r="H44" i="21"/>
  <c r="J61" i="21"/>
  <c r="K61" i="21"/>
  <c r="M61" i="21"/>
  <c r="N61" i="21"/>
  <c r="N39" i="21"/>
  <c r="P39" i="21"/>
  <c r="N40" i="21"/>
  <c r="P40" i="21"/>
  <c r="N41" i="21"/>
  <c r="P41" i="21"/>
  <c r="N42" i="21"/>
  <c r="P42" i="21"/>
  <c r="N43" i="21"/>
  <c r="P43" i="21"/>
  <c r="N44" i="21"/>
  <c r="P61" i="21"/>
  <c r="Q61" i="21"/>
  <c r="S61" i="21"/>
  <c r="T61" i="21"/>
  <c r="V61" i="21"/>
  <c r="W61" i="21"/>
  <c r="Y61" i="21"/>
  <c r="Z61" i="21"/>
  <c r="AB61" i="21"/>
  <c r="AC61" i="21"/>
  <c r="AE61" i="21"/>
  <c r="AF61" i="21"/>
  <c r="B60" i="21"/>
  <c r="B39" i="21"/>
  <c r="D39" i="21"/>
  <c r="B40" i="21"/>
  <c r="D40" i="21"/>
  <c r="B41" i="21"/>
  <c r="D41" i="21"/>
  <c r="B42" i="21"/>
  <c r="D42" i="21"/>
  <c r="B43" i="21"/>
  <c r="D43" i="21"/>
  <c r="B44" i="21"/>
  <c r="D60" i="21"/>
  <c r="E60" i="21"/>
  <c r="G60" i="21"/>
  <c r="H60" i="21"/>
  <c r="J60" i="21"/>
  <c r="K60" i="21"/>
  <c r="K39" i="21"/>
  <c r="M39" i="21"/>
  <c r="K40" i="21"/>
  <c r="M40" i="21"/>
  <c r="K41" i="21"/>
  <c r="M41" i="21"/>
  <c r="K42" i="21"/>
  <c r="M42" i="21"/>
  <c r="K43" i="21"/>
  <c r="M43" i="21"/>
  <c r="K44" i="21"/>
  <c r="M60" i="21"/>
  <c r="N60" i="21"/>
  <c r="P60" i="21"/>
  <c r="Q60" i="21"/>
  <c r="S60" i="21"/>
  <c r="T60" i="21"/>
  <c r="V60" i="21"/>
  <c r="W60" i="21"/>
  <c r="Y60" i="21"/>
  <c r="Z60" i="21"/>
  <c r="AB60" i="21"/>
  <c r="AC60" i="21"/>
  <c r="AE60" i="21"/>
  <c r="AF60" i="21"/>
  <c r="B59" i="21"/>
  <c r="D59" i="21"/>
  <c r="E59" i="21"/>
  <c r="G59" i="21"/>
  <c r="H59" i="21"/>
  <c r="J59" i="21"/>
  <c r="K59" i="21"/>
  <c r="M59" i="21"/>
  <c r="N59" i="21"/>
  <c r="P59" i="21"/>
  <c r="Q59" i="21"/>
  <c r="Q39" i="21"/>
  <c r="S39" i="21"/>
  <c r="Q40" i="21"/>
  <c r="S40" i="21"/>
  <c r="Q41" i="21"/>
  <c r="S41" i="21"/>
  <c r="Q42" i="21"/>
  <c r="S42" i="21"/>
  <c r="Q43" i="21"/>
  <c r="S43" i="21"/>
  <c r="Q44" i="21"/>
  <c r="S59" i="21"/>
  <c r="T59" i="21"/>
  <c r="V59" i="21"/>
  <c r="W59" i="21"/>
  <c r="Y59" i="21"/>
  <c r="Z59" i="21"/>
  <c r="AB59" i="21"/>
  <c r="AC59" i="21"/>
  <c r="AE59" i="21"/>
  <c r="AF59" i="21"/>
  <c r="B58" i="21"/>
  <c r="D58" i="21"/>
  <c r="E58" i="21"/>
  <c r="G58" i="21"/>
  <c r="H58" i="21"/>
  <c r="J58" i="21"/>
  <c r="K58" i="21"/>
  <c r="M58" i="21"/>
  <c r="N58" i="21"/>
  <c r="P58" i="21"/>
  <c r="Q58" i="21"/>
  <c r="S58" i="21"/>
  <c r="T58" i="21"/>
  <c r="V58" i="21"/>
  <c r="W58" i="21"/>
  <c r="Y58" i="21"/>
  <c r="Z58" i="21"/>
  <c r="AB58" i="21"/>
  <c r="AC58" i="21"/>
  <c r="AE58" i="21"/>
  <c r="AF58" i="21"/>
  <c r="B56" i="21"/>
  <c r="D56" i="21"/>
  <c r="E56" i="21"/>
  <c r="G56" i="21"/>
  <c r="H56" i="21"/>
  <c r="J56" i="21"/>
  <c r="K56" i="21"/>
  <c r="M56" i="21"/>
  <c r="N56" i="21"/>
  <c r="P56" i="21"/>
  <c r="Q56" i="21"/>
  <c r="S56" i="21"/>
  <c r="T56" i="21"/>
  <c r="V56" i="21"/>
  <c r="W56" i="21"/>
  <c r="Y56" i="21"/>
  <c r="Z56" i="21"/>
  <c r="AB56" i="21"/>
  <c r="AC56" i="21"/>
  <c r="AE56" i="21"/>
  <c r="AF56" i="21"/>
  <c r="B55" i="21"/>
  <c r="D55" i="21"/>
  <c r="E55" i="21"/>
  <c r="E37" i="21"/>
  <c r="G37" i="21"/>
  <c r="F37" i="21"/>
  <c r="G55" i="21"/>
  <c r="H55" i="21"/>
  <c r="H37" i="21"/>
  <c r="J37" i="21"/>
  <c r="I37" i="21"/>
  <c r="J55" i="21"/>
  <c r="K55" i="21"/>
  <c r="M55" i="21"/>
  <c r="N55" i="21"/>
  <c r="N37" i="21"/>
  <c r="P37" i="21"/>
  <c r="O37" i="21"/>
  <c r="P55" i="21"/>
  <c r="Q55" i="21"/>
  <c r="S55" i="21"/>
  <c r="T55" i="21"/>
  <c r="V55" i="21"/>
  <c r="W55" i="21"/>
  <c r="Y55" i="21"/>
  <c r="Z55" i="21"/>
  <c r="AB55" i="21"/>
  <c r="AC55" i="21"/>
  <c r="AE55" i="21"/>
  <c r="AF55" i="21"/>
  <c r="B54" i="21"/>
  <c r="B37" i="21"/>
  <c r="D37" i="21"/>
  <c r="C37" i="21"/>
  <c r="D54" i="21"/>
  <c r="E54" i="21"/>
  <c r="G54" i="21"/>
  <c r="H54" i="21"/>
  <c r="J54" i="21"/>
  <c r="K54" i="21"/>
  <c r="K37" i="21"/>
  <c r="M37" i="21"/>
  <c r="L37" i="21"/>
  <c r="M54" i="21"/>
  <c r="N54" i="21"/>
  <c r="P54" i="21"/>
  <c r="Q54" i="21"/>
  <c r="S54" i="21"/>
  <c r="T54" i="21"/>
  <c r="V54" i="21"/>
  <c r="W54" i="21"/>
  <c r="Y54" i="21"/>
  <c r="Z54" i="21"/>
  <c r="AB54" i="21"/>
  <c r="AC54" i="21"/>
  <c r="AE54" i="21"/>
  <c r="AF54" i="21"/>
  <c r="B53" i="21"/>
  <c r="D53" i="21"/>
  <c r="E53" i="21"/>
  <c r="G53" i="21"/>
  <c r="H53" i="21"/>
  <c r="J53" i="21"/>
  <c r="K53" i="21"/>
  <c r="M53" i="21"/>
  <c r="N53" i="21"/>
  <c r="P53" i="21"/>
  <c r="Q53" i="21"/>
  <c r="Q37" i="21"/>
  <c r="S37" i="21"/>
  <c r="R37" i="21"/>
  <c r="S53" i="21"/>
  <c r="T53" i="21"/>
  <c r="V53" i="21"/>
  <c r="W53" i="21"/>
  <c r="Y53" i="21"/>
  <c r="Z53" i="21"/>
  <c r="AB53" i="21"/>
  <c r="AC53" i="21"/>
  <c r="AE53" i="21"/>
  <c r="AF53" i="21"/>
  <c r="B52" i="21"/>
  <c r="D52" i="21"/>
  <c r="E52" i="21"/>
  <c r="G52" i="21"/>
  <c r="H52" i="21"/>
  <c r="J52" i="21"/>
  <c r="K52" i="21"/>
  <c r="M52" i="21"/>
  <c r="N52" i="21"/>
  <c r="P52" i="21"/>
  <c r="Q52" i="21"/>
  <c r="S52" i="21"/>
  <c r="T52" i="21"/>
  <c r="V52" i="21"/>
  <c r="W52" i="21"/>
  <c r="Y52" i="21"/>
  <c r="Z52" i="21"/>
  <c r="AB52" i="21"/>
  <c r="AC52" i="21"/>
  <c r="AE52" i="21"/>
  <c r="AF52" i="21"/>
  <c r="B50" i="21"/>
  <c r="D50" i="21"/>
  <c r="E50" i="21"/>
  <c r="G50" i="21"/>
  <c r="H50" i="21"/>
  <c r="J50" i="21"/>
  <c r="K50" i="21"/>
  <c r="M50" i="21"/>
  <c r="N50" i="21"/>
  <c r="P50" i="21"/>
  <c r="Q50" i="21"/>
  <c r="S50" i="21"/>
  <c r="T50" i="21"/>
  <c r="V50" i="21"/>
  <c r="W50" i="21"/>
  <c r="Y50" i="21"/>
  <c r="Z50" i="21"/>
  <c r="AB50" i="21"/>
  <c r="AC50" i="21"/>
  <c r="AE50" i="21"/>
  <c r="AF50" i="21"/>
  <c r="AG50" i="21"/>
  <c r="B49" i="21"/>
  <c r="D49" i="21"/>
  <c r="E49" i="21"/>
  <c r="G49" i="21"/>
  <c r="H49" i="21"/>
  <c r="J49" i="21"/>
  <c r="K49" i="21"/>
  <c r="M49" i="21"/>
  <c r="N49" i="21"/>
  <c r="P49" i="21"/>
  <c r="Q49" i="21"/>
  <c r="S49" i="21"/>
  <c r="T49" i="21"/>
  <c r="V49" i="21"/>
  <c r="W49" i="21"/>
  <c r="Y49" i="21"/>
  <c r="Z49" i="21"/>
  <c r="AB49" i="21"/>
  <c r="AC49" i="21"/>
  <c r="AE49" i="21"/>
  <c r="AF49" i="21"/>
  <c r="AG49" i="21"/>
  <c r="B48" i="21"/>
  <c r="D48" i="21"/>
  <c r="E48" i="21"/>
  <c r="G48" i="21"/>
  <c r="H48" i="21"/>
  <c r="J48" i="21"/>
  <c r="K48" i="21"/>
  <c r="M48" i="21"/>
  <c r="N48" i="21"/>
  <c r="P48" i="21"/>
  <c r="Q48" i="21"/>
  <c r="S48" i="21"/>
  <c r="T48" i="21"/>
  <c r="V48" i="21"/>
  <c r="W48" i="21"/>
  <c r="Y48" i="21"/>
  <c r="Z48" i="21"/>
  <c r="AB48" i="21"/>
  <c r="AC48" i="21"/>
  <c r="AE48" i="21"/>
  <c r="AF48" i="21"/>
  <c r="AG48" i="21"/>
  <c r="B47" i="21"/>
  <c r="D47" i="21"/>
  <c r="E47" i="21"/>
  <c r="G47" i="21"/>
  <c r="H47" i="21"/>
  <c r="J47" i="21"/>
  <c r="K47" i="21"/>
  <c r="M47" i="21"/>
  <c r="N47" i="21"/>
  <c r="P47" i="21"/>
  <c r="Q47" i="21"/>
  <c r="S47" i="21"/>
  <c r="T47" i="21"/>
  <c r="V47" i="21"/>
  <c r="W47" i="21"/>
  <c r="Y47" i="21"/>
  <c r="Z47" i="21"/>
  <c r="AB47" i="21"/>
  <c r="AC47" i="21"/>
  <c r="AE47" i="21"/>
  <c r="AF47" i="21"/>
  <c r="AG47" i="21"/>
  <c r="B46" i="21"/>
  <c r="D46" i="21"/>
  <c r="E46" i="21"/>
  <c r="G46" i="21"/>
  <c r="H46" i="21"/>
  <c r="J46" i="21"/>
  <c r="K46" i="21"/>
  <c r="M46" i="21"/>
  <c r="N46" i="21"/>
  <c r="P46" i="21"/>
  <c r="Q46" i="21"/>
  <c r="S46" i="21"/>
  <c r="T46" i="21"/>
  <c r="V46" i="21"/>
  <c r="W46" i="21"/>
  <c r="Y46" i="21"/>
  <c r="Z46" i="21"/>
  <c r="AB46" i="21"/>
  <c r="AC46" i="21"/>
  <c r="AE46" i="21"/>
  <c r="AF46" i="21"/>
  <c r="AG46" i="21"/>
  <c r="AC39" i="21"/>
  <c r="AE39" i="21"/>
  <c r="AC40" i="21"/>
  <c r="AE40" i="21"/>
  <c r="AC41" i="21"/>
  <c r="AE41" i="21"/>
  <c r="AC42" i="21"/>
  <c r="AE42" i="21"/>
  <c r="AC43" i="21"/>
  <c r="AE43" i="21"/>
  <c r="AC44" i="21"/>
  <c r="Z39" i="21"/>
  <c r="AB39" i="21"/>
  <c r="Z40" i="21"/>
  <c r="AB40" i="21"/>
  <c r="Z41" i="21"/>
  <c r="AB41" i="21"/>
  <c r="Z42" i="21"/>
  <c r="AB42" i="21"/>
  <c r="Z43" i="21"/>
  <c r="AB43" i="21"/>
  <c r="Z44" i="21"/>
  <c r="W39" i="21"/>
  <c r="Y39" i="21"/>
  <c r="W40" i="21"/>
  <c r="Y40" i="21"/>
  <c r="W41" i="21"/>
  <c r="Y41" i="21"/>
  <c r="W42" i="21"/>
  <c r="Y42" i="21"/>
  <c r="W43" i="21"/>
  <c r="Y43" i="21"/>
  <c r="W44" i="21"/>
  <c r="T39" i="21"/>
  <c r="V39" i="21"/>
  <c r="T40" i="21"/>
  <c r="V40" i="21"/>
  <c r="T41" i="21"/>
  <c r="V41" i="21"/>
  <c r="T42" i="21"/>
  <c r="V42" i="21"/>
  <c r="T43" i="21"/>
  <c r="V43" i="21"/>
  <c r="T44" i="21"/>
  <c r="AE37" i="21"/>
  <c r="AC37" i="21"/>
  <c r="AD37" i="21"/>
  <c r="AB37" i="21"/>
  <c r="Z37" i="21"/>
  <c r="AA37" i="21"/>
  <c r="Y37" i="21"/>
  <c r="W37" i="21"/>
  <c r="X37" i="21"/>
  <c r="V37" i="21"/>
  <c r="T37" i="21"/>
  <c r="U37" i="21"/>
  <c r="AE30" i="21"/>
  <c r="AC30" i="21"/>
  <c r="AB30" i="21"/>
  <c r="Z30" i="21"/>
  <c r="Y30" i="21"/>
  <c r="W30" i="21"/>
  <c r="V30" i="21"/>
  <c r="T30" i="21"/>
  <c r="S30" i="21"/>
  <c r="Q30" i="21"/>
  <c r="P30" i="21"/>
  <c r="N30" i="21"/>
  <c r="M30" i="21"/>
  <c r="K30" i="21"/>
  <c r="J30" i="21"/>
  <c r="H30" i="21"/>
  <c r="G30" i="21"/>
  <c r="E30" i="21"/>
  <c r="D30" i="21"/>
  <c r="B30" i="21"/>
  <c r="AD29" i="21"/>
  <c r="AA29" i="21"/>
  <c r="X29" i="21"/>
  <c r="U29" i="21"/>
  <c r="R29" i="21"/>
  <c r="O29" i="21"/>
  <c r="L29" i="21"/>
  <c r="I29" i="21"/>
  <c r="F29" i="21"/>
  <c r="A29" i="21"/>
  <c r="AG28" i="21"/>
  <c r="AH28" i="21"/>
  <c r="AI28" i="21"/>
  <c r="AJ28" i="21"/>
  <c r="AK28" i="21"/>
  <c r="AL28" i="21"/>
  <c r="AM28" i="21"/>
  <c r="AN28" i="21"/>
  <c r="AO28" i="21"/>
  <c r="AP28" i="21"/>
  <c r="AQ28" i="21"/>
  <c r="AF28" i="21"/>
  <c r="AD28" i="21"/>
  <c r="AA28" i="21"/>
  <c r="X28" i="21"/>
  <c r="U28" i="21"/>
  <c r="R28" i="21"/>
  <c r="O28" i="21"/>
  <c r="L28" i="21"/>
  <c r="I28" i="21"/>
  <c r="F28" i="21"/>
  <c r="A28" i="21"/>
  <c r="AG27" i="21"/>
  <c r="AH27" i="21"/>
  <c r="AI27" i="21"/>
  <c r="AJ27" i="21"/>
  <c r="AK27" i="21"/>
  <c r="AL27" i="21"/>
  <c r="AM27" i="21"/>
  <c r="AN27" i="21"/>
  <c r="AO27" i="21"/>
  <c r="AP27" i="21"/>
  <c r="AQ27" i="21"/>
  <c r="AF27" i="21"/>
  <c r="AD27" i="21"/>
  <c r="AA27" i="21"/>
  <c r="X27" i="21"/>
  <c r="U27" i="21"/>
  <c r="R27" i="21"/>
  <c r="O27" i="21"/>
  <c r="L27" i="21"/>
  <c r="I27" i="21"/>
  <c r="F27" i="21"/>
  <c r="A27" i="21"/>
  <c r="AG26" i="21"/>
  <c r="AH26" i="21"/>
  <c r="AI26" i="21"/>
  <c r="AJ26" i="21"/>
  <c r="AK26" i="21"/>
  <c r="AL26" i="21"/>
  <c r="AM26" i="21"/>
  <c r="AN26" i="21"/>
  <c r="AO26" i="21"/>
  <c r="AP26" i="21"/>
  <c r="AQ26" i="21"/>
  <c r="AF26" i="21"/>
  <c r="AD26" i="21"/>
  <c r="AA26" i="21"/>
  <c r="X26" i="21"/>
  <c r="U26" i="21"/>
  <c r="R26" i="21"/>
  <c r="O26" i="21"/>
  <c r="L26" i="21"/>
  <c r="I26" i="21"/>
  <c r="F26" i="21"/>
  <c r="A26" i="21"/>
  <c r="AG25" i="21"/>
  <c r="AH25" i="21"/>
  <c r="AI25" i="21"/>
  <c r="AJ25" i="21"/>
  <c r="AK25" i="21"/>
  <c r="AL25" i="21"/>
  <c r="AM25" i="21"/>
  <c r="AN25" i="21"/>
  <c r="AO25" i="21"/>
  <c r="AP25" i="21"/>
  <c r="AQ25" i="21"/>
  <c r="AF25" i="21"/>
  <c r="AD25" i="21"/>
  <c r="AA25" i="21"/>
  <c r="X25" i="21"/>
  <c r="U25" i="21"/>
  <c r="R25" i="21"/>
  <c r="O25" i="21"/>
  <c r="L25" i="21"/>
  <c r="I25" i="21"/>
  <c r="F25" i="21"/>
  <c r="AG24" i="21"/>
  <c r="AH24" i="21"/>
  <c r="AI24" i="21"/>
  <c r="AJ24" i="21"/>
  <c r="AK24" i="21"/>
  <c r="AL24" i="21"/>
  <c r="AM24" i="21"/>
  <c r="AN24" i="21"/>
  <c r="AO24" i="21"/>
  <c r="AP24" i="21"/>
  <c r="AQ24" i="21"/>
  <c r="AF24" i="21"/>
  <c r="AD24" i="21"/>
  <c r="AA24" i="21"/>
  <c r="X24" i="21"/>
  <c r="U24" i="21"/>
  <c r="R24" i="21"/>
  <c r="O24" i="21"/>
  <c r="L24" i="21"/>
  <c r="I24" i="21"/>
  <c r="F24" i="21"/>
  <c r="AC22" i="21"/>
  <c r="Z22" i="21"/>
  <c r="W22" i="21"/>
  <c r="T22" i="21"/>
  <c r="Q22" i="21"/>
  <c r="N22" i="21"/>
  <c r="K22" i="21"/>
  <c r="H22" i="21"/>
  <c r="E22" i="21"/>
  <c r="E17" i="21"/>
  <c r="AC16" i="21"/>
  <c r="Z16" i="21"/>
  <c r="W16" i="21"/>
  <c r="R16" i="21"/>
  <c r="L16" i="21"/>
  <c r="A16" i="21"/>
  <c r="E15" i="21"/>
  <c r="AC14" i="21"/>
  <c r="Z14" i="21"/>
  <c r="W14" i="21"/>
  <c r="R14" i="21"/>
  <c r="L14" i="21"/>
  <c r="A14" i="21"/>
  <c r="E13" i="21"/>
  <c r="AC12" i="21"/>
  <c r="Z12" i="21"/>
  <c r="W12" i="21"/>
  <c r="R12" i="21"/>
  <c r="L12" i="21"/>
  <c r="A12" i="21"/>
  <c r="E11" i="21"/>
  <c r="AX10" i="21"/>
  <c r="AY10" i="21"/>
  <c r="AC10" i="21"/>
  <c r="Z10" i="21"/>
  <c r="W10" i="21"/>
  <c r="R10" i="21"/>
  <c r="L10" i="21"/>
  <c r="A10" i="21"/>
  <c r="AX9" i="21"/>
  <c r="AY9" i="21"/>
  <c r="E9" i="21"/>
  <c r="AX8" i="21"/>
  <c r="AY8" i="21"/>
  <c r="AC8" i="21"/>
  <c r="Z8" i="21"/>
  <c r="W8" i="21"/>
  <c r="R8" i="21"/>
  <c r="L8" i="21"/>
  <c r="A8" i="21"/>
  <c r="AX7" i="21"/>
  <c r="AY7" i="21"/>
  <c r="R7" i="21"/>
  <c r="L7" i="21"/>
  <c r="AX6" i="21"/>
  <c r="AY6" i="21"/>
  <c r="K6" i="21"/>
  <c r="AX5" i="21"/>
  <c r="AY5" i="21"/>
  <c r="AX4" i="21"/>
  <c r="AY4" i="21"/>
  <c r="AX3" i="21"/>
  <c r="AY3" i="21"/>
  <c r="AL266" i="20"/>
  <c r="AF266" i="20"/>
  <c r="E179" i="20"/>
  <c r="R266" i="20"/>
  <c r="L266" i="20"/>
  <c r="E183" i="20"/>
  <c r="H266" i="20"/>
  <c r="B266" i="20"/>
  <c r="AL265" i="20"/>
  <c r="AF265" i="20"/>
  <c r="E98" i="20"/>
  <c r="R265" i="20"/>
  <c r="L265" i="20"/>
  <c r="E94" i="20"/>
  <c r="H265" i="20"/>
  <c r="B265" i="20"/>
  <c r="AL264" i="20"/>
  <c r="AF264" i="20"/>
  <c r="E13" i="20"/>
  <c r="R264" i="20"/>
  <c r="L264" i="20"/>
  <c r="E11" i="20"/>
  <c r="H264" i="20"/>
  <c r="B264" i="20"/>
  <c r="A259" i="20"/>
  <c r="AE255" i="20"/>
  <c r="AE201" i="20"/>
  <c r="AE202" i="20"/>
  <c r="AE203" i="20"/>
  <c r="AE204" i="20"/>
  <c r="AE205" i="20"/>
  <c r="AE206" i="20"/>
  <c r="AC255" i="20"/>
  <c r="AC201" i="20"/>
  <c r="AC202" i="20"/>
  <c r="AC203" i="20"/>
  <c r="AC204" i="20"/>
  <c r="AC205" i="20"/>
  <c r="AC206" i="20"/>
  <c r="AE256" i="20"/>
  <c r="AE257" i="20"/>
  <c r="AC256" i="20"/>
  <c r="AC257" i="20"/>
  <c r="AB255" i="20"/>
  <c r="AB201" i="20"/>
  <c r="AB202" i="20"/>
  <c r="AB203" i="20"/>
  <c r="AB204" i="20"/>
  <c r="AB205" i="20"/>
  <c r="AB206" i="20"/>
  <c r="Z255" i="20"/>
  <c r="Z201" i="20"/>
  <c r="Z202" i="20"/>
  <c r="Z203" i="20"/>
  <c r="Z204" i="20"/>
  <c r="Z205" i="20"/>
  <c r="Z206" i="20"/>
  <c r="AB256" i="20"/>
  <c r="AB257" i="20"/>
  <c r="Z256" i="20"/>
  <c r="Z257" i="20"/>
  <c r="Y255" i="20"/>
  <c r="Y201" i="20"/>
  <c r="Y202" i="20"/>
  <c r="Y203" i="20"/>
  <c r="Y204" i="20"/>
  <c r="Y205" i="20"/>
  <c r="Y206" i="20"/>
  <c r="W255" i="20"/>
  <c r="W201" i="20"/>
  <c r="W202" i="20"/>
  <c r="W203" i="20"/>
  <c r="W204" i="20"/>
  <c r="W205" i="20"/>
  <c r="W206" i="20"/>
  <c r="Y256" i="20"/>
  <c r="Y257" i="20"/>
  <c r="W256" i="20"/>
  <c r="W257" i="20"/>
  <c r="V255" i="20"/>
  <c r="V201" i="20"/>
  <c r="V202" i="20"/>
  <c r="V203" i="20"/>
  <c r="V204" i="20"/>
  <c r="V205" i="20"/>
  <c r="V206" i="20"/>
  <c r="T255" i="20"/>
  <c r="T201" i="20"/>
  <c r="T202" i="20"/>
  <c r="T203" i="20"/>
  <c r="T204" i="20"/>
  <c r="T205" i="20"/>
  <c r="T206" i="20"/>
  <c r="V256" i="20"/>
  <c r="V257" i="20"/>
  <c r="T256" i="20"/>
  <c r="T257" i="20"/>
  <c r="S255" i="20"/>
  <c r="S206" i="20"/>
  <c r="Q255" i="20"/>
  <c r="Q206" i="20"/>
  <c r="S256" i="20"/>
  <c r="S257" i="20"/>
  <c r="Q256" i="20"/>
  <c r="Q257" i="20"/>
  <c r="P255" i="20"/>
  <c r="P206" i="20"/>
  <c r="N255" i="20"/>
  <c r="N206" i="20"/>
  <c r="P256" i="20"/>
  <c r="P257" i="20"/>
  <c r="N256" i="20"/>
  <c r="N257" i="20"/>
  <c r="M255" i="20"/>
  <c r="M206" i="20"/>
  <c r="K255" i="20"/>
  <c r="K206" i="20"/>
  <c r="M256" i="20"/>
  <c r="M257" i="20"/>
  <c r="K256" i="20"/>
  <c r="K257" i="20"/>
  <c r="AF246" i="20"/>
  <c r="AF245" i="20"/>
  <c r="AF244" i="20"/>
  <c r="G243" i="20"/>
  <c r="AF243" i="20"/>
  <c r="D242" i="20"/>
  <c r="J242" i="20"/>
  <c r="AF242" i="20"/>
  <c r="AC234" i="20"/>
  <c r="AE234" i="20"/>
  <c r="AC235" i="20"/>
  <c r="AE235" i="20"/>
  <c r="AC236" i="20"/>
  <c r="AE236" i="20"/>
  <c r="AC237" i="20"/>
  <c r="AE237" i="20"/>
  <c r="AC238" i="20"/>
  <c r="AE238" i="20"/>
  <c r="AD241" i="20"/>
  <c r="Z234" i="20"/>
  <c r="AB234" i="20"/>
  <c r="Z235" i="20"/>
  <c r="AB235" i="20"/>
  <c r="Z236" i="20"/>
  <c r="AB236" i="20"/>
  <c r="Z237" i="20"/>
  <c r="AB237" i="20"/>
  <c r="Z238" i="20"/>
  <c r="AB238" i="20"/>
  <c r="AA241" i="20"/>
  <c r="W234" i="20"/>
  <c r="Y234" i="20"/>
  <c r="W235" i="20"/>
  <c r="Y235" i="20"/>
  <c r="W236" i="20"/>
  <c r="Y236" i="20"/>
  <c r="W237" i="20"/>
  <c r="Y237" i="20"/>
  <c r="W238" i="20"/>
  <c r="Y238" i="20"/>
  <c r="X241" i="20"/>
  <c r="T234" i="20"/>
  <c r="V234" i="20"/>
  <c r="T235" i="20"/>
  <c r="V235" i="20"/>
  <c r="T236" i="20"/>
  <c r="V236" i="20"/>
  <c r="T237" i="20"/>
  <c r="V237" i="20"/>
  <c r="T238" i="20"/>
  <c r="V238" i="20"/>
  <c r="U241" i="20"/>
  <c r="AF238" i="20"/>
  <c r="AG238" i="20"/>
  <c r="AF237" i="20"/>
  <c r="AG237" i="20"/>
  <c r="AF236" i="20"/>
  <c r="AG236" i="20"/>
  <c r="AF235" i="20"/>
  <c r="AG235" i="20"/>
  <c r="AF234" i="20"/>
  <c r="AG234" i="20"/>
  <c r="B232" i="20"/>
  <c r="D232" i="20"/>
  <c r="E232" i="20"/>
  <c r="G232" i="20"/>
  <c r="H232" i="20"/>
  <c r="J232" i="20"/>
  <c r="K232" i="20"/>
  <c r="M232" i="20"/>
  <c r="N232" i="20"/>
  <c r="P232" i="20"/>
  <c r="Q232" i="20"/>
  <c r="S232" i="20"/>
  <c r="T232" i="20"/>
  <c r="V232" i="20"/>
  <c r="W232" i="20"/>
  <c r="Y232" i="20"/>
  <c r="Z232" i="20"/>
  <c r="AB232" i="20"/>
  <c r="AC232" i="20"/>
  <c r="AE232" i="20"/>
  <c r="AF232" i="20"/>
  <c r="B231" i="20"/>
  <c r="D231" i="20"/>
  <c r="E231" i="20"/>
  <c r="G231" i="20"/>
  <c r="H231" i="20"/>
  <c r="J231" i="20"/>
  <c r="K231" i="20"/>
  <c r="M231" i="20"/>
  <c r="N231" i="20"/>
  <c r="N209" i="20"/>
  <c r="P209" i="20"/>
  <c r="N210" i="20"/>
  <c r="P210" i="20"/>
  <c r="N211" i="20"/>
  <c r="P211" i="20"/>
  <c r="N212" i="20"/>
  <c r="P212" i="20"/>
  <c r="N213" i="20"/>
  <c r="P213" i="20"/>
  <c r="N214" i="20"/>
  <c r="P231" i="20"/>
  <c r="Q231" i="20"/>
  <c r="S231" i="20"/>
  <c r="T231" i="20"/>
  <c r="V231" i="20"/>
  <c r="W231" i="20"/>
  <c r="Y231" i="20"/>
  <c r="Z231" i="20"/>
  <c r="AB231" i="20"/>
  <c r="AC231" i="20"/>
  <c r="AE231" i="20"/>
  <c r="AF231" i="20"/>
  <c r="B230" i="20"/>
  <c r="B209" i="20"/>
  <c r="D209" i="20"/>
  <c r="B210" i="20"/>
  <c r="D210" i="20"/>
  <c r="B211" i="20"/>
  <c r="D211" i="20"/>
  <c r="B212" i="20"/>
  <c r="D212" i="20"/>
  <c r="B213" i="20"/>
  <c r="D213" i="20"/>
  <c r="B214" i="20"/>
  <c r="D230" i="20"/>
  <c r="E230" i="20"/>
  <c r="E209" i="20"/>
  <c r="G209" i="20"/>
  <c r="E210" i="20"/>
  <c r="G210" i="20"/>
  <c r="E211" i="20"/>
  <c r="G211" i="20"/>
  <c r="E212" i="20"/>
  <c r="G212" i="20"/>
  <c r="E213" i="20"/>
  <c r="G213" i="20"/>
  <c r="E214" i="20"/>
  <c r="G230" i="20"/>
  <c r="H230" i="20"/>
  <c r="J230" i="20"/>
  <c r="K230" i="20"/>
  <c r="K209" i="20"/>
  <c r="M209" i="20"/>
  <c r="K210" i="20"/>
  <c r="M210" i="20"/>
  <c r="K211" i="20"/>
  <c r="M211" i="20"/>
  <c r="K212" i="20"/>
  <c r="M212" i="20"/>
  <c r="K213" i="20"/>
  <c r="M213" i="20"/>
  <c r="K214" i="20"/>
  <c r="M230" i="20"/>
  <c r="N230" i="20"/>
  <c r="P230" i="20"/>
  <c r="Q230" i="20"/>
  <c r="S230" i="20"/>
  <c r="T230" i="20"/>
  <c r="V230" i="20"/>
  <c r="W230" i="20"/>
  <c r="Y230" i="20"/>
  <c r="Z230" i="20"/>
  <c r="AB230" i="20"/>
  <c r="AC230" i="20"/>
  <c r="AE230" i="20"/>
  <c r="AF230" i="20"/>
  <c r="B229" i="20"/>
  <c r="D229" i="20"/>
  <c r="E229" i="20"/>
  <c r="G229" i="20"/>
  <c r="H229" i="20"/>
  <c r="H209" i="20"/>
  <c r="J209" i="20"/>
  <c r="H210" i="20"/>
  <c r="J210" i="20"/>
  <c r="H211" i="20"/>
  <c r="J211" i="20"/>
  <c r="H212" i="20"/>
  <c r="J212" i="20"/>
  <c r="H213" i="20"/>
  <c r="J213" i="20"/>
  <c r="H214" i="20"/>
  <c r="J229" i="20"/>
  <c r="K229" i="20"/>
  <c r="M229" i="20"/>
  <c r="N229" i="20"/>
  <c r="P229" i="20"/>
  <c r="Q229" i="20"/>
  <c r="Q209" i="20"/>
  <c r="S209" i="20"/>
  <c r="Q210" i="20"/>
  <c r="S210" i="20"/>
  <c r="Q211" i="20"/>
  <c r="S211" i="20"/>
  <c r="Q212" i="20"/>
  <c r="S212" i="20"/>
  <c r="Q213" i="20"/>
  <c r="S213" i="20"/>
  <c r="Q214" i="20"/>
  <c r="S229" i="20"/>
  <c r="T229" i="20"/>
  <c r="V229" i="20"/>
  <c r="W229" i="20"/>
  <c r="Y229" i="20"/>
  <c r="Z229" i="20"/>
  <c r="AB229" i="20"/>
  <c r="AC229" i="20"/>
  <c r="AE229" i="20"/>
  <c r="AF229" i="20"/>
  <c r="B228" i="20"/>
  <c r="D228" i="20"/>
  <c r="E228" i="20"/>
  <c r="G228" i="20"/>
  <c r="H228" i="20"/>
  <c r="J228" i="20"/>
  <c r="K228" i="20"/>
  <c r="M228" i="20"/>
  <c r="N228" i="20"/>
  <c r="P228" i="20"/>
  <c r="Q228" i="20"/>
  <c r="S228" i="20"/>
  <c r="T228" i="20"/>
  <c r="V228" i="20"/>
  <c r="W228" i="20"/>
  <c r="Y228" i="20"/>
  <c r="Z228" i="20"/>
  <c r="AB228" i="20"/>
  <c r="AC228" i="20"/>
  <c r="AE228" i="20"/>
  <c r="AF228" i="20"/>
  <c r="B226" i="20"/>
  <c r="D226" i="20"/>
  <c r="E226" i="20"/>
  <c r="G226" i="20"/>
  <c r="H226" i="20"/>
  <c r="J226" i="20"/>
  <c r="K226" i="20"/>
  <c r="M226" i="20"/>
  <c r="N226" i="20"/>
  <c r="P226" i="20"/>
  <c r="Q226" i="20"/>
  <c r="S226" i="20"/>
  <c r="T226" i="20"/>
  <c r="V226" i="20"/>
  <c r="W226" i="20"/>
  <c r="Y226" i="20"/>
  <c r="Z226" i="20"/>
  <c r="AB226" i="20"/>
  <c r="AC226" i="20"/>
  <c r="AE226" i="20"/>
  <c r="AF226" i="20"/>
  <c r="B225" i="20"/>
  <c r="D225" i="20"/>
  <c r="E225" i="20"/>
  <c r="G225" i="20"/>
  <c r="H225" i="20"/>
  <c r="J225" i="20"/>
  <c r="K225" i="20"/>
  <c r="M225" i="20"/>
  <c r="N225" i="20"/>
  <c r="N207" i="20"/>
  <c r="P207" i="20"/>
  <c r="O207" i="20"/>
  <c r="P225" i="20"/>
  <c r="Q225" i="20"/>
  <c r="S225" i="20"/>
  <c r="T225" i="20"/>
  <c r="V225" i="20"/>
  <c r="W225" i="20"/>
  <c r="Y225" i="20"/>
  <c r="Z225" i="20"/>
  <c r="AB225" i="20"/>
  <c r="AC225" i="20"/>
  <c r="AE225" i="20"/>
  <c r="AF225" i="20"/>
  <c r="B224" i="20"/>
  <c r="B207" i="20"/>
  <c r="D207" i="20"/>
  <c r="C207" i="20"/>
  <c r="D224" i="20"/>
  <c r="E224" i="20"/>
  <c r="E207" i="20"/>
  <c r="G207" i="20"/>
  <c r="F207" i="20"/>
  <c r="G224" i="20"/>
  <c r="H224" i="20"/>
  <c r="J224" i="20"/>
  <c r="K224" i="20"/>
  <c r="K207" i="20"/>
  <c r="M207" i="20"/>
  <c r="L207" i="20"/>
  <c r="M224" i="20"/>
  <c r="N224" i="20"/>
  <c r="P224" i="20"/>
  <c r="Q224" i="20"/>
  <c r="S224" i="20"/>
  <c r="T224" i="20"/>
  <c r="V224" i="20"/>
  <c r="W224" i="20"/>
  <c r="Y224" i="20"/>
  <c r="Z224" i="20"/>
  <c r="AB224" i="20"/>
  <c r="AC224" i="20"/>
  <c r="AE224" i="20"/>
  <c r="AF224" i="20"/>
  <c r="B223" i="20"/>
  <c r="D223" i="20"/>
  <c r="E223" i="20"/>
  <c r="G223" i="20"/>
  <c r="H223" i="20"/>
  <c r="H207" i="20"/>
  <c r="J207" i="20"/>
  <c r="I207" i="20"/>
  <c r="J223" i="20"/>
  <c r="K223" i="20"/>
  <c r="M223" i="20"/>
  <c r="N223" i="20"/>
  <c r="P223" i="20"/>
  <c r="Q223" i="20"/>
  <c r="Q207" i="20"/>
  <c r="S207" i="20"/>
  <c r="R207" i="20"/>
  <c r="S223" i="20"/>
  <c r="T223" i="20"/>
  <c r="V223" i="20"/>
  <c r="W223" i="20"/>
  <c r="Y223" i="20"/>
  <c r="Z223" i="20"/>
  <c r="AB223" i="20"/>
  <c r="AC223" i="20"/>
  <c r="AE223" i="20"/>
  <c r="AF223" i="20"/>
  <c r="B222" i="20"/>
  <c r="D222" i="20"/>
  <c r="E222" i="20"/>
  <c r="G222" i="20"/>
  <c r="H222" i="20"/>
  <c r="J222" i="20"/>
  <c r="K222" i="20"/>
  <c r="M222" i="20"/>
  <c r="N222" i="20"/>
  <c r="P222" i="20"/>
  <c r="Q222" i="20"/>
  <c r="S222" i="20"/>
  <c r="T222" i="20"/>
  <c r="V222" i="20"/>
  <c r="W222" i="20"/>
  <c r="Y222" i="20"/>
  <c r="Z222" i="20"/>
  <c r="AB222" i="20"/>
  <c r="AC222" i="20"/>
  <c r="AE222" i="20"/>
  <c r="AF222" i="20"/>
  <c r="B220" i="20"/>
  <c r="D220" i="20"/>
  <c r="E220" i="20"/>
  <c r="G220" i="20"/>
  <c r="H220" i="20"/>
  <c r="J220" i="20"/>
  <c r="K220" i="20"/>
  <c r="M220" i="20"/>
  <c r="N220" i="20"/>
  <c r="P220" i="20"/>
  <c r="Q220" i="20"/>
  <c r="S220" i="20"/>
  <c r="T220" i="20"/>
  <c r="V220" i="20"/>
  <c r="W220" i="20"/>
  <c r="Y220" i="20"/>
  <c r="Z220" i="20"/>
  <c r="AB220" i="20"/>
  <c r="AC220" i="20"/>
  <c r="AE220" i="20"/>
  <c r="AF220" i="20"/>
  <c r="AG220" i="20"/>
  <c r="B219" i="20"/>
  <c r="D219" i="20"/>
  <c r="E219" i="20"/>
  <c r="G219" i="20"/>
  <c r="H219" i="20"/>
  <c r="J219" i="20"/>
  <c r="K219" i="20"/>
  <c r="M219" i="20"/>
  <c r="N219" i="20"/>
  <c r="P219" i="20"/>
  <c r="Q219" i="20"/>
  <c r="S219" i="20"/>
  <c r="T219" i="20"/>
  <c r="V219" i="20"/>
  <c r="W219" i="20"/>
  <c r="Y219" i="20"/>
  <c r="Z219" i="20"/>
  <c r="AB219" i="20"/>
  <c r="AC219" i="20"/>
  <c r="AE219" i="20"/>
  <c r="AF219" i="20"/>
  <c r="AG219" i="20"/>
  <c r="B218" i="20"/>
  <c r="D218" i="20"/>
  <c r="E218" i="20"/>
  <c r="G218" i="20"/>
  <c r="H218" i="20"/>
  <c r="J218" i="20"/>
  <c r="K218" i="20"/>
  <c r="M218" i="20"/>
  <c r="N218" i="20"/>
  <c r="P218" i="20"/>
  <c r="Q218" i="20"/>
  <c r="S218" i="20"/>
  <c r="T218" i="20"/>
  <c r="V218" i="20"/>
  <c r="W218" i="20"/>
  <c r="Y218" i="20"/>
  <c r="Z218" i="20"/>
  <c r="AB218" i="20"/>
  <c r="AC218" i="20"/>
  <c r="AE218" i="20"/>
  <c r="AF218" i="20"/>
  <c r="AG218" i="20"/>
  <c r="B217" i="20"/>
  <c r="D217" i="20"/>
  <c r="E217" i="20"/>
  <c r="G217" i="20"/>
  <c r="H217" i="20"/>
  <c r="J217" i="20"/>
  <c r="K217" i="20"/>
  <c r="M217" i="20"/>
  <c r="N217" i="20"/>
  <c r="P217" i="20"/>
  <c r="Q217" i="20"/>
  <c r="S217" i="20"/>
  <c r="T217" i="20"/>
  <c r="V217" i="20"/>
  <c r="W217" i="20"/>
  <c r="Y217" i="20"/>
  <c r="Z217" i="20"/>
  <c r="AB217" i="20"/>
  <c r="AC217" i="20"/>
  <c r="AE217" i="20"/>
  <c r="AF217" i="20"/>
  <c r="AG217" i="20"/>
  <c r="B216" i="20"/>
  <c r="D216" i="20"/>
  <c r="E216" i="20"/>
  <c r="G216" i="20"/>
  <c r="H216" i="20"/>
  <c r="J216" i="20"/>
  <c r="K216" i="20"/>
  <c r="M216" i="20"/>
  <c r="N216" i="20"/>
  <c r="P216" i="20"/>
  <c r="Q216" i="20"/>
  <c r="S216" i="20"/>
  <c r="T216" i="20"/>
  <c r="V216" i="20"/>
  <c r="W216" i="20"/>
  <c r="Y216" i="20"/>
  <c r="Z216" i="20"/>
  <c r="AB216" i="20"/>
  <c r="AC216" i="20"/>
  <c r="AE216" i="20"/>
  <c r="AF216" i="20"/>
  <c r="AG216" i="20"/>
  <c r="AC209" i="20"/>
  <c r="AE209" i="20"/>
  <c r="AC210" i="20"/>
  <c r="AE210" i="20"/>
  <c r="AC211" i="20"/>
  <c r="AE211" i="20"/>
  <c r="AC212" i="20"/>
  <c r="AE212" i="20"/>
  <c r="AC213" i="20"/>
  <c r="AE213" i="20"/>
  <c r="AC214" i="20"/>
  <c r="Z209" i="20"/>
  <c r="AB209" i="20"/>
  <c r="Z210" i="20"/>
  <c r="AB210" i="20"/>
  <c r="Z211" i="20"/>
  <c r="AB211" i="20"/>
  <c r="Z212" i="20"/>
  <c r="AB212" i="20"/>
  <c r="Z213" i="20"/>
  <c r="AB213" i="20"/>
  <c r="Z214" i="20"/>
  <c r="W209" i="20"/>
  <c r="Y209" i="20"/>
  <c r="W210" i="20"/>
  <c r="Y210" i="20"/>
  <c r="W211" i="20"/>
  <c r="Y211" i="20"/>
  <c r="W212" i="20"/>
  <c r="Y212" i="20"/>
  <c r="W213" i="20"/>
  <c r="Y213" i="20"/>
  <c r="W214" i="20"/>
  <c r="T209" i="20"/>
  <c r="V209" i="20"/>
  <c r="T210" i="20"/>
  <c r="V210" i="20"/>
  <c r="T211" i="20"/>
  <c r="V211" i="20"/>
  <c r="T212" i="20"/>
  <c r="V212" i="20"/>
  <c r="T213" i="20"/>
  <c r="V213" i="20"/>
  <c r="T214" i="20"/>
  <c r="AE207" i="20"/>
  <c r="AC207" i="20"/>
  <c r="AD207" i="20"/>
  <c r="AB207" i="20"/>
  <c r="Z207" i="20"/>
  <c r="AA207" i="20"/>
  <c r="Y207" i="20"/>
  <c r="W207" i="20"/>
  <c r="X207" i="20"/>
  <c r="V207" i="20"/>
  <c r="T207" i="20"/>
  <c r="U207" i="20"/>
  <c r="AE200" i="20"/>
  <c r="AC200" i="20"/>
  <c r="AB200" i="20"/>
  <c r="Z200" i="20"/>
  <c r="Y200" i="20"/>
  <c r="W200" i="20"/>
  <c r="V200" i="20"/>
  <c r="T200" i="20"/>
  <c r="S200" i="20"/>
  <c r="Q200" i="20"/>
  <c r="P200" i="20"/>
  <c r="N200" i="20"/>
  <c r="M200" i="20"/>
  <c r="K200" i="20"/>
  <c r="J200" i="20"/>
  <c r="H200" i="20"/>
  <c r="G200" i="20"/>
  <c r="E200" i="20"/>
  <c r="D200" i="20"/>
  <c r="B200" i="20"/>
  <c r="AD199" i="20"/>
  <c r="AA199" i="20"/>
  <c r="X199" i="20"/>
  <c r="U199" i="20"/>
  <c r="R199" i="20"/>
  <c r="O199" i="20"/>
  <c r="L199" i="20"/>
  <c r="I199" i="20"/>
  <c r="F199" i="20"/>
  <c r="A199" i="20"/>
  <c r="AG198" i="20"/>
  <c r="AH198" i="20"/>
  <c r="AI198" i="20"/>
  <c r="AJ198" i="20"/>
  <c r="AK198" i="20"/>
  <c r="AL198" i="20"/>
  <c r="AM198" i="20"/>
  <c r="AN198" i="20"/>
  <c r="AO198" i="20"/>
  <c r="AP198" i="20"/>
  <c r="AQ198" i="20"/>
  <c r="AF198" i="20"/>
  <c r="AD198" i="20"/>
  <c r="AA198" i="20"/>
  <c r="X198" i="20"/>
  <c r="U198" i="20"/>
  <c r="R198" i="20"/>
  <c r="O198" i="20"/>
  <c r="L198" i="20"/>
  <c r="I198" i="20"/>
  <c r="F198" i="20"/>
  <c r="A198" i="20"/>
  <c r="AG197" i="20"/>
  <c r="AH197" i="20"/>
  <c r="AI197" i="20"/>
  <c r="AJ197" i="20"/>
  <c r="AK197" i="20"/>
  <c r="AL197" i="20"/>
  <c r="AM197" i="20"/>
  <c r="AN197" i="20"/>
  <c r="AO197" i="20"/>
  <c r="AP197" i="20"/>
  <c r="AQ197" i="20"/>
  <c r="AF197" i="20"/>
  <c r="AD197" i="20"/>
  <c r="AA197" i="20"/>
  <c r="X197" i="20"/>
  <c r="U197" i="20"/>
  <c r="R197" i="20"/>
  <c r="O197" i="20"/>
  <c r="L197" i="20"/>
  <c r="I197" i="20"/>
  <c r="F197" i="20"/>
  <c r="A197" i="20"/>
  <c r="AG196" i="20"/>
  <c r="AH196" i="20"/>
  <c r="AI196" i="20"/>
  <c r="AJ196" i="20"/>
  <c r="AK196" i="20"/>
  <c r="AL196" i="20"/>
  <c r="AM196" i="20"/>
  <c r="AN196" i="20"/>
  <c r="AO196" i="20"/>
  <c r="AP196" i="20"/>
  <c r="AQ196" i="20"/>
  <c r="AF196" i="20"/>
  <c r="AD196" i="20"/>
  <c r="AA196" i="20"/>
  <c r="X196" i="20"/>
  <c r="U196" i="20"/>
  <c r="R196" i="20"/>
  <c r="O196" i="20"/>
  <c r="L196" i="20"/>
  <c r="I196" i="20"/>
  <c r="F196" i="20"/>
  <c r="A196" i="20"/>
  <c r="AG195" i="20"/>
  <c r="AH195" i="20"/>
  <c r="AI195" i="20"/>
  <c r="AJ195" i="20"/>
  <c r="AK195" i="20"/>
  <c r="AL195" i="20"/>
  <c r="AM195" i="20"/>
  <c r="AN195" i="20"/>
  <c r="AO195" i="20"/>
  <c r="AP195" i="20"/>
  <c r="AQ195" i="20"/>
  <c r="AF195" i="20"/>
  <c r="AD195" i="20"/>
  <c r="AA195" i="20"/>
  <c r="X195" i="20"/>
  <c r="U195" i="20"/>
  <c r="R195" i="20"/>
  <c r="O195" i="20"/>
  <c r="L195" i="20"/>
  <c r="I195" i="20"/>
  <c r="F195" i="20"/>
  <c r="AG194" i="20"/>
  <c r="AH194" i="20"/>
  <c r="AI194" i="20"/>
  <c r="AJ194" i="20"/>
  <c r="AK194" i="20"/>
  <c r="AL194" i="20"/>
  <c r="AM194" i="20"/>
  <c r="AN194" i="20"/>
  <c r="AO194" i="20"/>
  <c r="AP194" i="20"/>
  <c r="AQ194" i="20"/>
  <c r="AF194" i="20"/>
  <c r="AD194" i="20"/>
  <c r="AA194" i="20"/>
  <c r="X194" i="20"/>
  <c r="U194" i="20"/>
  <c r="R194" i="20"/>
  <c r="O194" i="20"/>
  <c r="L194" i="20"/>
  <c r="I194" i="20"/>
  <c r="F194" i="20"/>
  <c r="AC192" i="20"/>
  <c r="Z192" i="20"/>
  <c r="W192" i="20"/>
  <c r="T192" i="20"/>
  <c r="Q192" i="20"/>
  <c r="N192" i="20"/>
  <c r="K192" i="20"/>
  <c r="H192" i="20"/>
  <c r="E192" i="20"/>
  <c r="E187" i="20"/>
  <c r="AC186" i="20"/>
  <c r="Z186" i="20"/>
  <c r="W186" i="20"/>
  <c r="R186" i="20"/>
  <c r="L186" i="20"/>
  <c r="A186" i="20"/>
  <c r="E185" i="20"/>
  <c r="AC184" i="20"/>
  <c r="Z184" i="20"/>
  <c r="W184" i="20"/>
  <c r="R184" i="20"/>
  <c r="L184" i="20"/>
  <c r="A184" i="20"/>
  <c r="AC182" i="20"/>
  <c r="Z182" i="20"/>
  <c r="W182" i="20"/>
  <c r="R182" i="20"/>
  <c r="L182" i="20"/>
  <c r="A182" i="20"/>
  <c r="AC180" i="20"/>
  <c r="Z180" i="20"/>
  <c r="W180" i="20"/>
  <c r="R180" i="20"/>
  <c r="L180" i="20"/>
  <c r="A180" i="20"/>
  <c r="AC178" i="20"/>
  <c r="Z178" i="20"/>
  <c r="W178" i="20"/>
  <c r="R178" i="20"/>
  <c r="L178" i="20"/>
  <c r="A178" i="20"/>
  <c r="R177" i="20"/>
  <c r="L177" i="20"/>
  <c r="K176" i="20"/>
  <c r="A174" i="20"/>
  <c r="AE170" i="20"/>
  <c r="AE116" i="20"/>
  <c r="AE117" i="20"/>
  <c r="AE118" i="20"/>
  <c r="AE119" i="20"/>
  <c r="AE120" i="20"/>
  <c r="AE121" i="20"/>
  <c r="AC170" i="20"/>
  <c r="AC116" i="20"/>
  <c r="AC117" i="20"/>
  <c r="AC118" i="20"/>
  <c r="AC119" i="20"/>
  <c r="AC120" i="20"/>
  <c r="AC121" i="20"/>
  <c r="AE171" i="20"/>
  <c r="AE172" i="20"/>
  <c r="AC171" i="20"/>
  <c r="AC172" i="20"/>
  <c r="AB170" i="20"/>
  <c r="AB116" i="20"/>
  <c r="AB117" i="20"/>
  <c r="AB118" i="20"/>
  <c r="AB119" i="20"/>
  <c r="AB120" i="20"/>
  <c r="AB121" i="20"/>
  <c r="Z170" i="20"/>
  <c r="Z116" i="20"/>
  <c r="Z117" i="20"/>
  <c r="Z118" i="20"/>
  <c r="Z119" i="20"/>
  <c r="Z120" i="20"/>
  <c r="Z121" i="20"/>
  <c r="AB171" i="20"/>
  <c r="AB172" i="20"/>
  <c r="Z171" i="20"/>
  <c r="Z172" i="20"/>
  <c r="Y170" i="20"/>
  <c r="Y116" i="20"/>
  <c r="Y117" i="20"/>
  <c r="Y118" i="20"/>
  <c r="Y119" i="20"/>
  <c r="Y120" i="20"/>
  <c r="Y121" i="20"/>
  <c r="W170" i="20"/>
  <c r="W116" i="20"/>
  <c r="W117" i="20"/>
  <c r="W118" i="20"/>
  <c r="W119" i="20"/>
  <c r="W120" i="20"/>
  <c r="W121" i="20"/>
  <c r="Y171" i="20"/>
  <c r="Y172" i="20"/>
  <c r="W171" i="20"/>
  <c r="W172" i="20"/>
  <c r="V170" i="20"/>
  <c r="V116" i="20"/>
  <c r="V117" i="20"/>
  <c r="V118" i="20"/>
  <c r="V119" i="20"/>
  <c r="V120" i="20"/>
  <c r="V121" i="20"/>
  <c r="T170" i="20"/>
  <c r="T116" i="20"/>
  <c r="T117" i="20"/>
  <c r="T118" i="20"/>
  <c r="T119" i="20"/>
  <c r="T120" i="20"/>
  <c r="T121" i="20"/>
  <c r="V171" i="20"/>
  <c r="V172" i="20"/>
  <c r="T171" i="20"/>
  <c r="T172" i="20"/>
  <c r="AF161" i="20"/>
  <c r="AF160" i="20"/>
  <c r="P159" i="20"/>
  <c r="AF159" i="20"/>
  <c r="D158" i="20"/>
  <c r="J158" i="20"/>
  <c r="AF158" i="20"/>
  <c r="G157" i="20"/>
  <c r="M157" i="20"/>
  <c r="S157" i="20"/>
  <c r="AF157" i="20"/>
  <c r="AC149" i="20"/>
  <c r="AE149" i="20"/>
  <c r="AC150" i="20"/>
  <c r="AE150" i="20"/>
  <c r="AC151" i="20"/>
  <c r="AE151" i="20"/>
  <c r="AC152" i="20"/>
  <c r="AE152" i="20"/>
  <c r="AC153" i="20"/>
  <c r="AE153" i="20"/>
  <c r="AD156" i="20"/>
  <c r="Z149" i="20"/>
  <c r="AB149" i="20"/>
  <c r="Z150" i="20"/>
  <c r="AB150" i="20"/>
  <c r="Z151" i="20"/>
  <c r="AB151" i="20"/>
  <c r="Z152" i="20"/>
  <c r="AB152" i="20"/>
  <c r="Z153" i="20"/>
  <c r="AB153" i="20"/>
  <c r="AA156" i="20"/>
  <c r="W149" i="20"/>
  <c r="Y149" i="20"/>
  <c r="W150" i="20"/>
  <c r="Y150" i="20"/>
  <c r="W151" i="20"/>
  <c r="Y151" i="20"/>
  <c r="W152" i="20"/>
  <c r="Y152" i="20"/>
  <c r="W153" i="20"/>
  <c r="Y153" i="20"/>
  <c r="X156" i="20"/>
  <c r="T149" i="20"/>
  <c r="V149" i="20"/>
  <c r="T150" i="20"/>
  <c r="V150" i="20"/>
  <c r="T151" i="20"/>
  <c r="V151" i="20"/>
  <c r="T152" i="20"/>
  <c r="V152" i="20"/>
  <c r="T153" i="20"/>
  <c r="V153" i="20"/>
  <c r="U156" i="20"/>
  <c r="AF153" i="20"/>
  <c r="AG153" i="20"/>
  <c r="AF152" i="20"/>
  <c r="AG152" i="20"/>
  <c r="AF151" i="20"/>
  <c r="AG151" i="20"/>
  <c r="AF150" i="20"/>
  <c r="AG150" i="20"/>
  <c r="AF149" i="20"/>
  <c r="AG149" i="20"/>
  <c r="B147" i="20"/>
  <c r="D147" i="20"/>
  <c r="E147" i="20"/>
  <c r="G147" i="20"/>
  <c r="H147" i="20"/>
  <c r="J147" i="20"/>
  <c r="K147" i="20"/>
  <c r="M147" i="20"/>
  <c r="N147" i="20"/>
  <c r="P147" i="20"/>
  <c r="Q147" i="20"/>
  <c r="S147" i="20"/>
  <c r="T147" i="20"/>
  <c r="V147" i="20"/>
  <c r="W147" i="20"/>
  <c r="Y147" i="20"/>
  <c r="Z147" i="20"/>
  <c r="AB147" i="20"/>
  <c r="AC147" i="20"/>
  <c r="AE147" i="20"/>
  <c r="AF147" i="20"/>
  <c r="B146" i="20"/>
  <c r="D146" i="20"/>
  <c r="E146" i="20"/>
  <c r="E124" i="20"/>
  <c r="G124" i="20"/>
  <c r="E125" i="20"/>
  <c r="G125" i="20"/>
  <c r="E126" i="20"/>
  <c r="G126" i="20"/>
  <c r="E127" i="20"/>
  <c r="G127" i="20"/>
  <c r="E128" i="20"/>
  <c r="G128" i="20"/>
  <c r="E129" i="20"/>
  <c r="G146" i="20"/>
  <c r="H146" i="20"/>
  <c r="H124" i="20"/>
  <c r="J124" i="20"/>
  <c r="H125" i="20"/>
  <c r="J125" i="20"/>
  <c r="H126" i="20"/>
  <c r="J126" i="20"/>
  <c r="H127" i="20"/>
  <c r="J127" i="20"/>
  <c r="H128" i="20"/>
  <c r="J128" i="20"/>
  <c r="H129" i="20"/>
  <c r="J146" i="20"/>
  <c r="K146" i="20"/>
  <c r="M146" i="20"/>
  <c r="N146" i="20"/>
  <c r="N124" i="20"/>
  <c r="P124" i="20"/>
  <c r="N125" i="20"/>
  <c r="P125" i="20"/>
  <c r="N126" i="20"/>
  <c r="P126" i="20"/>
  <c r="N127" i="20"/>
  <c r="P127" i="20"/>
  <c r="N128" i="20"/>
  <c r="P128" i="20"/>
  <c r="N129" i="20"/>
  <c r="P146" i="20"/>
  <c r="Q146" i="20"/>
  <c r="S146" i="20"/>
  <c r="T146" i="20"/>
  <c r="V146" i="20"/>
  <c r="W146" i="20"/>
  <c r="Y146" i="20"/>
  <c r="Z146" i="20"/>
  <c r="AB146" i="20"/>
  <c r="AC146" i="20"/>
  <c r="AE146" i="20"/>
  <c r="AF146" i="20"/>
  <c r="B145" i="20"/>
  <c r="B124" i="20"/>
  <c r="D124" i="20"/>
  <c r="B125" i="20"/>
  <c r="D125" i="20"/>
  <c r="B126" i="20"/>
  <c r="D126" i="20"/>
  <c r="B127" i="20"/>
  <c r="D127" i="20"/>
  <c r="B128" i="20"/>
  <c r="D128" i="20"/>
  <c r="B129" i="20"/>
  <c r="D145" i="20"/>
  <c r="E145" i="20"/>
  <c r="G145" i="20"/>
  <c r="H145" i="20"/>
  <c r="J145" i="20"/>
  <c r="K145" i="20"/>
  <c r="K124" i="20"/>
  <c r="M124" i="20"/>
  <c r="K125" i="20"/>
  <c r="M125" i="20"/>
  <c r="K126" i="20"/>
  <c r="M126" i="20"/>
  <c r="K127" i="20"/>
  <c r="M127" i="20"/>
  <c r="K128" i="20"/>
  <c r="M128" i="20"/>
  <c r="K129" i="20"/>
  <c r="M145" i="20"/>
  <c r="N145" i="20"/>
  <c r="P145" i="20"/>
  <c r="Q145" i="20"/>
  <c r="S145" i="20"/>
  <c r="T145" i="20"/>
  <c r="V145" i="20"/>
  <c r="W145" i="20"/>
  <c r="Y145" i="20"/>
  <c r="Z145" i="20"/>
  <c r="AB145" i="20"/>
  <c r="AC145" i="20"/>
  <c r="AE145" i="20"/>
  <c r="AF145" i="20"/>
  <c r="B144" i="20"/>
  <c r="D144" i="20"/>
  <c r="E144" i="20"/>
  <c r="G144" i="20"/>
  <c r="H144" i="20"/>
  <c r="J144" i="20"/>
  <c r="K144" i="20"/>
  <c r="M144" i="20"/>
  <c r="N144" i="20"/>
  <c r="P144" i="20"/>
  <c r="Q144" i="20"/>
  <c r="Q124" i="20"/>
  <c r="S124" i="20"/>
  <c r="Q125" i="20"/>
  <c r="S125" i="20"/>
  <c r="Q126" i="20"/>
  <c r="S126" i="20"/>
  <c r="Q127" i="20"/>
  <c r="S127" i="20"/>
  <c r="Q128" i="20"/>
  <c r="S128" i="20"/>
  <c r="Q129" i="20"/>
  <c r="S144" i="20"/>
  <c r="T144" i="20"/>
  <c r="V144" i="20"/>
  <c r="W144" i="20"/>
  <c r="Y144" i="20"/>
  <c r="Z144" i="20"/>
  <c r="AB144" i="20"/>
  <c r="AC144" i="20"/>
  <c r="AE144" i="20"/>
  <c r="AF144" i="20"/>
  <c r="B143" i="20"/>
  <c r="D143" i="20"/>
  <c r="E143" i="20"/>
  <c r="G143" i="20"/>
  <c r="H143" i="20"/>
  <c r="J143" i="20"/>
  <c r="K143" i="20"/>
  <c r="M143" i="20"/>
  <c r="N143" i="20"/>
  <c r="P143" i="20"/>
  <c r="Q143" i="20"/>
  <c r="S143" i="20"/>
  <c r="T143" i="20"/>
  <c r="V143" i="20"/>
  <c r="W143" i="20"/>
  <c r="Y143" i="20"/>
  <c r="Z143" i="20"/>
  <c r="AB143" i="20"/>
  <c r="AC143" i="20"/>
  <c r="AE143" i="20"/>
  <c r="AF143" i="20"/>
  <c r="B141" i="20"/>
  <c r="D141" i="20"/>
  <c r="E141" i="20"/>
  <c r="G141" i="20"/>
  <c r="H141" i="20"/>
  <c r="J141" i="20"/>
  <c r="K141" i="20"/>
  <c r="M141" i="20"/>
  <c r="N141" i="20"/>
  <c r="P141" i="20"/>
  <c r="Q141" i="20"/>
  <c r="S141" i="20"/>
  <c r="T141" i="20"/>
  <c r="V141" i="20"/>
  <c r="W141" i="20"/>
  <c r="Y141" i="20"/>
  <c r="Z141" i="20"/>
  <c r="AB141" i="20"/>
  <c r="AC141" i="20"/>
  <c r="AE141" i="20"/>
  <c r="AF141" i="20"/>
  <c r="B140" i="20"/>
  <c r="D140" i="20"/>
  <c r="E140" i="20"/>
  <c r="E122" i="20"/>
  <c r="G122" i="20"/>
  <c r="F122" i="20"/>
  <c r="G140" i="20"/>
  <c r="H140" i="20"/>
  <c r="H122" i="20"/>
  <c r="J122" i="20"/>
  <c r="I122" i="20"/>
  <c r="J140" i="20"/>
  <c r="K140" i="20"/>
  <c r="M140" i="20"/>
  <c r="N140" i="20"/>
  <c r="N122" i="20"/>
  <c r="P122" i="20"/>
  <c r="O122" i="20"/>
  <c r="P140" i="20"/>
  <c r="Q140" i="20"/>
  <c r="S140" i="20"/>
  <c r="T140" i="20"/>
  <c r="V140" i="20"/>
  <c r="W140" i="20"/>
  <c r="Y140" i="20"/>
  <c r="Z140" i="20"/>
  <c r="AB140" i="20"/>
  <c r="AC140" i="20"/>
  <c r="AE140" i="20"/>
  <c r="AF140" i="20"/>
  <c r="B139" i="20"/>
  <c r="B122" i="20"/>
  <c r="D122" i="20"/>
  <c r="C122" i="20"/>
  <c r="D139" i="20"/>
  <c r="E139" i="20"/>
  <c r="G139" i="20"/>
  <c r="H139" i="20"/>
  <c r="J139" i="20"/>
  <c r="K139" i="20"/>
  <c r="K122" i="20"/>
  <c r="M122" i="20"/>
  <c r="L122" i="20"/>
  <c r="M139" i="20"/>
  <c r="N139" i="20"/>
  <c r="P139" i="20"/>
  <c r="Q139" i="20"/>
  <c r="S139" i="20"/>
  <c r="T139" i="20"/>
  <c r="V139" i="20"/>
  <c r="W139" i="20"/>
  <c r="Y139" i="20"/>
  <c r="Z139" i="20"/>
  <c r="AB139" i="20"/>
  <c r="AC139" i="20"/>
  <c r="AE139" i="20"/>
  <c r="AF139" i="20"/>
  <c r="B138" i="20"/>
  <c r="D138" i="20"/>
  <c r="E138" i="20"/>
  <c r="G138" i="20"/>
  <c r="H138" i="20"/>
  <c r="J138" i="20"/>
  <c r="K138" i="20"/>
  <c r="M138" i="20"/>
  <c r="N138" i="20"/>
  <c r="P138" i="20"/>
  <c r="Q138" i="20"/>
  <c r="Q122" i="20"/>
  <c r="S122" i="20"/>
  <c r="R122" i="20"/>
  <c r="S138" i="20"/>
  <c r="T138" i="20"/>
  <c r="V138" i="20"/>
  <c r="W138" i="20"/>
  <c r="Y138" i="20"/>
  <c r="Z138" i="20"/>
  <c r="AB138" i="20"/>
  <c r="AC138" i="20"/>
  <c r="AE138" i="20"/>
  <c r="AF138" i="20"/>
  <c r="B137" i="20"/>
  <c r="D137" i="20"/>
  <c r="E137" i="20"/>
  <c r="G137" i="20"/>
  <c r="H137" i="20"/>
  <c r="J137" i="20"/>
  <c r="K137" i="20"/>
  <c r="M137" i="20"/>
  <c r="N137" i="20"/>
  <c r="P137" i="20"/>
  <c r="Q137" i="20"/>
  <c r="S137" i="20"/>
  <c r="T137" i="20"/>
  <c r="V137" i="20"/>
  <c r="W137" i="20"/>
  <c r="Y137" i="20"/>
  <c r="Z137" i="20"/>
  <c r="AB137" i="20"/>
  <c r="AC137" i="20"/>
  <c r="AE137" i="20"/>
  <c r="AF137" i="20"/>
  <c r="B135" i="20"/>
  <c r="D135" i="20"/>
  <c r="E135" i="20"/>
  <c r="G135" i="20"/>
  <c r="H135" i="20"/>
  <c r="J135" i="20"/>
  <c r="K135" i="20"/>
  <c r="M135" i="20"/>
  <c r="N135" i="20"/>
  <c r="P135" i="20"/>
  <c r="Q135" i="20"/>
  <c r="S135" i="20"/>
  <c r="T135" i="20"/>
  <c r="V135" i="20"/>
  <c r="W135" i="20"/>
  <c r="Y135" i="20"/>
  <c r="Z135" i="20"/>
  <c r="AB135" i="20"/>
  <c r="AC135" i="20"/>
  <c r="AE135" i="20"/>
  <c r="AF135" i="20"/>
  <c r="AG135" i="20"/>
  <c r="B134" i="20"/>
  <c r="D134" i="20"/>
  <c r="E134" i="20"/>
  <c r="G134" i="20"/>
  <c r="H134" i="20"/>
  <c r="J134" i="20"/>
  <c r="K134" i="20"/>
  <c r="M134" i="20"/>
  <c r="N134" i="20"/>
  <c r="P134" i="20"/>
  <c r="Q134" i="20"/>
  <c r="S134" i="20"/>
  <c r="T134" i="20"/>
  <c r="V134" i="20"/>
  <c r="W134" i="20"/>
  <c r="Y134" i="20"/>
  <c r="Z134" i="20"/>
  <c r="AB134" i="20"/>
  <c r="AC134" i="20"/>
  <c r="AE134" i="20"/>
  <c r="AF134" i="20"/>
  <c r="AG134" i="20"/>
  <c r="B133" i="20"/>
  <c r="D133" i="20"/>
  <c r="E133" i="20"/>
  <c r="G133" i="20"/>
  <c r="H133" i="20"/>
  <c r="J133" i="20"/>
  <c r="K133" i="20"/>
  <c r="M133" i="20"/>
  <c r="N133" i="20"/>
  <c r="P133" i="20"/>
  <c r="Q133" i="20"/>
  <c r="S133" i="20"/>
  <c r="T133" i="20"/>
  <c r="V133" i="20"/>
  <c r="W133" i="20"/>
  <c r="Y133" i="20"/>
  <c r="Z133" i="20"/>
  <c r="AB133" i="20"/>
  <c r="AC133" i="20"/>
  <c r="AE133" i="20"/>
  <c r="AF133" i="20"/>
  <c r="AG133" i="20"/>
  <c r="B132" i="20"/>
  <c r="D132" i="20"/>
  <c r="E132" i="20"/>
  <c r="G132" i="20"/>
  <c r="H132" i="20"/>
  <c r="J132" i="20"/>
  <c r="K132" i="20"/>
  <c r="M132" i="20"/>
  <c r="N132" i="20"/>
  <c r="P132" i="20"/>
  <c r="Q132" i="20"/>
  <c r="S132" i="20"/>
  <c r="T132" i="20"/>
  <c r="V132" i="20"/>
  <c r="W132" i="20"/>
  <c r="Y132" i="20"/>
  <c r="Z132" i="20"/>
  <c r="AB132" i="20"/>
  <c r="AC132" i="20"/>
  <c r="AE132" i="20"/>
  <c r="AF132" i="20"/>
  <c r="AG132" i="20"/>
  <c r="B131" i="20"/>
  <c r="D131" i="20"/>
  <c r="E131" i="20"/>
  <c r="G131" i="20"/>
  <c r="H131" i="20"/>
  <c r="J131" i="20"/>
  <c r="K131" i="20"/>
  <c r="M131" i="20"/>
  <c r="N131" i="20"/>
  <c r="P131" i="20"/>
  <c r="Q131" i="20"/>
  <c r="S131" i="20"/>
  <c r="T131" i="20"/>
  <c r="V131" i="20"/>
  <c r="W131" i="20"/>
  <c r="Y131" i="20"/>
  <c r="Z131" i="20"/>
  <c r="AB131" i="20"/>
  <c r="AC131" i="20"/>
  <c r="AE131" i="20"/>
  <c r="AF131" i="20"/>
  <c r="AG131" i="20"/>
  <c r="AC124" i="20"/>
  <c r="AE124" i="20"/>
  <c r="AC125" i="20"/>
  <c r="AE125" i="20"/>
  <c r="AC126" i="20"/>
  <c r="AE126" i="20"/>
  <c r="AC127" i="20"/>
  <c r="AE127" i="20"/>
  <c r="AC128" i="20"/>
  <c r="AE128" i="20"/>
  <c r="AC129" i="20"/>
  <c r="Z124" i="20"/>
  <c r="AB124" i="20"/>
  <c r="Z125" i="20"/>
  <c r="AB125" i="20"/>
  <c r="Z126" i="20"/>
  <c r="AB126" i="20"/>
  <c r="Z127" i="20"/>
  <c r="AB127" i="20"/>
  <c r="Z128" i="20"/>
  <c r="AB128" i="20"/>
  <c r="Z129" i="20"/>
  <c r="W124" i="20"/>
  <c r="Y124" i="20"/>
  <c r="W125" i="20"/>
  <c r="Y125" i="20"/>
  <c r="W126" i="20"/>
  <c r="Y126" i="20"/>
  <c r="W127" i="20"/>
  <c r="Y127" i="20"/>
  <c r="W128" i="20"/>
  <c r="Y128" i="20"/>
  <c r="W129" i="20"/>
  <c r="T124" i="20"/>
  <c r="V124" i="20"/>
  <c r="T125" i="20"/>
  <c r="V125" i="20"/>
  <c r="T126" i="20"/>
  <c r="V126" i="20"/>
  <c r="T127" i="20"/>
  <c r="V127" i="20"/>
  <c r="T128" i="20"/>
  <c r="V128" i="20"/>
  <c r="T129" i="20"/>
  <c r="AE122" i="20"/>
  <c r="AC122" i="20"/>
  <c r="AD122" i="20"/>
  <c r="AB122" i="20"/>
  <c r="Z122" i="20"/>
  <c r="AA122" i="20"/>
  <c r="Y122" i="20"/>
  <c r="W122" i="20"/>
  <c r="X122" i="20"/>
  <c r="V122" i="20"/>
  <c r="T122" i="20"/>
  <c r="U122" i="20"/>
  <c r="AE115" i="20"/>
  <c r="AC115" i="20"/>
  <c r="AB115" i="20"/>
  <c r="Z115" i="20"/>
  <c r="Y115" i="20"/>
  <c r="W115" i="20"/>
  <c r="V115" i="20"/>
  <c r="T115" i="20"/>
  <c r="S115" i="20"/>
  <c r="Q115" i="20"/>
  <c r="P115" i="20"/>
  <c r="N115" i="20"/>
  <c r="M115" i="20"/>
  <c r="K115" i="20"/>
  <c r="J115" i="20"/>
  <c r="H115" i="20"/>
  <c r="G115" i="20"/>
  <c r="E115" i="20"/>
  <c r="D115" i="20"/>
  <c r="B115" i="20"/>
  <c r="AD114" i="20"/>
  <c r="AA114" i="20"/>
  <c r="X114" i="20"/>
  <c r="U114" i="20"/>
  <c r="R114" i="20"/>
  <c r="O114" i="20"/>
  <c r="L114" i="20"/>
  <c r="I114" i="20"/>
  <c r="F114" i="20"/>
  <c r="A114" i="20"/>
  <c r="AG113" i="20"/>
  <c r="AH113" i="20"/>
  <c r="AI113" i="20"/>
  <c r="AJ113" i="20"/>
  <c r="AK113" i="20"/>
  <c r="AL113" i="20"/>
  <c r="AM113" i="20"/>
  <c r="AN113" i="20"/>
  <c r="AO113" i="20"/>
  <c r="AP113" i="20"/>
  <c r="AQ113" i="20"/>
  <c r="AF113" i="20"/>
  <c r="AD113" i="20"/>
  <c r="AA113" i="20"/>
  <c r="X113" i="20"/>
  <c r="U113" i="20"/>
  <c r="R113" i="20"/>
  <c r="O113" i="20"/>
  <c r="L113" i="20"/>
  <c r="I113" i="20"/>
  <c r="F113" i="20"/>
  <c r="A113" i="20"/>
  <c r="AG112" i="20"/>
  <c r="AH112" i="20"/>
  <c r="AI112" i="20"/>
  <c r="AJ112" i="20"/>
  <c r="AK112" i="20"/>
  <c r="AL112" i="20"/>
  <c r="AM112" i="20"/>
  <c r="AN112" i="20"/>
  <c r="AO112" i="20"/>
  <c r="AP112" i="20"/>
  <c r="AQ112" i="20"/>
  <c r="AF112" i="20"/>
  <c r="AD112" i="20"/>
  <c r="AA112" i="20"/>
  <c r="X112" i="20"/>
  <c r="U112" i="20"/>
  <c r="R112" i="20"/>
  <c r="O112" i="20"/>
  <c r="L112" i="20"/>
  <c r="I112" i="20"/>
  <c r="F112" i="20"/>
  <c r="A112" i="20"/>
  <c r="AG111" i="20"/>
  <c r="AH111" i="20"/>
  <c r="AI111" i="20"/>
  <c r="AJ111" i="20"/>
  <c r="AK111" i="20"/>
  <c r="AL111" i="20"/>
  <c r="AM111" i="20"/>
  <c r="AN111" i="20"/>
  <c r="AO111" i="20"/>
  <c r="AP111" i="20"/>
  <c r="AQ111" i="20"/>
  <c r="AF111" i="20"/>
  <c r="AD111" i="20"/>
  <c r="AA111" i="20"/>
  <c r="X111" i="20"/>
  <c r="U111" i="20"/>
  <c r="R111" i="20"/>
  <c r="O111" i="20"/>
  <c r="L111" i="20"/>
  <c r="I111" i="20"/>
  <c r="F111" i="20"/>
  <c r="A111" i="20"/>
  <c r="AG110" i="20"/>
  <c r="AH110" i="20"/>
  <c r="AI110" i="20"/>
  <c r="AJ110" i="20"/>
  <c r="AK110" i="20"/>
  <c r="AL110" i="20"/>
  <c r="AM110" i="20"/>
  <c r="AN110" i="20"/>
  <c r="AO110" i="20"/>
  <c r="AP110" i="20"/>
  <c r="AQ110" i="20"/>
  <c r="AF110" i="20"/>
  <c r="AD110" i="20"/>
  <c r="AA110" i="20"/>
  <c r="X110" i="20"/>
  <c r="U110" i="20"/>
  <c r="R110" i="20"/>
  <c r="O110" i="20"/>
  <c r="L110" i="20"/>
  <c r="I110" i="20"/>
  <c r="F110" i="20"/>
  <c r="AG109" i="20"/>
  <c r="AH109" i="20"/>
  <c r="AI109" i="20"/>
  <c r="AJ109" i="20"/>
  <c r="AK109" i="20"/>
  <c r="AL109" i="20"/>
  <c r="AM109" i="20"/>
  <c r="AN109" i="20"/>
  <c r="AO109" i="20"/>
  <c r="AP109" i="20"/>
  <c r="AQ109" i="20"/>
  <c r="AF109" i="20"/>
  <c r="AD109" i="20"/>
  <c r="AA109" i="20"/>
  <c r="X109" i="20"/>
  <c r="U109" i="20"/>
  <c r="R109" i="20"/>
  <c r="O109" i="20"/>
  <c r="L109" i="20"/>
  <c r="I109" i="20"/>
  <c r="F109" i="20"/>
  <c r="AC107" i="20"/>
  <c r="Z107" i="20"/>
  <c r="W107" i="20"/>
  <c r="T107" i="20"/>
  <c r="Q107" i="20"/>
  <c r="N107" i="20"/>
  <c r="K107" i="20"/>
  <c r="H107" i="20"/>
  <c r="E107" i="20"/>
  <c r="E102" i="20"/>
  <c r="AC101" i="20"/>
  <c r="Z101" i="20"/>
  <c r="W101" i="20"/>
  <c r="R101" i="20"/>
  <c r="L101" i="20"/>
  <c r="A101" i="20"/>
  <c r="E100" i="20"/>
  <c r="AC99" i="20"/>
  <c r="Z99" i="20"/>
  <c r="W99" i="20"/>
  <c r="R99" i="20"/>
  <c r="L99" i="20"/>
  <c r="A99" i="20"/>
  <c r="AC97" i="20"/>
  <c r="Z97" i="20"/>
  <c r="W97" i="20"/>
  <c r="R97" i="20"/>
  <c r="L97" i="20"/>
  <c r="A97" i="20"/>
  <c r="AC95" i="20"/>
  <c r="Z95" i="20"/>
  <c r="W95" i="20"/>
  <c r="R95" i="20"/>
  <c r="L95" i="20"/>
  <c r="A95" i="20"/>
  <c r="AC93" i="20"/>
  <c r="Z93" i="20"/>
  <c r="W93" i="20"/>
  <c r="R93" i="20"/>
  <c r="L93" i="20"/>
  <c r="A93" i="20"/>
  <c r="R92" i="20"/>
  <c r="L92" i="20"/>
  <c r="K91" i="20"/>
  <c r="A89" i="20"/>
  <c r="AE85" i="20"/>
  <c r="AE31" i="20"/>
  <c r="AE32" i="20"/>
  <c r="AE33" i="20"/>
  <c r="AE34" i="20"/>
  <c r="AE35" i="20"/>
  <c r="AE36" i="20"/>
  <c r="AC85" i="20"/>
  <c r="AC31" i="20"/>
  <c r="AC32" i="20"/>
  <c r="AC33" i="20"/>
  <c r="AC34" i="20"/>
  <c r="AC35" i="20"/>
  <c r="AC36" i="20"/>
  <c r="AE86" i="20"/>
  <c r="AE87" i="20"/>
  <c r="AC86" i="20"/>
  <c r="AC87" i="20"/>
  <c r="AB85" i="20"/>
  <c r="AB31" i="20"/>
  <c r="AB32" i="20"/>
  <c r="AB33" i="20"/>
  <c r="AB34" i="20"/>
  <c r="AB35" i="20"/>
  <c r="AB36" i="20"/>
  <c r="Z85" i="20"/>
  <c r="Z31" i="20"/>
  <c r="Z32" i="20"/>
  <c r="Z33" i="20"/>
  <c r="Z34" i="20"/>
  <c r="Z35" i="20"/>
  <c r="Z36" i="20"/>
  <c r="AB86" i="20"/>
  <c r="AB87" i="20"/>
  <c r="Z86" i="20"/>
  <c r="Z87" i="20"/>
  <c r="Y85" i="20"/>
  <c r="Y31" i="20"/>
  <c r="Y32" i="20"/>
  <c r="Y33" i="20"/>
  <c r="Y34" i="20"/>
  <c r="Y35" i="20"/>
  <c r="Y36" i="20"/>
  <c r="W85" i="20"/>
  <c r="W31" i="20"/>
  <c r="W32" i="20"/>
  <c r="W33" i="20"/>
  <c r="W34" i="20"/>
  <c r="W35" i="20"/>
  <c r="W36" i="20"/>
  <c r="Y86" i="20"/>
  <c r="Y87" i="20"/>
  <c r="W86" i="20"/>
  <c r="W87" i="20"/>
  <c r="V85" i="20"/>
  <c r="V31" i="20"/>
  <c r="V32" i="20"/>
  <c r="V33" i="20"/>
  <c r="V34" i="20"/>
  <c r="V35" i="20"/>
  <c r="V36" i="20"/>
  <c r="T85" i="20"/>
  <c r="T31" i="20"/>
  <c r="T32" i="20"/>
  <c r="T33" i="20"/>
  <c r="T34" i="20"/>
  <c r="T35" i="20"/>
  <c r="T36" i="20"/>
  <c r="V86" i="20"/>
  <c r="V87" i="20"/>
  <c r="T86" i="20"/>
  <c r="T87" i="20"/>
  <c r="AF76" i="20"/>
  <c r="AF75" i="20"/>
  <c r="P74" i="20"/>
  <c r="AF74" i="20"/>
  <c r="D73" i="20"/>
  <c r="J73" i="20"/>
  <c r="AF73" i="20"/>
  <c r="G72" i="20"/>
  <c r="M72" i="20"/>
  <c r="S72" i="20"/>
  <c r="AF72" i="20"/>
  <c r="AC64" i="20"/>
  <c r="AE64" i="20"/>
  <c r="AC65" i="20"/>
  <c r="AE65" i="20"/>
  <c r="AC66" i="20"/>
  <c r="AE66" i="20"/>
  <c r="AC67" i="20"/>
  <c r="AE67" i="20"/>
  <c r="AC68" i="20"/>
  <c r="AE68" i="20"/>
  <c r="AD71" i="20"/>
  <c r="Z64" i="20"/>
  <c r="AB64" i="20"/>
  <c r="Z65" i="20"/>
  <c r="AB65" i="20"/>
  <c r="Z66" i="20"/>
  <c r="AB66" i="20"/>
  <c r="Z67" i="20"/>
  <c r="AB67" i="20"/>
  <c r="Z68" i="20"/>
  <c r="AB68" i="20"/>
  <c r="AA71" i="20"/>
  <c r="W64" i="20"/>
  <c r="Y64" i="20"/>
  <c r="W65" i="20"/>
  <c r="Y65" i="20"/>
  <c r="W66" i="20"/>
  <c r="Y66" i="20"/>
  <c r="W67" i="20"/>
  <c r="Y67" i="20"/>
  <c r="W68" i="20"/>
  <c r="Y68" i="20"/>
  <c r="X71" i="20"/>
  <c r="T64" i="20"/>
  <c r="V64" i="20"/>
  <c r="T65" i="20"/>
  <c r="V65" i="20"/>
  <c r="T66" i="20"/>
  <c r="V66" i="20"/>
  <c r="T67" i="20"/>
  <c r="V67" i="20"/>
  <c r="T68" i="20"/>
  <c r="V68" i="20"/>
  <c r="U71" i="20"/>
  <c r="AF68" i="20"/>
  <c r="AG68" i="20"/>
  <c r="AF67" i="20"/>
  <c r="AG67" i="20"/>
  <c r="AF66" i="20"/>
  <c r="AG66" i="20"/>
  <c r="AF65" i="20"/>
  <c r="AG65" i="20"/>
  <c r="AF64" i="20"/>
  <c r="AG64" i="20"/>
  <c r="B62" i="20"/>
  <c r="D62" i="20"/>
  <c r="E62" i="20"/>
  <c r="G62" i="20"/>
  <c r="H62" i="20"/>
  <c r="J62" i="20"/>
  <c r="K62" i="20"/>
  <c r="M62" i="20"/>
  <c r="N62" i="20"/>
  <c r="P62" i="20"/>
  <c r="Q62" i="20"/>
  <c r="S62" i="20"/>
  <c r="T62" i="20"/>
  <c r="V62" i="20"/>
  <c r="W62" i="20"/>
  <c r="Y62" i="20"/>
  <c r="Z62" i="20"/>
  <c r="AB62" i="20"/>
  <c r="AC62" i="20"/>
  <c r="AE62" i="20"/>
  <c r="AF62" i="20"/>
  <c r="B61" i="20"/>
  <c r="D61" i="20"/>
  <c r="E61" i="20"/>
  <c r="E39" i="20"/>
  <c r="G39" i="20"/>
  <c r="E40" i="20"/>
  <c r="G40" i="20"/>
  <c r="E41" i="20"/>
  <c r="G41" i="20"/>
  <c r="E42" i="20"/>
  <c r="G42" i="20"/>
  <c r="E43" i="20"/>
  <c r="G43" i="20"/>
  <c r="E44" i="20"/>
  <c r="G61" i="20"/>
  <c r="H61" i="20"/>
  <c r="H39" i="20"/>
  <c r="J39" i="20"/>
  <c r="H40" i="20"/>
  <c r="J40" i="20"/>
  <c r="H41" i="20"/>
  <c r="J41" i="20"/>
  <c r="H42" i="20"/>
  <c r="J42" i="20"/>
  <c r="H43" i="20"/>
  <c r="J43" i="20"/>
  <c r="H44" i="20"/>
  <c r="J61" i="20"/>
  <c r="K61" i="20"/>
  <c r="M61" i="20"/>
  <c r="N61" i="20"/>
  <c r="N39" i="20"/>
  <c r="P39" i="20"/>
  <c r="N40" i="20"/>
  <c r="P40" i="20"/>
  <c r="N41" i="20"/>
  <c r="P41" i="20"/>
  <c r="N42" i="20"/>
  <c r="P42" i="20"/>
  <c r="N43" i="20"/>
  <c r="P43" i="20"/>
  <c r="N44" i="20"/>
  <c r="P61" i="20"/>
  <c r="Q61" i="20"/>
  <c r="S61" i="20"/>
  <c r="T61" i="20"/>
  <c r="V61" i="20"/>
  <c r="W61" i="20"/>
  <c r="Y61" i="20"/>
  <c r="Z61" i="20"/>
  <c r="AB61" i="20"/>
  <c r="AC61" i="20"/>
  <c r="AE61" i="20"/>
  <c r="AF61" i="20"/>
  <c r="B60" i="20"/>
  <c r="B39" i="20"/>
  <c r="D39" i="20"/>
  <c r="B40" i="20"/>
  <c r="D40" i="20"/>
  <c r="B41" i="20"/>
  <c r="D41" i="20"/>
  <c r="B42" i="20"/>
  <c r="D42" i="20"/>
  <c r="B43" i="20"/>
  <c r="D43" i="20"/>
  <c r="B44" i="20"/>
  <c r="D60" i="20"/>
  <c r="E60" i="20"/>
  <c r="G60" i="20"/>
  <c r="H60" i="20"/>
  <c r="J60" i="20"/>
  <c r="K60" i="20"/>
  <c r="K39" i="20"/>
  <c r="M39" i="20"/>
  <c r="K40" i="20"/>
  <c r="M40" i="20"/>
  <c r="K41" i="20"/>
  <c r="M41" i="20"/>
  <c r="K42" i="20"/>
  <c r="M42" i="20"/>
  <c r="K43" i="20"/>
  <c r="M43" i="20"/>
  <c r="K44" i="20"/>
  <c r="M60" i="20"/>
  <c r="N60" i="20"/>
  <c r="P60" i="20"/>
  <c r="Q60" i="20"/>
  <c r="S60" i="20"/>
  <c r="T60" i="20"/>
  <c r="V60" i="20"/>
  <c r="W60" i="20"/>
  <c r="Y60" i="20"/>
  <c r="Z60" i="20"/>
  <c r="AB60" i="20"/>
  <c r="AC60" i="20"/>
  <c r="AE60" i="20"/>
  <c r="AF60" i="20"/>
  <c r="B59" i="20"/>
  <c r="D59" i="20"/>
  <c r="E59" i="20"/>
  <c r="G59" i="20"/>
  <c r="H59" i="20"/>
  <c r="J59" i="20"/>
  <c r="K59" i="20"/>
  <c r="M59" i="20"/>
  <c r="N59" i="20"/>
  <c r="P59" i="20"/>
  <c r="Q59" i="20"/>
  <c r="Q39" i="20"/>
  <c r="S39" i="20"/>
  <c r="Q40" i="20"/>
  <c r="S40" i="20"/>
  <c r="Q41" i="20"/>
  <c r="S41" i="20"/>
  <c r="Q42" i="20"/>
  <c r="S42" i="20"/>
  <c r="Q43" i="20"/>
  <c r="S43" i="20"/>
  <c r="Q44" i="20"/>
  <c r="S59" i="20"/>
  <c r="T59" i="20"/>
  <c r="V59" i="20"/>
  <c r="W59" i="20"/>
  <c r="Y59" i="20"/>
  <c r="Z59" i="20"/>
  <c r="AB59" i="20"/>
  <c r="AC59" i="20"/>
  <c r="AE59" i="20"/>
  <c r="AF59" i="20"/>
  <c r="B58" i="20"/>
  <c r="D58" i="20"/>
  <c r="E58" i="20"/>
  <c r="G58" i="20"/>
  <c r="H58" i="20"/>
  <c r="J58" i="20"/>
  <c r="K58" i="20"/>
  <c r="M58" i="20"/>
  <c r="N58" i="20"/>
  <c r="P58" i="20"/>
  <c r="Q58" i="20"/>
  <c r="S58" i="20"/>
  <c r="T58" i="20"/>
  <c r="V58" i="20"/>
  <c r="W58" i="20"/>
  <c r="Y58" i="20"/>
  <c r="Z58" i="20"/>
  <c r="AB58" i="20"/>
  <c r="AC58" i="20"/>
  <c r="AE58" i="20"/>
  <c r="AF58" i="20"/>
  <c r="B56" i="20"/>
  <c r="D56" i="20"/>
  <c r="E56" i="20"/>
  <c r="G56" i="20"/>
  <c r="H56" i="20"/>
  <c r="J56" i="20"/>
  <c r="K56" i="20"/>
  <c r="M56" i="20"/>
  <c r="N56" i="20"/>
  <c r="P56" i="20"/>
  <c r="Q56" i="20"/>
  <c r="S56" i="20"/>
  <c r="T56" i="20"/>
  <c r="V56" i="20"/>
  <c r="W56" i="20"/>
  <c r="Y56" i="20"/>
  <c r="Z56" i="20"/>
  <c r="AB56" i="20"/>
  <c r="AC56" i="20"/>
  <c r="AE56" i="20"/>
  <c r="AF56" i="20"/>
  <c r="B55" i="20"/>
  <c r="D55" i="20"/>
  <c r="E55" i="20"/>
  <c r="E37" i="20"/>
  <c r="G37" i="20"/>
  <c r="F37" i="20"/>
  <c r="G55" i="20"/>
  <c r="H55" i="20"/>
  <c r="H37" i="20"/>
  <c r="J37" i="20"/>
  <c r="I37" i="20"/>
  <c r="J55" i="20"/>
  <c r="K55" i="20"/>
  <c r="M55" i="20"/>
  <c r="N55" i="20"/>
  <c r="N37" i="20"/>
  <c r="P37" i="20"/>
  <c r="O37" i="20"/>
  <c r="P55" i="20"/>
  <c r="Q55" i="20"/>
  <c r="S55" i="20"/>
  <c r="T55" i="20"/>
  <c r="V55" i="20"/>
  <c r="W55" i="20"/>
  <c r="Y55" i="20"/>
  <c r="Z55" i="20"/>
  <c r="AB55" i="20"/>
  <c r="AC55" i="20"/>
  <c r="AE55" i="20"/>
  <c r="AF55" i="20"/>
  <c r="B54" i="20"/>
  <c r="B37" i="20"/>
  <c r="D37" i="20"/>
  <c r="C37" i="20"/>
  <c r="D54" i="20"/>
  <c r="E54" i="20"/>
  <c r="G54" i="20"/>
  <c r="H54" i="20"/>
  <c r="J54" i="20"/>
  <c r="K54" i="20"/>
  <c r="K37" i="20"/>
  <c r="M37" i="20"/>
  <c r="L37" i="20"/>
  <c r="M54" i="20"/>
  <c r="N54" i="20"/>
  <c r="P54" i="20"/>
  <c r="Q54" i="20"/>
  <c r="S54" i="20"/>
  <c r="T54" i="20"/>
  <c r="V54" i="20"/>
  <c r="W54" i="20"/>
  <c r="Y54" i="20"/>
  <c r="Z54" i="20"/>
  <c r="AB54" i="20"/>
  <c r="AC54" i="20"/>
  <c r="AE54" i="20"/>
  <c r="AF54" i="20"/>
  <c r="B53" i="20"/>
  <c r="D53" i="20"/>
  <c r="E53" i="20"/>
  <c r="G53" i="20"/>
  <c r="H53" i="20"/>
  <c r="J53" i="20"/>
  <c r="K53" i="20"/>
  <c r="M53" i="20"/>
  <c r="N53" i="20"/>
  <c r="P53" i="20"/>
  <c r="Q53" i="20"/>
  <c r="Q37" i="20"/>
  <c r="S37" i="20"/>
  <c r="R37" i="20"/>
  <c r="S53" i="20"/>
  <c r="T53" i="20"/>
  <c r="V53" i="20"/>
  <c r="W53" i="20"/>
  <c r="Y53" i="20"/>
  <c r="Z53" i="20"/>
  <c r="AB53" i="20"/>
  <c r="AC53" i="20"/>
  <c r="AE53" i="20"/>
  <c r="AF53" i="20"/>
  <c r="B52" i="20"/>
  <c r="D52" i="20"/>
  <c r="E52" i="20"/>
  <c r="G52" i="20"/>
  <c r="H52" i="20"/>
  <c r="J52" i="20"/>
  <c r="K52" i="20"/>
  <c r="M52" i="20"/>
  <c r="N52" i="20"/>
  <c r="P52" i="20"/>
  <c r="Q52" i="20"/>
  <c r="S52" i="20"/>
  <c r="T52" i="20"/>
  <c r="V52" i="20"/>
  <c r="W52" i="20"/>
  <c r="Y52" i="20"/>
  <c r="Z52" i="20"/>
  <c r="AB52" i="20"/>
  <c r="AC52" i="20"/>
  <c r="AE52" i="20"/>
  <c r="AF52" i="20"/>
  <c r="B50" i="20"/>
  <c r="D50" i="20"/>
  <c r="E50" i="20"/>
  <c r="G50" i="20"/>
  <c r="H50" i="20"/>
  <c r="J50" i="20"/>
  <c r="K50" i="20"/>
  <c r="M50" i="20"/>
  <c r="N50" i="20"/>
  <c r="P50" i="20"/>
  <c r="Q50" i="20"/>
  <c r="S50" i="20"/>
  <c r="T50" i="20"/>
  <c r="V50" i="20"/>
  <c r="W50" i="20"/>
  <c r="Y50" i="20"/>
  <c r="Z50" i="20"/>
  <c r="AB50" i="20"/>
  <c r="AC50" i="20"/>
  <c r="AE50" i="20"/>
  <c r="AF50" i="20"/>
  <c r="AG50" i="20"/>
  <c r="B49" i="20"/>
  <c r="D49" i="20"/>
  <c r="E49" i="20"/>
  <c r="G49" i="20"/>
  <c r="H49" i="20"/>
  <c r="J49" i="20"/>
  <c r="K49" i="20"/>
  <c r="M49" i="20"/>
  <c r="N49" i="20"/>
  <c r="P49" i="20"/>
  <c r="Q49" i="20"/>
  <c r="S49" i="20"/>
  <c r="T49" i="20"/>
  <c r="V49" i="20"/>
  <c r="W49" i="20"/>
  <c r="Y49" i="20"/>
  <c r="Z49" i="20"/>
  <c r="AB49" i="20"/>
  <c r="AC49" i="20"/>
  <c r="AE49" i="20"/>
  <c r="AF49" i="20"/>
  <c r="AG49" i="20"/>
  <c r="B48" i="20"/>
  <c r="D48" i="20"/>
  <c r="E48" i="20"/>
  <c r="G48" i="20"/>
  <c r="H48" i="20"/>
  <c r="J48" i="20"/>
  <c r="K48" i="20"/>
  <c r="M48" i="20"/>
  <c r="N48" i="20"/>
  <c r="P48" i="20"/>
  <c r="Q48" i="20"/>
  <c r="S48" i="20"/>
  <c r="T48" i="20"/>
  <c r="V48" i="20"/>
  <c r="W48" i="20"/>
  <c r="Y48" i="20"/>
  <c r="Z48" i="20"/>
  <c r="AB48" i="20"/>
  <c r="AC48" i="20"/>
  <c r="AE48" i="20"/>
  <c r="AF48" i="20"/>
  <c r="AG48" i="20"/>
  <c r="B47" i="20"/>
  <c r="D47" i="20"/>
  <c r="E47" i="20"/>
  <c r="G47" i="20"/>
  <c r="H47" i="20"/>
  <c r="J47" i="20"/>
  <c r="K47" i="20"/>
  <c r="M47" i="20"/>
  <c r="N47" i="20"/>
  <c r="P47" i="20"/>
  <c r="Q47" i="20"/>
  <c r="S47" i="20"/>
  <c r="T47" i="20"/>
  <c r="V47" i="20"/>
  <c r="W47" i="20"/>
  <c r="Y47" i="20"/>
  <c r="Z47" i="20"/>
  <c r="AB47" i="20"/>
  <c r="AC47" i="20"/>
  <c r="AE47" i="20"/>
  <c r="AF47" i="20"/>
  <c r="AG47" i="20"/>
  <c r="B46" i="20"/>
  <c r="D46" i="20"/>
  <c r="E46" i="20"/>
  <c r="G46" i="20"/>
  <c r="H46" i="20"/>
  <c r="J46" i="20"/>
  <c r="K46" i="20"/>
  <c r="M46" i="20"/>
  <c r="N46" i="20"/>
  <c r="P46" i="20"/>
  <c r="Q46" i="20"/>
  <c r="S46" i="20"/>
  <c r="T46" i="20"/>
  <c r="V46" i="20"/>
  <c r="W46" i="20"/>
  <c r="Y46" i="20"/>
  <c r="Z46" i="20"/>
  <c r="AB46" i="20"/>
  <c r="AC46" i="20"/>
  <c r="AE46" i="20"/>
  <c r="AF46" i="20"/>
  <c r="AG46" i="20"/>
  <c r="AC39" i="20"/>
  <c r="AE39" i="20"/>
  <c r="AC40" i="20"/>
  <c r="AE40" i="20"/>
  <c r="AC41" i="20"/>
  <c r="AE41" i="20"/>
  <c r="AC42" i="20"/>
  <c r="AE42" i="20"/>
  <c r="AC43" i="20"/>
  <c r="AE43" i="20"/>
  <c r="AC44" i="20"/>
  <c r="Z39" i="20"/>
  <c r="AB39" i="20"/>
  <c r="Z40" i="20"/>
  <c r="AB40" i="20"/>
  <c r="Z41" i="20"/>
  <c r="AB41" i="20"/>
  <c r="Z42" i="20"/>
  <c r="AB42" i="20"/>
  <c r="Z43" i="20"/>
  <c r="AB43" i="20"/>
  <c r="Z44" i="20"/>
  <c r="W39" i="20"/>
  <c r="Y39" i="20"/>
  <c r="W40" i="20"/>
  <c r="Y40" i="20"/>
  <c r="W41" i="20"/>
  <c r="Y41" i="20"/>
  <c r="W42" i="20"/>
  <c r="Y42" i="20"/>
  <c r="W43" i="20"/>
  <c r="Y43" i="20"/>
  <c r="W44" i="20"/>
  <c r="T39" i="20"/>
  <c r="V39" i="20"/>
  <c r="T40" i="20"/>
  <c r="V40" i="20"/>
  <c r="T41" i="20"/>
  <c r="V41" i="20"/>
  <c r="T42" i="20"/>
  <c r="V42" i="20"/>
  <c r="T43" i="20"/>
  <c r="V43" i="20"/>
  <c r="T44" i="20"/>
  <c r="AE37" i="20"/>
  <c r="AC37" i="20"/>
  <c r="AD37" i="20"/>
  <c r="AB37" i="20"/>
  <c r="Z37" i="20"/>
  <c r="AA37" i="20"/>
  <c r="Y37" i="20"/>
  <c r="W37" i="20"/>
  <c r="X37" i="20"/>
  <c r="V37" i="20"/>
  <c r="T37" i="20"/>
  <c r="U37" i="20"/>
  <c r="AE30" i="20"/>
  <c r="AC30" i="20"/>
  <c r="AB30" i="20"/>
  <c r="Z30" i="20"/>
  <c r="Y30" i="20"/>
  <c r="W30" i="20"/>
  <c r="V30" i="20"/>
  <c r="T30" i="20"/>
  <c r="S30" i="20"/>
  <c r="Q30" i="20"/>
  <c r="P30" i="20"/>
  <c r="N30" i="20"/>
  <c r="M30" i="20"/>
  <c r="K30" i="20"/>
  <c r="J30" i="20"/>
  <c r="H30" i="20"/>
  <c r="G30" i="20"/>
  <c r="E30" i="20"/>
  <c r="D30" i="20"/>
  <c r="B30" i="20"/>
  <c r="AD29" i="20"/>
  <c r="AA29" i="20"/>
  <c r="X29" i="20"/>
  <c r="U29" i="20"/>
  <c r="R29" i="20"/>
  <c r="O29" i="20"/>
  <c r="L29" i="20"/>
  <c r="I29" i="20"/>
  <c r="F29" i="20"/>
  <c r="A29" i="20"/>
  <c r="AG28" i="20"/>
  <c r="AH28" i="20"/>
  <c r="AI28" i="20"/>
  <c r="AJ28" i="20"/>
  <c r="AK28" i="20"/>
  <c r="AL28" i="20"/>
  <c r="AM28" i="20"/>
  <c r="AN28" i="20"/>
  <c r="AO28" i="20"/>
  <c r="AP28" i="20"/>
  <c r="AQ28" i="20"/>
  <c r="AF28" i="20"/>
  <c r="AD28" i="20"/>
  <c r="AA28" i="20"/>
  <c r="X28" i="20"/>
  <c r="U28" i="20"/>
  <c r="R28" i="20"/>
  <c r="O28" i="20"/>
  <c r="L28" i="20"/>
  <c r="I28" i="20"/>
  <c r="F28" i="20"/>
  <c r="A28" i="20"/>
  <c r="AG27" i="20"/>
  <c r="AH27" i="20"/>
  <c r="AI27" i="20"/>
  <c r="AJ27" i="20"/>
  <c r="AK27" i="20"/>
  <c r="AL27" i="20"/>
  <c r="AM27" i="20"/>
  <c r="AN27" i="20"/>
  <c r="AO27" i="20"/>
  <c r="AP27" i="20"/>
  <c r="AQ27" i="20"/>
  <c r="AF27" i="20"/>
  <c r="AD27" i="20"/>
  <c r="AA27" i="20"/>
  <c r="X27" i="20"/>
  <c r="U27" i="20"/>
  <c r="R27" i="20"/>
  <c r="O27" i="20"/>
  <c r="L27" i="20"/>
  <c r="I27" i="20"/>
  <c r="F27" i="20"/>
  <c r="A27" i="20"/>
  <c r="AG26" i="20"/>
  <c r="AH26" i="20"/>
  <c r="AI26" i="20"/>
  <c r="AJ26" i="20"/>
  <c r="AK26" i="20"/>
  <c r="AL26" i="20"/>
  <c r="AM26" i="20"/>
  <c r="AN26" i="20"/>
  <c r="AO26" i="20"/>
  <c r="AP26" i="20"/>
  <c r="AQ26" i="20"/>
  <c r="AF26" i="20"/>
  <c r="AD26" i="20"/>
  <c r="AA26" i="20"/>
  <c r="X26" i="20"/>
  <c r="U26" i="20"/>
  <c r="R26" i="20"/>
  <c r="O26" i="20"/>
  <c r="L26" i="20"/>
  <c r="I26" i="20"/>
  <c r="F26" i="20"/>
  <c r="A26" i="20"/>
  <c r="AG25" i="20"/>
  <c r="AH25" i="20"/>
  <c r="AI25" i="20"/>
  <c r="AJ25" i="20"/>
  <c r="AK25" i="20"/>
  <c r="AL25" i="20"/>
  <c r="AM25" i="20"/>
  <c r="AN25" i="20"/>
  <c r="AO25" i="20"/>
  <c r="AP25" i="20"/>
  <c r="AQ25" i="20"/>
  <c r="AF25" i="20"/>
  <c r="AD25" i="20"/>
  <c r="AA25" i="20"/>
  <c r="X25" i="20"/>
  <c r="U25" i="20"/>
  <c r="R25" i="20"/>
  <c r="O25" i="20"/>
  <c r="L25" i="20"/>
  <c r="I25" i="20"/>
  <c r="F25" i="20"/>
  <c r="AG24" i="20"/>
  <c r="AH24" i="20"/>
  <c r="AI24" i="20"/>
  <c r="AJ24" i="20"/>
  <c r="AK24" i="20"/>
  <c r="AL24" i="20"/>
  <c r="AM24" i="20"/>
  <c r="AN24" i="20"/>
  <c r="AO24" i="20"/>
  <c r="AP24" i="20"/>
  <c r="AQ24" i="20"/>
  <c r="AF24" i="20"/>
  <c r="AD24" i="20"/>
  <c r="AA24" i="20"/>
  <c r="X24" i="20"/>
  <c r="U24" i="20"/>
  <c r="R24" i="20"/>
  <c r="O24" i="20"/>
  <c r="L24" i="20"/>
  <c r="I24" i="20"/>
  <c r="F24" i="20"/>
  <c r="AC22" i="20"/>
  <c r="Z22" i="20"/>
  <c r="W22" i="20"/>
  <c r="T22" i="20"/>
  <c r="Q22" i="20"/>
  <c r="N22" i="20"/>
  <c r="K22" i="20"/>
  <c r="H22" i="20"/>
  <c r="E22" i="20"/>
  <c r="E17" i="20"/>
  <c r="AC16" i="20"/>
  <c r="Z16" i="20"/>
  <c r="W16" i="20"/>
  <c r="R16" i="20"/>
  <c r="L16" i="20"/>
  <c r="A16" i="20"/>
  <c r="E15" i="20"/>
  <c r="AC14" i="20"/>
  <c r="Z14" i="20"/>
  <c r="W14" i="20"/>
  <c r="R14" i="20"/>
  <c r="L14" i="20"/>
  <c r="A14" i="20"/>
  <c r="AC12" i="20"/>
  <c r="Z12" i="20"/>
  <c r="W12" i="20"/>
  <c r="R12" i="20"/>
  <c r="L12" i="20"/>
  <c r="A12" i="20"/>
  <c r="AY10" i="20"/>
  <c r="AC10" i="20"/>
  <c r="Z10" i="20"/>
  <c r="W10" i="20"/>
  <c r="R10" i="20"/>
  <c r="L10" i="20"/>
  <c r="A10" i="20"/>
  <c r="AY9" i="20"/>
  <c r="AY8" i="20"/>
  <c r="AC8" i="20"/>
  <c r="Z8" i="20"/>
  <c r="W8" i="20"/>
  <c r="R8" i="20"/>
  <c r="L8" i="20"/>
  <c r="A8" i="20"/>
  <c r="AY7" i="20"/>
  <c r="R7" i="20"/>
  <c r="L7" i="20"/>
  <c r="AY6" i="20"/>
  <c r="K6" i="20"/>
  <c r="AY5" i="20"/>
  <c r="AY4" i="20"/>
  <c r="AY3" i="20"/>
  <c r="K387" i="10"/>
  <c r="F387" i="10"/>
  <c r="E387" i="10"/>
  <c r="C387" i="10"/>
  <c r="D387" i="10"/>
  <c r="AW9" i="19"/>
  <c r="AW8" i="19"/>
  <c r="AW7" i="19"/>
  <c r="AW6" i="19"/>
  <c r="AW5" i="19"/>
  <c r="AW3" i="19"/>
  <c r="AW4" i="19"/>
  <c r="AL266" i="19"/>
  <c r="AF266" i="19"/>
  <c r="E181" i="19"/>
  <c r="AB266" i="19"/>
  <c r="E180" i="19"/>
  <c r="V266" i="19"/>
  <c r="E179" i="19"/>
  <c r="R266" i="19"/>
  <c r="E178" i="19"/>
  <c r="L266" i="19"/>
  <c r="E183" i="19"/>
  <c r="H266" i="19"/>
  <c r="E182" i="19"/>
  <c r="B266" i="19"/>
  <c r="AL265" i="19"/>
  <c r="AF265" i="19"/>
  <c r="E96" i="19"/>
  <c r="AB265" i="19"/>
  <c r="E95" i="19"/>
  <c r="V265" i="19"/>
  <c r="E98" i="19"/>
  <c r="R265" i="19"/>
  <c r="E97" i="19"/>
  <c r="L265" i="19"/>
  <c r="E94" i="19"/>
  <c r="H265" i="19"/>
  <c r="E93" i="19"/>
  <c r="B265" i="19"/>
  <c r="AL264" i="19"/>
  <c r="AF264" i="19"/>
  <c r="E9" i="19"/>
  <c r="AB264" i="19"/>
  <c r="E8" i="19"/>
  <c r="V264" i="19"/>
  <c r="E13" i="19"/>
  <c r="R264" i="19"/>
  <c r="E12" i="19"/>
  <c r="L264" i="19"/>
  <c r="E11" i="19"/>
  <c r="H264" i="19"/>
  <c r="E10" i="19"/>
  <c r="B264" i="19"/>
  <c r="A259" i="19"/>
  <c r="AE255" i="19"/>
  <c r="AE201" i="19"/>
  <c r="AE202" i="19"/>
  <c r="AE203" i="19"/>
  <c r="AE204" i="19"/>
  <c r="AE205" i="19"/>
  <c r="AE206" i="19"/>
  <c r="AC255" i="19"/>
  <c r="AC201" i="19"/>
  <c r="AC202" i="19"/>
  <c r="AC203" i="19"/>
  <c r="AC204" i="19"/>
  <c r="AC205" i="19"/>
  <c r="AC206" i="19"/>
  <c r="AE256" i="19"/>
  <c r="AE257" i="19"/>
  <c r="AC256" i="19"/>
  <c r="AC257" i="19"/>
  <c r="AB255" i="19"/>
  <c r="AB201" i="19"/>
  <c r="AB202" i="19"/>
  <c r="AB203" i="19"/>
  <c r="AB204" i="19"/>
  <c r="AB205" i="19"/>
  <c r="AB206" i="19"/>
  <c r="Z255" i="19"/>
  <c r="Z201" i="19"/>
  <c r="Z202" i="19"/>
  <c r="Z203" i="19"/>
  <c r="Z204" i="19"/>
  <c r="Z205" i="19"/>
  <c r="Z206" i="19"/>
  <c r="AB256" i="19"/>
  <c r="AB257" i="19"/>
  <c r="Z256" i="19"/>
  <c r="Z257" i="19"/>
  <c r="Y255" i="19"/>
  <c r="Y201" i="19"/>
  <c r="Y202" i="19"/>
  <c r="Y203" i="19"/>
  <c r="Y204" i="19"/>
  <c r="Y205" i="19"/>
  <c r="Y206" i="19"/>
  <c r="W255" i="19"/>
  <c r="W201" i="19"/>
  <c r="W202" i="19"/>
  <c r="W203" i="19"/>
  <c r="W204" i="19"/>
  <c r="W205" i="19"/>
  <c r="W206" i="19"/>
  <c r="Y256" i="19"/>
  <c r="Y257" i="19"/>
  <c r="W256" i="19"/>
  <c r="W257" i="19"/>
  <c r="V255" i="19"/>
  <c r="V201" i="19"/>
  <c r="V202" i="19"/>
  <c r="V203" i="19"/>
  <c r="V204" i="19"/>
  <c r="V205" i="19"/>
  <c r="V206" i="19"/>
  <c r="T255" i="19"/>
  <c r="T201" i="19"/>
  <c r="T202" i="19"/>
  <c r="T203" i="19"/>
  <c r="T204" i="19"/>
  <c r="T205" i="19"/>
  <c r="T206" i="19"/>
  <c r="V256" i="19"/>
  <c r="V257" i="19"/>
  <c r="T256" i="19"/>
  <c r="T257" i="19"/>
  <c r="N243" i="19"/>
  <c r="P243" i="19"/>
  <c r="K243" i="19"/>
  <c r="M243" i="19"/>
  <c r="H243" i="19"/>
  <c r="H201" i="19"/>
  <c r="H202" i="19"/>
  <c r="H203" i="19"/>
  <c r="H204" i="19"/>
  <c r="H205" i="19"/>
  <c r="H234" i="19"/>
  <c r="J234" i="19"/>
  <c r="H235" i="19"/>
  <c r="J201" i="19"/>
  <c r="J202" i="19"/>
  <c r="J203" i="19"/>
  <c r="J204" i="19"/>
  <c r="J205" i="19"/>
  <c r="J235" i="19"/>
  <c r="H236" i="19"/>
  <c r="J236" i="19"/>
  <c r="H237" i="19"/>
  <c r="J237" i="19"/>
  <c r="H238" i="19"/>
  <c r="J238" i="19"/>
  <c r="I241" i="19"/>
  <c r="J243" i="19"/>
  <c r="E234" i="19"/>
  <c r="G234" i="19"/>
  <c r="E201" i="19"/>
  <c r="E202" i="19"/>
  <c r="E203" i="19"/>
  <c r="E204" i="19"/>
  <c r="E205" i="19"/>
  <c r="E235" i="19"/>
  <c r="G235" i="19"/>
  <c r="E236" i="19"/>
  <c r="G201" i="19"/>
  <c r="G202" i="19"/>
  <c r="G203" i="19"/>
  <c r="G204" i="19"/>
  <c r="G205" i="19"/>
  <c r="G236" i="19"/>
  <c r="E237" i="19"/>
  <c r="G237" i="19"/>
  <c r="E238" i="19"/>
  <c r="G238" i="19"/>
  <c r="F241" i="19"/>
  <c r="E243" i="19"/>
  <c r="B243" i="19"/>
  <c r="D243" i="19"/>
  <c r="B250" i="19"/>
  <c r="C250" i="19"/>
  <c r="D250" i="19"/>
  <c r="E255" i="19"/>
  <c r="E206" i="19"/>
  <c r="B244" i="19"/>
  <c r="B201" i="19"/>
  <c r="B202" i="19"/>
  <c r="B203" i="19"/>
  <c r="B204" i="19"/>
  <c r="B205" i="19"/>
  <c r="B234" i="19"/>
  <c r="D234" i="19"/>
  <c r="B235" i="19"/>
  <c r="D235" i="19"/>
  <c r="B236" i="19"/>
  <c r="D201" i="19"/>
  <c r="D202" i="19"/>
  <c r="D203" i="19"/>
  <c r="D204" i="19"/>
  <c r="D205" i="19"/>
  <c r="D236" i="19"/>
  <c r="B237" i="19"/>
  <c r="D237" i="19"/>
  <c r="B238" i="19"/>
  <c r="D238" i="19"/>
  <c r="C241" i="19"/>
  <c r="D244" i="19"/>
  <c r="B251" i="19"/>
  <c r="C251" i="19"/>
  <c r="D255" i="19"/>
  <c r="D206" i="19"/>
  <c r="B249" i="19"/>
  <c r="C249" i="19"/>
  <c r="B255" i="19"/>
  <c r="B206" i="19"/>
  <c r="D256" i="19"/>
  <c r="D257" i="19"/>
  <c r="D251" i="19"/>
  <c r="G255" i="19"/>
  <c r="G206" i="19"/>
  <c r="E256" i="19"/>
  <c r="E257" i="19"/>
  <c r="G250" i="19"/>
  <c r="J255" i="19"/>
  <c r="J206" i="19"/>
  <c r="E242" i="19"/>
  <c r="G242" i="19"/>
  <c r="B242" i="19"/>
  <c r="B256" i="19"/>
  <c r="B257" i="19"/>
  <c r="D249" i="19"/>
  <c r="G249" i="19"/>
  <c r="H255" i="19"/>
  <c r="H206" i="19"/>
  <c r="J256" i="19"/>
  <c r="J257" i="19"/>
  <c r="J250" i="19"/>
  <c r="M250" i="19"/>
  <c r="P250" i="19"/>
  <c r="S255" i="19"/>
  <c r="S201" i="19"/>
  <c r="S202" i="19"/>
  <c r="S203" i="19"/>
  <c r="S204" i="19"/>
  <c r="S205" i="19"/>
  <c r="S206" i="19"/>
  <c r="N242" i="19"/>
  <c r="P242" i="19"/>
  <c r="K201" i="19"/>
  <c r="K202" i="19"/>
  <c r="K203" i="19"/>
  <c r="K204" i="19"/>
  <c r="K205" i="19"/>
  <c r="K234" i="19"/>
  <c r="M234" i="19"/>
  <c r="K235" i="19"/>
  <c r="M235" i="19"/>
  <c r="K236" i="19"/>
  <c r="M201" i="19"/>
  <c r="M202" i="19"/>
  <c r="M203" i="19"/>
  <c r="M204" i="19"/>
  <c r="M205" i="19"/>
  <c r="M236" i="19"/>
  <c r="K237" i="19"/>
  <c r="M237" i="19"/>
  <c r="K238" i="19"/>
  <c r="M238" i="19"/>
  <c r="L241" i="19"/>
  <c r="K242" i="19"/>
  <c r="M242" i="19"/>
  <c r="H242" i="19"/>
  <c r="H256" i="19"/>
  <c r="H257" i="19"/>
  <c r="J249" i="19"/>
  <c r="M249" i="19"/>
  <c r="P249" i="19"/>
  <c r="Q255" i="19"/>
  <c r="Q201" i="19"/>
  <c r="Q202" i="19"/>
  <c r="Q203" i="19"/>
  <c r="Q204" i="19"/>
  <c r="Q205" i="19"/>
  <c r="Q206" i="19"/>
  <c r="S256" i="19"/>
  <c r="S257" i="19"/>
  <c r="Q256" i="19"/>
  <c r="Q257" i="19"/>
  <c r="K245" i="19"/>
  <c r="M245" i="19"/>
  <c r="H245" i="19"/>
  <c r="J245" i="19"/>
  <c r="E245" i="19"/>
  <c r="G245" i="19"/>
  <c r="B245" i="19"/>
  <c r="D245" i="19"/>
  <c r="E184" i="19"/>
  <c r="B252" i="19"/>
  <c r="C252" i="19"/>
  <c r="D252" i="19"/>
  <c r="G252" i="19"/>
  <c r="J252" i="19"/>
  <c r="M252" i="19"/>
  <c r="P255" i="19"/>
  <c r="P201" i="19"/>
  <c r="P202" i="19"/>
  <c r="P203" i="19"/>
  <c r="P204" i="19"/>
  <c r="P205" i="19"/>
  <c r="P206" i="19"/>
  <c r="K244" i="19"/>
  <c r="M244" i="19"/>
  <c r="H244" i="19"/>
  <c r="J244" i="19"/>
  <c r="E244" i="19"/>
  <c r="G244" i="19"/>
  <c r="G256" i="19"/>
  <c r="G257" i="19"/>
  <c r="G251" i="19"/>
  <c r="J251" i="19"/>
  <c r="M251" i="19"/>
  <c r="N255" i="19"/>
  <c r="N201" i="19"/>
  <c r="N202" i="19"/>
  <c r="N203" i="19"/>
  <c r="N204" i="19"/>
  <c r="N205" i="19"/>
  <c r="N206" i="19"/>
  <c r="P256" i="19"/>
  <c r="P257" i="19"/>
  <c r="N256" i="19"/>
  <c r="N257" i="19"/>
  <c r="M255" i="19"/>
  <c r="M206" i="19"/>
  <c r="K255" i="19"/>
  <c r="K206" i="19"/>
  <c r="M256" i="19"/>
  <c r="M257" i="19"/>
  <c r="K256" i="19"/>
  <c r="K257" i="19"/>
  <c r="AC246" i="19"/>
  <c r="AE246" i="19"/>
  <c r="Z246" i="19"/>
  <c r="AB246" i="19"/>
  <c r="W246" i="19"/>
  <c r="Y246" i="19"/>
  <c r="T246" i="19"/>
  <c r="V246" i="19"/>
  <c r="Q246" i="19"/>
  <c r="S246" i="19"/>
  <c r="N246" i="19"/>
  <c r="P246" i="19"/>
  <c r="K246" i="19"/>
  <c r="M246" i="19"/>
  <c r="H246" i="19"/>
  <c r="J246" i="19"/>
  <c r="E246" i="19"/>
  <c r="G246" i="19"/>
  <c r="B246" i="19"/>
  <c r="D246" i="19"/>
  <c r="E186" i="19"/>
  <c r="B253" i="19"/>
  <c r="C253" i="19"/>
  <c r="D253" i="19"/>
  <c r="G253" i="19"/>
  <c r="J253" i="19"/>
  <c r="M253" i="19"/>
  <c r="P253" i="19"/>
  <c r="S253" i="19"/>
  <c r="V253" i="19"/>
  <c r="Y253" i="19"/>
  <c r="AB253" i="19"/>
  <c r="AE253" i="19"/>
  <c r="AU253" i="19"/>
  <c r="AT253" i="19"/>
  <c r="AC245" i="19"/>
  <c r="AE245" i="19"/>
  <c r="Z245" i="19"/>
  <c r="AB245" i="19"/>
  <c r="W245" i="19"/>
  <c r="Y245" i="19"/>
  <c r="T245" i="19"/>
  <c r="V245" i="19"/>
  <c r="Q245" i="19"/>
  <c r="S245" i="19"/>
  <c r="N245" i="19"/>
  <c r="N234" i="19"/>
  <c r="P234" i="19"/>
  <c r="N235" i="19"/>
  <c r="P235" i="19"/>
  <c r="N236" i="19"/>
  <c r="P236" i="19"/>
  <c r="N237" i="19"/>
  <c r="P237" i="19"/>
  <c r="N238" i="19"/>
  <c r="P238" i="19"/>
  <c r="O241" i="19"/>
  <c r="P245" i="19"/>
  <c r="P252" i="19"/>
  <c r="S252" i="19"/>
  <c r="V252" i="19"/>
  <c r="Y252" i="19"/>
  <c r="AB252" i="19"/>
  <c r="AE252" i="19"/>
  <c r="AU252" i="19"/>
  <c r="AT252" i="19"/>
  <c r="AC244" i="19"/>
  <c r="AE244" i="19"/>
  <c r="Z244" i="19"/>
  <c r="AB244" i="19"/>
  <c r="W244" i="19"/>
  <c r="Y244" i="19"/>
  <c r="T244" i="19"/>
  <c r="V244" i="19"/>
  <c r="Q244" i="19"/>
  <c r="S244" i="19"/>
  <c r="N244" i="19"/>
  <c r="P244" i="19"/>
  <c r="P251" i="19"/>
  <c r="S251" i="19"/>
  <c r="V251" i="19"/>
  <c r="Y251" i="19"/>
  <c r="AB251" i="19"/>
  <c r="AE251" i="19"/>
  <c r="AU251" i="19"/>
  <c r="AT251" i="19"/>
  <c r="AC243" i="19"/>
  <c r="AE243" i="19"/>
  <c r="Z243" i="19"/>
  <c r="AB243" i="19"/>
  <c r="W243" i="19"/>
  <c r="Y243" i="19"/>
  <c r="T243" i="19"/>
  <c r="V243" i="19"/>
  <c r="Q243" i="19"/>
  <c r="Q234" i="19"/>
  <c r="S234" i="19"/>
  <c r="Q235" i="19"/>
  <c r="S235" i="19"/>
  <c r="Q236" i="19"/>
  <c r="S236" i="19"/>
  <c r="Q237" i="19"/>
  <c r="S237" i="19"/>
  <c r="Q238" i="19"/>
  <c r="S238" i="19"/>
  <c r="R241" i="19"/>
  <c r="S243" i="19"/>
  <c r="S250" i="19"/>
  <c r="V250" i="19"/>
  <c r="Y250" i="19"/>
  <c r="AB250" i="19"/>
  <c r="AE250" i="19"/>
  <c r="AU250" i="19"/>
  <c r="AT250" i="19"/>
  <c r="AC242" i="19"/>
  <c r="AE242" i="19"/>
  <c r="Z242" i="19"/>
  <c r="AB242" i="19"/>
  <c r="W242" i="19"/>
  <c r="Y242" i="19"/>
  <c r="T242" i="19"/>
  <c r="V242" i="19"/>
  <c r="Q242" i="19"/>
  <c r="S242" i="19"/>
  <c r="S249" i="19"/>
  <c r="V249" i="19"/>
  <c r="Y249" i="19"/>
  <c r="AB249" i="19"/>
  <c r="AE249" i="19"/>
  <c r="AU249" i="19"/>
  <c r="AT249" i="19"/>
  <c r="AF246" i="19"/>
  <c r="AF245" i="19"/>
  <c r="AF244" i="19"/>
  <c r="G243" i="19"/>
  <c r="AF243" i="19"/>
  <c r="D242" i="19"/>
  <c r="J242" i="19"/>
  <c r="AF242" i="19"/>
  <c r="AC234" i="19"/>
  <c r="AE234" i="19"/>
  <c r="AC235" i="19"/>
  <c r="AE235" i="19"/>
  <c r="AC236" i="19"/>
  <c r="AE236" i="19"/>
  <c r="AC237" i="19"/>
  <c r="AE237" i="19"/>
  <c r="AC238" i="19"/>
  <c r="AE238" i="19"/>
  <c r="AD241" i="19"/>
  <c r="Z234" i="19"/>
  <c r="AB234" i="19"/>
  <c r="Z235" i="19"/>
  <c r="AB235" i="19"/>
  <c r="Z236" i="19"/>
  <c r="AB236" i="19"/>
  <c r="Z237" i="19"/>
  <c r="AB237" i="19"/>
  <c r="Z238" i="19"/>
  <c r="AB238" i="19"/>
  <c r="AA241" i="19"/>
  <c r="W234" i="19"/>
  <c r="Y234" i="19"/>
  <c r="W235" i="19"/>
  <c r="Y235" i="19"/>
  <c r="W236" i="19"/>
  <c r="Y236" i="19"/>
  <c r="W237" i="19"/>
  <c r="Y237" i="19"/>
  <c r="W238" i="19"/>
  <c r="Y238" i="19"/>
  <c r="X241" i="19"/>
  <c r="T234" i="19"/>
  <c r="V234" i="19"/>
  <c r="T235" i="19"/>
  <c r="V235" i="19"/>
  <c r="T236" i="19"/>
  <c r="V236" i="19"/>
  <c r="T237" i="19"/>
  <c r="V237" i="19"/>
  <c r="T238" i="19"/>
  <c r="V238" i="19"/>
  <c r="U241" i="19"/>
  <c r="AF238" i="19"/>
  <c r="AG238" i="19"/>
  <c r="AF237" i="19"/>
  <c r="AG237" i="19"/>
  <c r="AF236" i="19"/>
  <c r="AG236" i="19"/>
  <c r="AF235" i="19"/>
  <c r="AG235" i="19"/>
  <c r="AF234" i="19"/>
  <c r="AG234" i="19"/>
  <c r="B232" i="19"/>
  <c r="D232" i="19"/>
  <c r="E232" i="19"/>
  <c r="G232" i="19"/>
  <c r="H232" i="19"/>
  <c r="J232" i="19"/>
  <c r="K232" i="19"/>
  <c r="M232" i="19"/>
  <c r="N232" i="19"/>
  <c r="P232" i="19"/>
  <c r="Q232" i="19"/>
  <c r="S232" i="19"/>
  <c r="T232" i="19"/>
  <c r="V232" i="19"/>
  <c r="W232" i="19"/>
  <c r="Y232" i="19"/>
  <c r="Z232" i="19"/>
  <c r="AB232" i="19"/>
  <c r="AC232" i="19"/>
  <c r="AE232" i="19"/>
  <c r="AF232" i="19"/>
  <c r="B231" i="19"/>
  <c r="D231" i="19"/>
  <c r="E231" i="19"/>
  <c r="G231" i="19"/>
  <c r="H231" i="19"/>
  <c r="J231" i="19"/>
  <c r="K231" i="19"/>
  <c r="M231" i="19"/>
  <c r="N231" i="19"/>
  <c r="N209" i="19"/>
  <c r="P209" i="19"/>
  <c r="N210" i="19"/>
  <c r="P210" i="19"/>
  <c r="N211" i="19"/>
  <c r="P211" i="19"/>
  <c r="N212" i="19"/>
  <c r="P212" i="19"/>
  <c r="N213" i="19"/>
  <c r="P213" i="19"/>
  <c r="N214" i="19"/>
  <c r="P231" i="19"/>
  <c r="Q231" i="19"/>
  <c r="S231" i="19"/>
  <c r="T231" i="19"/>
  <c r="V231" i="19"/>
  <c r="W231" i="19"/>
  <c r="Y231" i="19"/>
  <c r="Z231" i="19"/>
  <c r="AB231" i="19"/>
  <c r="AC231" i="19"/>
  <c r="AE231" i="19"/>
  <c r="AF231" i="19"/>
  <c r="B230" i="19"/>
  <c r="B209" i="19"/>
  <c r="D209" i="19"/>
  <c r="B210" i="19"/>
  <c r="D210" i="19"/>
  <c r="B211" i="19"/>
  <c r="D211" i="19"/>
  <c r="B212" i="19"/>
  <c r="D212" i="19"/>
  <c r="B213" i="19"/>
  <c r="D213" i="19"/>
  <c r="B214" i="19"/>
  <c r="D230" i="19"/>
  <c r="E230" i="19"/>
  <c r="E209" i="19"/>
  <c r="G209" i="19"/>
  <c r="E210" i="19"/>
  <c r="G210" i="19"/>
  <c r="E211" i="19"/>
  <c r="G211" i="19"/>
  <c r="E212" i="19"/>
  <c r="G212" i="19"/>
  <c r="E213" i="19"/>
  <c r="G213" i="19"/>
  <c r="E214" i="19"/>
  <c r="G230" i="19"/>
  <c r="H230" i="19"/>
  <c r="J230" i="19"/>
  <c r="K230" i="19"/>
  <c r="K209" i="19"/>
  <c r="M209" i="19"/>
  <c r="K210" i="19"/>
  <c r="M210" i="19"/>
  <c r="K211" i="19"/>
  <c r="M211" i="19"/>
  <c r="K212" i="19"/>
  <c r="M212" i="19"/>
  <c r="K213" i="19"/>
  <c r="M213" i="19"/>
  <c r="K214" i="19"/>
  <c r="M230" i="19"/>
  <c r="N230" i="19"/>
  <c r="P230" i="19"/>
  <c r="Q230" i="19"/>
  <c r="S230" i="19"/>
  <c r="T230" i="19"/>
  <c r="V230" i="19"/>
  <c r="W230" i="19"/>
  <c r="Y230" i="19"/>
  <c r="Z230" i="19"/>
  <c r="AB230" i="19"/>
  <c r="AC230" i="19"/>
  <c r="AE230" i="19"/>
  <c r="AF230" i="19"/>
  <c r="B229" i="19"/>
  <c r="D229" i="19"/>
  <c r="E229" i="19"/>
  <c r="G229" i="19"/>
  <c r="H229" i="19"/>
  <c r="H209" i="19"/>
  <c r="J209" i="19"/>
  <c r="H210" i="19"/>
  <c r="J210" i="19"/>
  <c r="H211" i="19"/>
  <c r="J211" i="19"/>
  <c r="H212" i="19"/>
  <c r="J212" i="19"/>
  <c r="H213" i="19"/>
  <c r="J213" i="19"/>
  <c r="H214" i="19"/>
  <c r="J229" i="19"/>
  <c r="K229" i="19"/>
  <c r="M229" i="19"/>
  <c r="N229" i="19"/>
  <c r="P229" i="19"/>
  <c r="Q229" i="19"/>
  <c r="Q209" i="19"/>
  <c r="S209" i="19"/>
  <c r="Q210" i="19"/>
  <c r="S210" i="19"/>
  <c r="Q211" i="19"/>
  <c r="S211" i="19"/>
  <c r="Q212" i="19"/>
  <c r="S212" i="19"/>
  <c r="Q213" i="19"/>
  <c r="S213" i="19"/>
  <c r="Q214" i="19"/>
  <c r="S229" i="19"/>
  <c r="T229" i="19"/>
  <c r="V229" i="19"/>
  <c r="W229" i="19"/>
  <c r="Y229" i="19"/>
  <c r="Z229" i="19"/>
  <c r="AB229" i="19"/>
  <c r="AC229" i="19"/>
  <c r="AE229" i="19"/>
  <c r="AF229" i="19"/>
  <c r="B228" i="19"/>
  <c r="D228" i="19"/>
  <c r="E228" i="19"/>
  <c r="G228" i="19"/>
  <c r="H228" i="19"/>
  <c r="J228" i="19"/>
  <c r="K228" i="19"/>
  <c r="M228" i="19"/>
  <c r="N228" i="19"/>
  <c r="P228" i="19"/>
  <c r="Q228" i="19"/>
  <c r="S228" i="19"/>
  <c r="T228" i="19"/>
  <c r="V228" i="19"/>
  <c r="W228" i="19"/>
  <c r="Y228" i="19"/>
  <c r="Z228" i="19"/>
  <c r="AB228" i="19"/>
  <c r="AC228" i="19"/>
  <c r="AE228" i="19"/>
  <c r="AF228" i="19"/>
  <c r="B226" i="19"/>
  <c r="D226" i="19"/>
  <c r="E226" i="19"/>
  <c r="G226" i="19"/>
  <c r="H226" i="19"/>
  <c r="J226" i="19"/>
  <c r="K226" i="19"/>
  <c r="M226" i="19"/>
  <c r="N226" i="19"/>
  <c r="P226" i="19"/>
  <c r="Q226" i="19"/>
  <c r="S226" i="19"/>
  <c r="T226" i="19"/>
  <c r="V226" i="19"/>
  <c r="W226" i="19"/>
  <c r="Y226" i="19"/>
  <c r="Z226" i="19"/>
  <c r="AB226" i="19"/>
  <c r="AC226" i="19"/>
  <c r="AE226" i="19"/>
  <c r="AF226" i="19"/>
  <c r="B225" i="19"/>
  <c r="D225" i="19"/>
  <c r="E225" i="19"/>
  <c r="G225" i="19"/>
  <c r="H225" i="19"/>
  <c r="J225" i="19"/>
  <c r="K225" i="19"/>
  <c r="M225" i="19"/>
  <c r="N225" i="19"/>
  <c r="N207" i="19"/>
  <c r="P207" i="19"/>
  <c r="O207" i="19"/>
  <c r="P225" i="19"/>
  <c r="Q225" i="19"/>
  <c r="S225" i="19"/>
  <c r="T225" i="19"/>
  <c r="V225" i="19"/>
  <c r="W225" i="19"/>
  <c r="Y225" i="19"/>
  <c r="Z225" i="19"/>
  <c r="AB225" i="19"/>
  <c r="AC225" i="19"/>
  <c r="AE225" i="19"/>
  <c r="AF225" i="19"/>
  <c r="B224" i="19"/>
  <c r="B207" i="19"/>
  <c r="D207" i="19"/>
  <c r="C207" i="19"/>
  <c r="D224" i="19"/>
  <c r="E224" i="19"/>
  <c r="E207" i="19"/>
  <c r="G207" i="19"/>
  <c r="F207" i="19"/>
  <c r="G224" i="19"/>
  <c r="H224" i="19"/>
  <c r="J224" i="19"/>
  <c r="K224" i="19"/>
  <c r="K207" i="19"/>
  <c r="M207" i="19"/>
  <c r="L207" i="19"/>
  <c r="M224" i="19"/>
  <c r="N224" i="19"/>
  <c r="P224" i="19"/>
  <c r="Q224" i="19"/>
  <c r="S224" i="19"/>
  <c r="T224" i="19"/>
  <c r="V224" i="19"/>
  <c r="W224" i="19"/>
  <c r="Y224" i="19"/>
  <c r="Z224" i="19"/>
  <c r="AB224" i="19"/>
  <c r="AC224" i="19"/>
  <c r="AE224" i="19"/>
  <c r="AF224" i="19"/>
  <c r="B223" i="19"/>
  <c r="D223" i="19"/>
  <c r="E223" i="19"/>
  <c r="G223" i="19"/>
  <c r="H223" i="19"/>
  <c r="H207" i="19"/>
  <c r="J207" i="19"/>
  <c r="I207" i="19"/>
  <c r="J223" i="19"/>
  <c r="K223" i="19"/>
  <c r="M223" i="19"/>
  <c r="N223" i="19"/>
  <c r="P223" i="19"/>
  <c r="Q223" i="19"/>
  <c r="Q207" i="19"/>
  <c r="S207" i="19"/>
  <c r="R207" i="19"/>
  <c r="S223" i="19"/>
  <c r="T223" i="19"/>
  <c r="V223" i="19"/>
  <c r="W223" i="19"/>
  <c r="Y223" i="19"/>
  <c r="Z223" i="19"/>
  <c r="AB223" i="19"/>
  <c r="AC223" i="19"/>
  <c r="AE223" i="19"/>
  <c r="AF223" i="19"/>
  <c r="B222" i="19"/>
  <c r="D222" i="19"/>
  <c r="E222" i="19"/>
  <c r="G222" i="19"/>
  <c r="H222" i="19"/>
  <c r="J222" i="19"/>
  <c r="K222" i="19"/>
  <c r="M222" i="19"/>
  <c r="N222" i="19"/>
  <c r="P222" i="19"/>
  <c r="Q222" i="19"/>
  <c r="S222" i="19"/>
  <c r="T222" i="19"/>
  <c r="V222" i="19"/>
  <c r="W222" i="19"/>
  <c r="Y222" i="19"/>
  <c r="Z222" i="19"/>
  <c r="AB222" i="19"/>
  <c r="AC222" i="19"/>
  <c r="AE222" i="19"/>
  <c r="AF222" i="19"/>
  <c r="B220" i="19"/>
  <c r="D220" i="19"/>
  <c r="E220" i="19"/>
  <c r="G220" i="19"/>
  <c r="H220" i="19"/>
  <c r="J220" i="19"/>
  <c r="K220" i="19"/>
  <c r="M220" i="19"/>
  <c r="N220" i="19"/>
  <c r="P220" i="19"/>
  <c r="Q220" i="19"/>
  <c r="S220" i="19"/>
  <c r="T220" i="19"/>
  <c r="V220" i="19"/>
  <c r="W220" i="19"/>
  <c r="Y220" i="19"/>
  <c r="Z220" i="19"/>
  <c r="AB220" i="19"/>
  <c r="AC220" i="19"/>
  <c r="AE220" i="19"/>
  <c r="AF220" i="19"/>
  <c r="AG220" i="19"/>
  <c r="B219" i="19"/>
  <c r="D219" i="19"/>
  <c r="E219" i="19"/>
  <c r="G219" i="19"/>
  <c r="H219" i="19"/>
  <c r="J219" i="19"/>
  <c r="K219" i="19"/>
  <c r="M219" i="19"/>
  <c r="N219" i="19"/>
  <c r="P219" i="19"/>
  <c r="Q219" i="19"/>
  <c r="S219" i="19"/>
  <c r="T219" i="19"/>
  <c r="V219" i="19"/>
  <c r="W219" i="19"/>
  <c r="Y219" i="19"/>
  <c r="Z219" i="19"/>
  <c r="AB219" i="19"/>
  <c r="AC219" i="19"/>
  <c r="AE219" i="19"/>
  <c r="AF219" i="19"/>
  <c r="AG219" i="19"/>
  <c r="B218" i="19"/>
  <c r="D218" i="19"/>
  <c r="E218" i="19"/>
  <c r="G218" i="19"/>
  <c r="H218" i="19"/>
  <c r="J218" i="19"/>
  <c r="K218" i="19"/>
  <c r="M218" i="19"/>
  <c r="N218" i="19"/>
  <c r="P218" i="19"/>
  <c r="Q218" i="19"/>
  <c r="S218" i="19"/>
  <c r="T218" i="19"/>
  <c r="V218" i="19"/>
  <c r="W218" i="19"/>
  <c r="Y218" i="19"/>
  <c r="Z218" i="19"/>
  <c r="AB218" i="19"/>
  <c r="AC218" i="19"/>
  <c r="AE218" i="19"/>
  <c r="AF218" i="19"/>
  <c r="AG218" i="19"/>
  <c r="B217" i="19"/>
  <c r="D217" i="19"/>
  <c r="E217" i="19"/>
  <c r="G217" i="19"/>
  <c r="H217" i="19"/>
  <c r="J217" i="19"/>
  <c r="K217" i="19"/>
  <c r="M217" i="19"/>
  <c r="N217" i="19"/>
  <c r="P217" i="19"/>
  <c r="Q217" i="19"/>
  <c r="S217" i="19"/>
  <c r="T217" i="19"/>
  <c r="V217" i="19"/>
  <c r="W217" i="19"/>
  <c r="Y217" i="19"/>
  <c r="Z217" i="19"/>
  <c r="AB217" i="19"/>
  <c r="AC217" i="19"/>
  <c r="AE217" i="19"/>
  <c r="AF217" i="19"/>
  <c r="AG217" i="19"/>
  <c r="B216" i="19"/>
  <c r="D216" i="19"/>
  <c r="E216" i="19"/>
  <c r="G216" i="19"/>
  <c r="H216" i="19"/>
  <c r="J216" i="19"/>
  <c r="K216" i="19"/>
  <c r="M216" i="19"/>
  <c r="N216" i="19"/>
  <c r="P216" i="19"/>
  <c r="Q216" i="19"/>
  <c r="S216" i="19"/>
  <c r="T216" i="19"/>
  <c r="V216" i="19"/>
  <c r="W216" i="19"/>
  <c r="Y216" i="19"/>
  <c r="Z216" i="19"/>
  <c r="AB216" i="19"/>
  <c r="AC216" i="19"/>
  <c r="AE216" i="19"/>
  <c r="AF216" i="19"/>
  <c r="AG216" i="19"/>
  <c r="AC209" i="19"/>
  <c r="AE209" i="19"/>
  <c r="AC210" i="19"/>
  <c r="AE210" i="19"/>
  <c r="AC211" i="19"/>
  <c r="AE211" i="19"/>
  <c r="AC212" i="19"/>
  <c r="AE212" i="19"/>
  <c r="AC213" i="19"/>
  <c r="AE213" i="19"/>
  <c r="AC214" i="19"/>
  <c r="Z209" i="19"/>
  <c r="AB209" i="19"/>
  <c r="Z210" i="19"/>
  <c r="AB210" i="19"/>
  <c r="Z211" i="19"/>
  <c r="AB211" i="19"/>
  <c r="Z212" i="19"/>
  <c r="AB212" i="19"/>
  <c r="Z213" i="19"/>
  <c r="AB213" i="19"/>
  <c r="Z214" i="19"/>
  <c r="W209" i="19"/>
  <c r="Y209" i="19"/>
  <c r="W210" i="19"/>
  <c r="Y210" i="19"/>
  <c r="W211" i="19"/>
  <c r="Y211" i="19"/>
  <c r="W212" i="19"/>
  <c r="Y212" i="19"/>
  <c r="W213" i="19"/>
  <c r="Y213" i="19"/>
  <c r="W214" i="19"/>
  <c r="T209" i="19"/>
  <c r="V209" i="19"/>
  <c r="T210" i="19"/>
  <c r="V210" i="19"/>
  <c r="T211" i="19"/>
  <c r="V211" i="19"/>
  <c r="T212" i="19"/>
  <c r="V212" i="19"/>
  <c r="T213" i="19"/>
  <c r="V213" i="19"/>
  <c r="T214" i="19"/>
  <c r="AE207" i="19"/>
  <c r="AC207" i="19"/>
  <c r="AD207" i="19"/>
  <c r="AB207" i="19"/>
  <c r="Z207" i="19"/>
  <c r="AA207" i="19"/>
  <c r="Y207" i="19"/>
  <c r="W207" i="19"/>
  <c r="X207" i="19"/>
  <c r="V207" i="19"/>
  <c r="T207" i="19"/>
  <c r="U207" i="19"/>
  <c r="AE200" i="19"/>
  <c r="AC200" i="19"/>
  <c r="AB200" i="19"/>
  <c r="Z200" i="19"/>
  <c r="Y200" i="19"/>
  <c r="W200" i="19"/>
  <c r="V200" i="19"/>
  <c r="T200" i="19"/>
  <c r="S200" i="19"/>
  <c r="Q200" i="19"/>
  <c r="P200" i="19"/>
  <c r="N200" i="19"/>
  <c r="M200" i="19"/>
  <c r="K200" i="19"/>
  <c r="J200" i="19"/>
  <c r="H200" i="19"/>
  <c r="G200" i="19"/>
  <c r="E200" i="19"/>
  <c r="D200" i="19"/>
  <c r="B200" i="19"/>
  <c r="AD199" i="19"/>
  <c r="AA199" i="19"/>
  <c r="X199" i="19"/>
  <c r="U199" i="19"/>
  <c r="R199" i="19"/>
  <c r="O199" i="19"/>
  <c r="L199" i="19"/>
  <c r="I199" i="19"/>
  <c r="F199" i="19"/>
  <c r="A199" i="19"/>
  <c r="AG198" i="19"/>
  <c r="AH198" i="19"/>
  <c r="AI198" i="19"/>
  <c r="AJ198" i="19"/>
  <c r="AK198" i="19"/>
  <c r="AL198" i="19"/>
  <c r="AM198" i="19"/>
  <c r="AN198" i="19"/>
  <c r="AO198" i="19"/>
  <c r="AP198" i="19"/>
  <c r="AQ198" i="19"/>
  <c r="AF198" i="19"/>
  <c r="AD198" i="19"/>
  <c r="AA198" i="19"/>
  <c r="X198" i="19"/>
  <c r="U198" i="19"/>
  <c r="R198" i="19"/>
  <c r="O198" i="19"/>
  <c r="L198" i="19"/>
  <c r="I198" i="19"/>
  <c r="F198" i="19"/>
  <c r="A198" i="19"/>
  <c r="AG197" i="19"/>
  <c r="AH197" i="19"/>
  <c r="AI197" i="19"/>
  <c r="AJ197" i="19"/>
  <c r="AK197" i="19"/>
  <c r="AL197" i="19"/>
  <c r="AM197" i="19"/>
  <c r="AN197" i="19"/>
  <c r="AO197" i="19"/>
  <c r="AP197" i="19"/>
  <c r="AQ197" i="19"/>
  <c r="AF197" i="19"/>
  <c r="AD197" i="19"/>
  <c r="AA197" i="19"/>
  <c r="X197" i="19"/>
  <c r="U197" i="19"/>
  <c r="R197" i="19"/>
  <c r="O197" i="19"/>
  <c r="L197" i="19"/>
  <c r="I197" i="19"/>
  <c r="F197" i="19"/>
  <c r="A197" i="19"/>
  <c r="AG196" i="19"/>
  <c r="AH196" i="19"/>
  <c r="AI196" i="19"/>
  <c r="AJ196" i="19"/>
  <c r="AK196" i="19"/>
  <c r="AL196" i="19"/>
  <c r="AM196" i="19"/>
  <c r="AN196" i="19"/>
  <c r="AO196" i="19"/>
  <c r="AP196" i="19"/>
  <c r="AQ196" i="19"/>
  <c r="AF196" i="19"/>
  <c r="AD196" i="19"/>
  <c r="AA196" i="19"/>
  <c r="X196" i="19"/>
  <c r="U196" i="19"/>
  <c r="R196" i="19"/>
  <c r="O196" i="19"/>
  <c r="L196" i="19"/>
  <c r="I196" i="19"/>
  <c r="F196" i="19"/>
  <c r="A196" i="19"/>
  <c r="AG195" i="19"/>
  <c r="AH195" i="19"/>
  <c r="AI195" i="19"/>
  <c r="AJ195" i="19"/>
  <c r="AK195" i="19"/>
  <c r="AL195" i="19"/>
  <c r="AM195" i="19"/>
  <c r="AN195" i="19"/>
  <c r="AO195" i="19"/>
  <c r="AP195" i="19"/>
  <c r="AQ195" i="19"/>
  <c r="AF195" i="19"/>
  <c r="AD195" i="19"/>
  <c r="AA195" i="19"/>
  <c r="X195" i="19"/>
  <c r="U195" i="19"/>
  <c r="R195" i="19"/>
  <c r="O195" i="19"/>
  <c r="L195" i="19"/>
  <c r="I195" i="19"/>
  <c r="F195" i="19"/>
  <c r="AG194" i="19"/>
  <c r="AH194" i="19"/>
  <c r="AI194" i="19"/>
  <c r="AJ194" i="19"/>
  <c r="AK194" i="19"/>
  <c r="AL194" i="19"/>
  <c r="AM194" i="19"/>
  <c r="AN194" i="19"/>
  <c r="AO194" i="19"/>
  <c r="AP194" i="19"/>
  <c r="AQ194" i="19"/>
  <c r="AF194" i="19"/>
  <c r="AD194" i="19"/>
  <c r="AA194" i="19"/>
  <c r="X194" i="19"/>
  <c r="U194" i="19"/>
  <c r="R194" i="19"/>
  <c r="O194" i="19"/>
  <c r="L194" i="19"/>
  <c r="I194" i="19"/>
  <c r="F194" i="19"/>
  <c r="AC192" i="19"/>
  <c r="Z192" i="19"/>
  <c r="W192" i="19"/>
  <c r="T192" i="19"/>
  <c r="Q192" i="19"/>
  <c r="N192" i="19"/>
  <c r="K192" i="19"/>
  <c r="H192" i="19"/>
  <c r="E192" i="19"/>
  <c r="E187" i="19"/>
  <c r="AC186" i="19"/>
  <c r="Z186" i="19"/>
  <c r="W186" i="19"/>
  <c r="R186" i="19"/>
  <c r="L186" i="19"/>
  <c r="A186" i="19"/>
  <c r="E185" i="19"/>
  <c r="AC184" i="19"/>
  <c r="Z184" i="19"/>
  <c r="W184" i="19"/>
  <c r="R184" i="19"/>
  <c r="L184" i="19"/>
  <c r="A184" i="19"/>
  <c r="AC182" i="19"/>
  <c r="Z182" i="19"/>
  <c r="W182" i="19"/>
  <c r="R182" i="19"/>
  <c r="L182" i="19"/>
  <c r="A182" i="19"/>
  <c r="AC180" i="19"/>
  <c r="Z180" i="19"/>
  <c r="W180" i="19"/>
  <c r="R180" i="19"/>
  <c r="L180" i="19"/>
  <c r="A180" i="19"/>
  <c r="AC178" i="19"/>
  <c r="Z178" i="19"/>
  <c r="W178" i="19"/>
  <c r="R178" i="19"/>
  <c r="L178" i="19"/>
  <c r="A178" i="19"/>
  <c r="R177" i="19"/>
  <c r="L177" i="19"/>
  <c r="K176" i="19"/>
  <c r="A174" i="19"/>
  <c r="AE170" i="19"/>
  <c r="AE116" i="19"/>
  <c r="AE117" i="19"/>
  <c r="AE118" i="19"/>
  <c r="AE119" i="19"/>
  <c r="AE120" i="19"/>
  <c r="AE121" i="19"/>
  <c r="AC170" i="19"/>
  <c r="AC116" i="19"/>
  <c r="AC117" i="19"/>
  <c r="AC118" i="19"/>
  <c r="AC119" i="19"/>
  <c r="AC120" i="19"/>
  <c r="AC121" i="19"/>
  <c r="AE171" i="19"/>
  <c r="AE172" i="19"/>
  <c r="AC171" i="19"/>
  <c r="AC172" i="19"/>
  <c r="AB170" i="19"/>
  <c r="AB116" i="19"/>
  <c r="AB117" i="19"/>
  <c r="AB118" i="19"/>
  <c r="AB119" i="19"/>
  <c r="AB120" i="19"/>
  <c r="AB121" i="19"/>
  <c r="Z170" i="19"/>
  <c r="Z116" i="19"/>
  <c r="Z117" i="19"/>
  <c r="Z118" i="19"/>
  <c r="Z119" i="19"/>
  <c r="Z120" i="19"/>
  <c r="Z121" i="19"/>
  <c r="AB171" i="19"/>
  <c r="AB172" i="19"/>
  <c r="Z171" i="19"/>
  <c r="Z172" i="19"/>
  <c r="Y170" i="19"/>
  <c r="Y116" i="19"/>
  <c r="Y117" i="19"/>
  <c r="Y118" i="19"/>
  <c r="Y119" i="19"/>
  <c r="Y120" i="19"/>
  <c r="Y121" i="19"/>
  <c r="W170" i="19"/>
  <c r="W116" i="19"/>
  <c r="W117" i="19"/>
  <c r="W118" i="19"/>
  <c r="W119" i="19"/>
  <c r="W120" i="19"/>
  <c r="W121" i="19"/>
  <c r="Y171" i="19"/>
  <c r="Y172" i="19"/>
  <c r="W171" i="19"/>
  <c r="W172" i="19"/>
  <c r="V170" i="19"/>
  <c r="V116" i="19"/>
  <c r="V117" i="19"/>
  <c r="V118" i="19"/>
  <c r="V119" i="19"/>
  <c r="V120" i="19"/>
  <c r="V121" i="19"/>
  <c r="T170" i="19"/>
  <c r="T116" i="19"/>
  <c r="T117" i="19"/>
  <c r="T118" i="19"/>
  <c r="T119" i="19"/>
  <c r="T120" i="19"/>
  <c r="T121" i="19"/>
  <c r="V171" i="19"/>
  <c r="V172" i="19"/>
  <c r="T171" i="19"/>
  <c r="T172" i="19"/>
  <c r="N149" i="19"/>
  <c r="P149" i="19"/>
  <c r="N116" i="19"/>
  <c r="N117" i="19"/>
  <c r="N118" i="19"/>
  <c r="N119" i="19"/>
  <c r="N120" i="19"/>
  <c r="N150" i="19"/>
  <c r="P150" i="19"/>
  <c r="N151" i="19"/>
  <c r="P116" i="19"/>
  <c r="P117" i="19"/>
  <c r="P118" i="19"/>
  <c r="P119" i="19"/>
  <c r="P120" i="19"/>
  <c r="P151" i="19"/>
  <c r="N152" i="19"/>
  <c r="P152" i="19"/>
  <c r="N153" i="19"/>
  <c r="P153" i="19"/>
  <c r="O156" i="19"/>
  <c r="N158" i="19"/>
  <c r="K158" i="19"/>
  <c r="M158" i="19"/>
  <c r="H158" i="19"/>
  <c r="H116" i="19"/>
  <c r="H117" i="19"/>
  <c r="H118" i="19"/>
  <c r="H119" i="19"/>
  <c r="H120" i="19"/>
  <c r="H149" i="19"/>
  <c r="J149" i="19"/>
  <c r="H150" i="19"/>
  <c r="J116" i="19"/>
  <c r="J117" i="19"/>
  <c r="J118" i="19"/>
  <c r="J119" i="19"/>
  <c r="J120" i="19"/>
  <c r="J150" i="19"/>
  <c r="H151" i="19"/>
  <c r="J151" i="19"/>
  <c r="H152" i="19"/>
  <c r="J152" i="19"/>
  <c r="H153" i="19"/>
  <c r="J153" i="19"/>
  <c r="I156" i="19"/>
  <c r="J158" i="19"/>
  <c r="E149" i="19"/>
  <c r="G149" i="19"/>
  <c r="E116" i="19"/>
  <c r="E117" i="19"/>
  <c r="E118" i="19"/>
  <c r="E119" i="19"/>
  <c r="E120" i="19"/>
  <c r="E150" i="19"/>
  <c r="G150" i="19"/>
  <c r="E151" i="19"/>
  <c r="G116" i="19"/>
  <c r="G117" i="19"/>
  <c r="G118" i="19"/>
  <c r="G119" i="19"/>
  <c r="G120" i="19"/>
  <c r="G151" i="19"/>
  <c r="E152" i="19"/>
  <c r="G152" i="19"/>
  <c r="E153" i="19"/>
  <c r="G153" i="19"/>
  <c r="F156" i="19"/>
  <c r="E158" i="19"/>
  <c r="B158" i="19"/>
  <c r="D158" i="19"/>
  <c r="B165" i="19"/>
  <c r="C165" i="19"/>
  <c r="D165" i="19"/>
  <c r="E170" i="19"/>
  <c r="E121" i="19"/>
  <c r="B159" i="19"/>
  <c r="B116" i="19"/>
  <c r="B117" i="19"/>
  <c r="B118" i="19"/>
  <c r="B119" i="19"/>
  <c r="B120" i="19"/>
  <c r="B149" i="19"/>
  <c r="D149" i="19"/>
  <c r="B150" i="19"/>
  <c r="D150" i="19"/>
  <c r="B151" i="19"/>
  <c r="D116" i="19"/>
  <c r="D117" i="19"/>
  <c r="D118" i="19"/>
  <c r="D119" i="19"/>
  <c r="D120" i="19"/>
  <c r="D151" i="19"/>
  <c r="B152" i="19"/>
  <c r="D152" i="19"/>
  <c r="B153" i="19"/>
  <c r="D153" i="19"/>
  <c r="C156" i="19"/>
  <c r="D159" i="19"/>
  <c r="B166" i="19"/>
  <c r="C166" i="19"/>
  <c r="D170" i="19"/>
  <c r="D121" i="19"/>
  <c r="B164" i="19"/>
  <c r="C164" i="19"/>
  <c r="B170" i="19"/>
  <c r="B121" i="19"/>
  <c r="D171" i="19"/>
  <c r="D172" i="19"/>
  <c r="D166" i="19"/>
  <c r="G170" i="19"/>
  <c r="G121" i="19"/>
  <c r="E171" i="19"/>
  <c r="E172" i="19"/>
  <c r="G165" i="19"/>
  <c r="J170" i="19"/>
  <c r="J121" i="19"/>
  <c r="E157" i="19"/>
  <c r="G157" i="19"/>
  <c r="B157" i="19"/>
  <c r="B171" i="19"/>
  <c r="B172" i="19"/>
  <c r="D164" i="19"/>
  <c r="G164" i="19"/>
  <c r="H170" i="19"/>
  <c r="H121" i="19"/>
  <c r="J171" i="19"/>
  <c r="J172" i="19"/>
  <c r="J165" i="19"/>
  <c r="M165" i="19"/>
  <c r="N170" i="19"/>
  <c r="N121" i="19"/>
  <c r="K159" i="19"/>
  <c r="K116" i="19"/>
  <c r="K117" i="19"/>
  <c r="K118" i="19"/>
  <c r="K119" i="19"/>
  <c r="K120" i="19"/>
  <c r="K149" i="19"/>
  <c r="M149" i="19"/>
  <c r="K150" i="19"/>
  <c r="M150" i="19"/>
  <c r="K151" i="19"/>
  <c r="M116" i="19"/>
  <c r="M117" i="19"/>
  <c r="M118" i="19"/>
  <c r="M119" i="19"/>
  <c r="M120" i="19"/>
  <c r="M151" i="19"/>
  <c r="K152" i="19"/>
  <c r="M152" i="19"/>
  <c r="K153" i="19"/>
  <c r="M153" i="19"/>
  <c r="L156" i="19"/>
  <c r="M159" i="19"/>
  <c r="H159" i="19"/>
  <c r="J159" i="19"/>
  <c r="E159" i="19"/>
  <c r="G159" i="19"/>
  <c r="G171" i="19"/>
  <c r="G172" i="19"/>
  <c r="G166" i="19"/>
  <c r="J166" i="19"/>
  <c r="M170" i="19"/>
  <c r="M121" i="19"/>
  <c r="H157" i="19"/>
  <c r="H171" i="19"/>
  <c r="H172" i="19"/>
  <c r="J164" i="19"/>
  <c r="K170" i="19"/>
  <c r="K121" i="19"/>
  <c r="M171" i="19"/>
  <c r="M172" i="19"/>
  <c r="M166" i="19"/>
  <c r="P170" i="19"/>
  <c r="P121" i="19"/>
  <c r="N171" i="19"/>
  <c r="N172" i="19"/>
  <c r="P165" i="19"/>
  <c r="S170" i="19"/>
  <c r="S116" i="19"/>
  <c r="S117" i="19"/>
  <c r="S118" i="19"/>
  <c r="S119" i="19"/>
  <c r="S120" i="19"/>
  <c r="S121" i="19"/>
  <c r="N157" i="19"/>
  <c r="P157" i="19"/>
  <c r="K157" i="19"/>
  <c r="K171" i="19"/>
  <c r="K172" i="19"/>
  <c r="M164" i="19"/>
  <c r="P164" i="19"/>
  <c r="Q170" i="19"/>
  <c r="Q116" i="19"/>
  <c r="Q117" i="19"/>
  <c r="Q118" i="19"/>
  <c r="Q119" i="19"/>
  <c r="Q120" i="19"/>
  <c r="Q121" i="19"/>
  <c r="S171" i="19"/>
  <c r="S172" i="19"/>
  <c r="Q171" i="19"/>
  <c r="Q172" i="19"/>
  <c r="P171" i="19"/>
  <c r="P172" i="19"/>
  <c r="AC161" i="19"/>
  <c r="AE161" i="19"/>
  <c r="Z161" i="19"/>
  <c r="AB161" i="19"/>
  <c r="W161" i="19"/>
  <c r="Y161" i="19"/>
  <c r="T161" i="19"/>
  <c r="V161" i="19"/>
  <c r="Q161" i="19"/>
  <c r="S161" i="19"/>
  <c r="N161" i="19"/>
  <c r="P161" i="19"/>
  <c r="K161" i="19"/>
  <c r="M161" i="19"/>
  <c r="H161" i="19"/>
  <c r="J161" i="19"/>
  <c r="E161" i="19"/>
  <c r="G161" i="19"/>
  <c r="B161" i="19"/>
  <c r="D161" i="19"/>
  <c r="E101" i="19"/>
  <c r="B168" i="19"/>
  <c r="C168" i="19"/>
  <c r="D168" i="19"/>
  <c r="G168" i="19"/>
  <c r="J168" i="19"/>
  <c r="M168" i="19"/>
  <c r="P168" i="19"/>
  <c r="S168" i="19"/>
  <c r="V168" i="19"/>
  <c r="Y168" i="19"/>
  <c r="AB168" i="19"/>
  <c r="AE168" i="19"/>
  <c r="AU168" i="19"/>
  <c r="AT168" i="19"/>
  <c r="AC160" i="19"/>
  <c r="AE160" i="19"/>
  <c r="Z160" i="19"/>
  <c r="AB160" i="19"/>
  <c r="W160" i="19"/>
  <c r="Y160" i="19"/>
  <c r="T160" i="19"/>
  <c r="V160" i="19"/>
  <c r="Q160" i="19"/>
  <c r="S160" i="19"/>
  <c r="N160" i="19"/>
  <c r="P160" i="19"/>
  <c r="K160" i="19"/>
  <c r="M160" i="19"/>
  <c r="H160" i="19"/>
  <c r="J160" i="19"/>
  <c r="E160" i="19"/>
  <c r="G160" i="19"/>
  <c r="B160" i="19"/>
  <c r="D160" i="19"/>
  <c r="E99" i="19"/>
  <c r="B167" i="19"/>
  <c r="C167" i="19"/>
  <c r="D167" i="19"/>
  <c r="G167" i="19"/>
  <c r="J167" i="19"/>
  <c r="M167" i="19"/>
  <c r="P167" i="19"/>
  <c r="S167" i="19"/>
  <c r="V167" i="19"/>
  <c r="Y167" i="19"/>
  <c r="AB167" i="19"/>
  <c r="AE167" i="19"/>
  <c r="AU167" i="19"/>
  <c r="AT167" i="19"/>
  <c r="AC159" i="19"/>
  <c r="AE159" i="19"/>
  <c r="Z159" i="19"/>
  <c r="AB159" i="19"/>
  <c r="W159" i="19"/>
  <c r="Y159" i="19"/>
  <c r="T159" i="19"/>
  <c r="V159" i="19"/>
  <c r="Q159" i="19"/>
  <c r="S159" i="19"/>
  <c r="N159" i="19"/>
  <c r="P159" i="19"/>
  <c r="P166" i="19"/>
  <c r="S166" i="19"/>
  <c r="V166" i="19"/>
  <c r="Y166" i="19"/>
  <c r="AB166" i="19"/>
  <c r="AE166" i="19"/>
  <c r="AU166" i="19"/>
  <c r="AT166" i="19"/>
  <c r="AC158" i="19"/>
  <c r="AE158" i="19"/>
  <c r="Z158" i="19"/>
  <c r="AB158" i="19"/>
  <c r="W158" i="19"/>
  <c r="Y158" i="19"/>
  <c r="T158" i="19"/>
  <c r="V158" i="19"/>
  <c r="Q158" i="19"/>
  <c r="Q149" i="19"/>
  <c r="S149" i="19"/>
  <c r="Q150" i="19"/>
  <c r="S150" i="19"/>
  <c r="Q151" i="19"/>
  <c r="S151" i="19"/>
  <c r="Q152" i="19"/>
  <c r="S152" i="19"/>
  <c r="Q153" i="19"/>
  <c r="S153" i="19"/>
  <c r="R156" i="19"/>
  <c r="S158" i="19"/>
  <c r="S165" i="19"/>
  <c r="V165" i="19"/>
  <c r="Y165" i="19"/>
  <c r="AB165" i="19"/>
  <c r="AE165" i="19"/>
  <c r="AU165" i="19"/>
  <c r="AT165" i="19"/>
  <c r="AC157" i="19"/>
  <c r="AE157" i="19"/>
  <c r="Z157" i="19"/>
  <c r="AB157" i="19"/>
  <c r="W157" i="19"/>
  <c r="Y157" i="19"/>
  <c r="T157" i="19"/>
  <c r="V157" i="19"/>
  <c r="Q157" i="19"/>
  <c r="S164" i="19"/>
  <c r="V164" i="19"/>
  <c r="Y164" i="19"/>
  <c r="AB164" i="19"/>
  <c r="AE164" i="19"/>
  <c r="AU164" i="19"/>
  <c r="AT164" i="19"/>
  <c r="AF161" i="19"/>
  <c r="AF160" i="19"/>
  <c r="AF159" i="19"/>
  <c r="G158" i="19"/>
  <c r="P158" i="19"/>
  <c r="AF158" i="19"/>
  <c r="D157" i="19"/>
  <c r="J157" i="19"/>
  <c r="M157" i="19"/>
  <c r="S157" i="19"/>
  <c r="AF157" i="19"/>
  <c r="AC149" i="19"/>
  <c r="AE149" i="19"/>
  <c r="AC150" i="19"/>
  <c r="AE150" i="19"/>
  <c r="AC151" i="19"/>
  <c r="AE151" i="19"/>
  <c r="AC152" i="19"/>
  <c r="AE152" i="19"/>
  <c r="AC153" i="19"/>
  <c r="AE153" i="19"/>
  <c r="AD156" i="19"/>
  <c r="Z149" i="19"/>
  <c r="AB149" i="19"/>
  <c r="Z150" i="19"/>
  <c r="AB150" i="19"/>
  <c r="Z151" i="19"/>
  <c r="AB151" i="19"/>
  <c r="Z152" i="19"/>
  <c r="AB152" i="19"/>
  <c r="Z153" i="19"/>
  <c r="AB153" i="19"/>
  <c r="AA156" i="19"/>
  <c r="W149" i="19"/>
  <c r="Y149" i="19"/>
  <c r="W150" i="19"/>
  <c r="Y150" i="19"/>
  <c r="W151" i="19"/>
  <c r="Y151" i="19"/>
  <c r="W152" i="19"/>
  <c r="Y152" i="19"/>
  <c r="W153" i="19"/>
  <c r="Y153" i="19"/>
  <c r="X156" i="19"/>
  <c r="T149" i="19"/>
  <c r="V149" i="19"/>
  <c r="T150" i="19"/>
  <c r="V150" i="19"/>
  <c r="T151" i="19"/>
  <c r="V151" i="19"/>
  <c r="T152" i="19"/>
  <c r="V152" i="19"/>
  <c r="T153" i="19"/>
  <c r="V153" i="19"/>
  <c r="U156" i="19"/>
  <c r="AF153" i="19"/>
  <c r="AG153" i="19"/>
  <c r="AF152" i="19"/>
  <c r="AG152" i="19"/>
  <c r="AF151" i="19"/>
  <c r="AG151" i="19"/>
  <c r="AF150" i="19"/>
  <c r="AG150" i="19"/>
  <c r="AF149" i="19"/>
  <c r="AG149" i="19"/>
  <c r="B147" i="19"/>
  <c r="D147" i="19"/>
  <c r="E147" i="19"/>
  <c r="G147" i="19"/>
  <c r="H147" i="19"/>
  <c r="J147" i="19"/>
  <c r="K147" i="19"/>
  <c r="M147" i="19"/>
  <c r="N147" i="19"/>
  <c r="P147" i="19"/>
  <c r="Q147" i="19"/>
  <c r="S147" i="19"/>
  <c r="T147" i="19"/>
  <c r="V147" i="19"/>
  <c r="W147" i="19"/>
  <c r="Y147" i="19"/>
  <c r="Z147" i="19"/>
  <c r="AB147" i="19"/>
  <c r="AC147" i="19"/>
  <c r="AE147" i="19"/>
  <c r="AF147" i="19"/>
  <c r="B146" i="19"/>
  <c r="D146" i="19"/>
  <c r="E146" i="19"/>
  <c r="G146" i="19"/>
  <c r="H146" i="19"/>
  <c r="J146" i="19"/>
  <c r="K146" i="19"/>
  <c r="M146" i="19"/>
  <c r="N146" i="19"/>
  <c r="P146" i="19"/>
  <c r="Q146" i="19"/>
  <c r="S146" i="19"/>
  <c r="T146" i="19"/>
  <c r="V146" i="19"/>
  <c r="W146" i="19"/>
  <c r="Y146" i="19"/>
  <c r="Z146" i="19"/>
  <c r="AB146" i="19"/>
  <c r="AC146" i="19"/>
  <c r="AE146" i="19"/>
  <c r="AF146" i="19"/>
  <c r="B145" i="19"/>
  <c r="B124" i="19"/>
  <c r="D124" i="19"/>
  <c r="B125" i="19"/>
  <c r="D125" i="19"/>
  <c r="B126" i="19"/>
  <c r="D126" i="19"/>
  <c r="B127" i="19"/>
  <c r="D127" i="19"/>
  <c r="B128" i="19"/>
  <c r="D128" i="19"/>
  <c r="B129" i="19"/>
  <c r="D145" i="19"/>
  <c r="E145" i="19"/>
  <c r="E124" i="19"/>
  <c r="G124" i="19"/>
  <c r="E125" i="19"/>
  <c r="G125" i="19"/>
  <c r="E126" i="19"/>
  <c r="G126" i="19"/>
  <c r="E127" i="19"/>
  <c r="G127" i="19"/>
  <c r="E128" i="19"/>
  <c r="G128" i="19"/>
  <c r="E129" i="19"/>
  <c r="G145" i="19"/>
  <c r="H145" i="19"/>
  <c r="J145" i="19"/>
  <c r="K145" i="19"/>
  <c r="K124" i="19"/>
  <c r="M124" i="19"/>
  <c r="K125" i="19"/>
  <c r="M125" i="19"/>
  <c r="K126" i="19"/>
  <c r="M126" i="19"/>
  <c r="K127" i="19"/>
  <c r="M127" i="19"/>
  <c r="K128" i="19"/>
  <c r="M128" i="19"/>
  <c r="K129" i="19"/>
  <c r="M145" i="19"/>
  <c r="N145" i="19"/>
  <c r="N124" i="19"/>
  <c r="P124" i="19"/>
  <c r="N125" i="19"/>
  <c r="P125" i="19"/>
  <c r="N126" i="19"/>
  <c r="P126" i="19"/>
  <c r="N127" i="19"/>
  <c r="P127" i="19"/>
  <c r="N128" i="19"/>
  <c r="P128" i="19"/>
  <c r="N129" i="19"/>
  <c r="P145" i="19"/>
  <c r="Q145" i="19"/>
  <c r="S145" i="19"/>
  <c r="T145" i="19"/>
  <c r="V145" i="19"/>
  <c r="W145" i="19"/>
  <c r="Y145" i="19"/>
  <c r="Z145" i="19"/>
  <c r="AB145" i="19"/>
  <c r="AC145" i="19"/>
  <c r="AE145" i="19"/>
  <c r="AF145" i="19"/>
  <c r="B144" i="19"/>
  <c r="D144" i="19"/>
  <c r="E144" i="19"/>
  <c r="G144" i="19"/>
  <c r="H144" i="19"/>
  <c r="H124" i="19"/>
  <c r="J124" i="19"/>
  <c r="H125" i="19"/>
  <c r="J125" i="19"/>
  <c r="H126" i="19"/>
  <c r="J126" i="19"/>
  <c r="H127" i="19"/>
  <c r="J127" i="19"/>
  <c r="H128" i="19"/>
  <c r="J128" i="19"/>
  <c r="H129" i="19"/>
  <c r="J144" i="19"/>
  <c r="K144" i="19"/>
  <c r="M144" i="19"/>
  <c r="N144" i="19"/>
  <c r="P144" i="19"/>
  <c r="Q144" i="19"/>
  <c r="Q124" i="19"/>
  <c r="S124" i="19"/>
  <c r="Q125" i="19"/>
  <c r="S125" i="19"/>
  <c r="Q126" i="19"/>
  <c r="S126" i="19"/>
  <c r="Q127" i="19"/>
  <c r="S127" i="19"/>
  <c r="Q128" i="19"/>
  <c r="S128" i="19"/>
  <c r="Q129" i="19"/>
  <c r="S144" i="19"/>
  <c r="T144" i="19"/>
  <c r="V144" i="19"/>
  <c r="W144" i="19"/>
  <c r="Y144" i="19"/>
  <c r="Z144" i="19"/>
  <c r="AB144" i="19"/>
  <c r="AC144" i="19"/>
  <c r="AE144" i="19"/>
  <c r="AF144" i="19"/>
  <c r="B143" i="19"/>
  <c r="D143" i="19"/>
  <c r="E143" i="19"/>
  <c r="G143" i="19"/>
  <c r="H143" i="19"/>
  <c r="J143" i="19"/>
  <c r="K143" i="19"/>
  <c r="M143" i="19"/>
  <c r="N143" i="19"/>
  <c r="P143" i="19"/>
  <c r="Q143" i="19"/>
  <c r="S143" i="19"/>
  <c r="T143" i="19"/>
  <c r="V143" i="19"/>
  <c r="W143" i="19"/>
  <c r="Y143" i="19"/>
  <c r="Z143" i="19"/>
  <c r="AB143" i="19"/>
  <c r="AC143" i="19"/>
  <c r="AE143" i="19"/>
  <c r="AF143" i="19"/>
  <c r="B141" i="19"/>
  <c r="D141" i="19"/>
  <c r="E141" i="19"/>
  <c r="G141" i="19"/>
  <c r="H141" i="19"/>
  <c r="J141" i="19"/>
  <c r="K141" i="19"/>
  <c r="M141" i="19"/>
  <c r="N141" i="19"/>
  <c r="P141" i="19"/>
  <c r="Q141" i="19"/>
  <c r="S141" i="19"/>
  <c r="T141" i="19"/>
  <c r="V141" i="19"/>
  <c r="W141" i="19"/>
  <c r="Y141" i="19"/>
  <c r="Z141" i="19"/>
  <c r="AB141" i="19"/>
  <c r="AC141" i="19"/>
  <c r="AE141" i="19"/>
  <c r="AF141" i="19"/>
  <c r="B140" i="19"/>
  <c r="D140" i="19"/>
  <c r="E140" i="19"/>
  <c r="G140" i="19"/>
  <c r="H140" i="19"/>
  <c r="J140" i="19"/>
  <c r="K140" i="19"/>
  <c r="M140" i="19"/>
  <c r="N140" i="19"/>
  <c r="P140" i="19"/>
  <c r="Q140" i="19"/>
  <c r="S140" i="19"/>
  <c r="T140" i="19"/>
  <c r="V140" i="19"/>
  <c r="W140" i="19"/>
  <c r="Y140" i="19"/>
  <c r="Z140" i="19"/>
  <c r="AB140" i="19"/>
  <c r="AC140" i="19"/>
  <c r="AE140" i="19"/>
  <c r="AF140" i="19"/>
  <c r="B139" i="19"/>
  <c r="B122" i="19"/>
  <c r="D122" i="19"/>
  <c r="C122" i="19"/>
  <c r="D139" i="19"/>
  <c r="E139" i="19"/>
  <c r="E122" i="19"/>
  <c r="G122" i="19"/>
  <c r="F122" i="19"/>
  <c r="G139" i="19"/>
  <c r="H139" i="19"/>
  <c r="J139" i="19"/>
  <c r="K139" i="19"/>
  <c r="K122" i="19"/>
  <c r="M122" i="19"/>
  <c r="L122" i="19"/>
  <c r="M139" i="19"/>
  <c r="N139" i="19"/>
  <c r="N122" i="19"/>
  <c r="P122" i="19"/>
  <c r="O122" i="19"/>
  <c r="P139" i="19"/>
  <c r="Q139" i="19"/>
  <c r="S139" i="19"/>
  <c r="T139" i="19"/>
  <c r="V139" i="19"/>
  <c r="W139" i="19"/>
  <c r="Y139" i="19"/>
  <c r="Z139" i="19"/>
  <c r="AB139" i="19"/>
  <c r="AC139" i="19"/>
  <c r="AE139" i="19"/>
  <c r="AF139" i="19"/>
  <c r="B138" i="19"/>
  <c r="D138" i="19"/>
  <c r="E138" i="19"/>
  <c r="G138" i="19"/>
  <c r="H138" i="19"/>
  <c r="H122" i="19"/>
  <c r="J122" i="19"/>
  <c r="I122" i="19"/>
  <c r="J138" i="19"/>
  <c r="K138" i="19"/>
  <c r="M138" i="19"/>
  <c r="N138" i="19"/>
  <c r="P138" i="19"/>
  <c r="Q138" i="19"/>
  <c r="Q122" i="19"/>
  <c r="S122" i="19"/>
  <c r="R122" i="19"/>
  <c r="S138" i="19"/>
  <c r="T138" i="19"/>
  <c r="V138" i="19"/>
  <c r="W138" i="19"/>
  <c r="Y138" i="19"/>
  <c r="Z138" i="19"/>
  <c r="AB138" i="19"/>
  <c r="AC138" i="19"/>
  <c r="AE138" i="19"/>
  <c r="AF138" i="19"/>
  <c r="B137" i="19"/>
  <c r="D137" i="19"/>
  <c r="E137" i="19"/>
  <c r="G137" i="19"/>
  <c r="H137" i="19"/>
  <c r="J137" i="19"/>
  <c r="K137" i="19"/>
  <c r="M137" i="19"/>
  <c r="N137" i="19"/>
  <c r="P137" i="19"/>
  <c r="Q137" i="19"/>
  <c r="S137" i="19"/>
  <c r="T137" i="19"/>
  <c r="V137" i="19"/>
  <c r="W137" i="19"/>
  <c r="Y137" i="19"/>
  <c r="Z137" i="19"/>
  <c r="AB137" i="19"/>
  <c r="AC137" i="19"/>
  <c r="AE137" i="19"/>
  <c r="AF137" i="19"/>
  <c r="B135" i="19"/>
  <c r="D135" i="19"/>
  <c r="E135" i="19"/>
  <c r="G135" i="19"/>
  <c r="H135" i="19"/>
  <c r="J135" i="19"/>
  <c r="K135" i="19"/>
  <c r="M135" i="19"/>
  <c r="N135" i="19"/>
  <c r="P135" i="19"/>
  <c r="Q135" i="19"/>
  <c r="S135" i="19"/>
  <c r="T135" i="19"/>
  <c r="V135" i="19"/>
  <c r="W135" i="19"/>
  <c r="Y135" i="19"/>
  <c r="Z135" i="19"/>
  <c r="AB135" i="19"/>
  <c r="AC135" i="19"/>
  <c r="AE135" i="19"/>
  <c r="AF135" i="19"/>
  <c r="AG135" i="19"/>
  <c r="B134" i="19"/>
  <c r="D134" i="19"/>
  <c r="E134" i="19"/>
  <c r="G134" i="19"/>
  <c r="H134" i="19"/>
  <c r="J134" i="19"/>
  <c r="K134" i="19"/>
  <c r="M134" i="19"/>
  <c r="N134" i="19"/>
  <c r="P134" i="19"/>
  <c r="Q134" i="19"/>
  <c r="S134" i="19"/>
  <c r="T134" i="19"/>
  <c r="V134" i="19"/>
  <c r="W134" i="19"/>
  <c r="Y134" i="19"/>
  <c r="Z134" i="19"/>
  <c r="AB134" i="19"/>
  <c r="AC134" i="19"/>
  <c r="AE134" i="19"/>
  <c r="AF134" i="19"/>
  <c r="AG134" i="19"/>
  <c r="B133" i="19"/>
  <c r="D133" i="19"/>
  <c r="E133" i="19"/>
  <c r="G133" i="19"/>
  <c r="H133" i="19"/>
  <c r="J133" i="19"/>
  <c r="K133" i="19"/>
  <c r="M133" i="19"/>
  <c r="N133" i="19"/>
  <c r="P133" i="19"/>
  <c r="Q133" i="19"/>
  <c r="S133" i="19"/>
  <c r="T133" i="19"/>
  <c r="V133" i="19"/>
  <c r="W133" i="19"/>
  <c r="Y133" i="19"/>
  <c r="Z133" i="19"/>
  <c r="AB133" i="19"/>
  <c r="AC133" i="19"/>
  <c r="AE133" i="19"/>
  <c r="AF133" i="19"/>
  <c r="AG133" i="19"/>
  <c r="B132" i="19"/>
  <c r="D132" i="19"/>
  <c r="E132" i="19"/>
  <c r="G132" i="19"/>
  <c r="H132" i="19"/>
  <c r="J132" i="19"/>
  <c r="K132" i="19"/>
  <c r="M132" i="19"/>
  <c r="N132" i="19"/>
  <c r="P132" i="19"/>
  <c r="Q132" i="19"/>
  <c r="S132" i="19"/>
  <c r="T132" i="19"/>
  <c r="V132" i="19"/>
  <c r="W132" i="19"/>
  <c r="Y132" i="19"/>
  <c r="Z132" i="19"/>
  <c r="AB132" i="19"/>
  <c r="AC132" i="19"/>
  <c r="AE132" i="19"/>
  <c r="AF132" i="19"/>
  <c r="AG132" i="19"/>
  <c r="B131" i="19"/>
  <c r="D131" i="19"/>
  <c r="E131" i="19"/>
  <c r="G131" i="19"/>
  <c r="H131" i="19"/>
  <c r="J131" i="19"/>
  <c r="K131" i="19"/>
  <c r="M131" i="19"/>
  <c r="N131" i="19"/>
  <c r="P131" i="19"/>
  <c r="Q131" i="19"/>
  <c r="S131" i="19"/>
  <c r="T131" i="19"/>
  <c r="V131" i="19"/>
  <c r="W131" i="19"/>
  <c r="Y131" i="19"/>
  <c r="Z131" i="19"/>
  <c r="AB131" i="19"/>
  <c r="AC131" i="19"/>
  <c r="AE131" i="19"/>
  <c r="AF131" i="19"/>
  <c r="AG131" i="19"/>
  <c r="AC124" i="19"/>
  <c r="AE124" i="19"/>
  <c r="AC125" i="19"/>
  <c r="AE125" i="19"/>
  <c r="AC126" i="19"/>
  <c r="AE126" i="19"/>
  <c r="AC127" i="19"/>
  <c r="AE127" i="19"/>
  <c r="AC128" i="19"/>
  <c r="AE128" i="19"/>
  <c r="AC129" i="19"/>
  <c r="Z124" i="19"/>
  <c r="AB124" i="19"/>
  <c r="Z125" i="19"/>
  <c r="AB125" i="19"/>
  <c r="Z126" i="19"/>
  <c r="AB126" i="19"/>
  <c r="Z127" i="19"/>
  <c r="AB127" i="19"/>
  <c r="Z128" i="19"/>
  <c r="AB128" i="19"/>
  <c r="Z129" i="19"/>
  <c r="W124" i="19"/>
  <c r="Y124" i="19"/>
  <c r="W125" i="19"/>
  <c r="Y125" i="19"/>
  <c r="W126" i="19"/>
  <c r="Y126" i="19"/>
  <c r="W127" i="19"/>
  <c r="Y127" i="19"/>
  <c r="W128" i="19"/>
  <c r="Y128" i="19"/>
  <c r="W129" i="19"/>
  <c r="T124" i="19"/>
  <c r="V124" i="19"/>
  <c r="T125" i="19"/>
  <c r="V125" i="19"/>
  <c r="T126" i="19"/>
  <c r="V126" i="19"/>
  <c r="T127" i="19"/>
  <c r="V127" i="19"/>
  <c r="T128" i="19"/>
  <c r="V128" i="19"/>
  <c r="T129" i="19"/>
  <c r="AE122" i="19"/>
  <c r="AC122" i="19"/>
  <c r="AD122" i="19"/>
  <c r="AB122" i="19"/>
  <c r="Z122" i="19"/>
  <c r="AA122" i="19"/>
  <c r="Y122" i="19"/>
  <c r="W122" i="19"/>
  <c r="X122" i="19"/>
  <c r="V122" i="19"/>
  <c r="T122" i="19"/>
  <c r="U122" i="19"/>
  <c r="AE115" i="19"/>
  <c r="AC115" i="19"/>
  <c r="AB115" i="19"/>
  <c r="Z115" i="19"/>
  <c r="Y115" i="19"/>
  <c r="W115" i="19"/>
  <c r="V115" i="19"/>
  <c r="T115" i="19"/>
  <c r="S115" i="19"/>
  <c r="Q115" i="19"/>
  <c r="P115" i="19"/>
  <c r="N115" i="19"/>
  <c r="M115" i="19"/>
  <c r="K115" i="19"/>
  <c r="J115" i="19"/>
  <c r="H115" i="19"/>
  <c r="G115" i="19"/>
  <c r="E115" i="19"/>
  <c r="D115" i="19"/>
  <c r="B115" i="19"/>
  <c r="AD114" i="19"/>
  <c r="AA114" i="19"/>
  <c r="X114" i="19"/>
  <c r="U114" i="19"/>
  <c r="R114" i="19"/>
  <c r="O114" i="19"/>
  <c r="L114" i="19"/>
  <c r="I114" i="19"/>
  <c r="F114" i="19"/>
  <c r="A114" i="19"/>
  <c r="AG113" i="19"/>
  <c r="AH113" i="19"/>
  <c r="AI113" i="19"/>
  <c r="AJ113" i="19"/>
  <c r="AK113" i="19"/>
  <c r="AL113" i="19"/>
  <c r="AM113" i="19"/>
  <c r="AN113" i="19"/>
  <c r="AO113" i="19"/>
  <c r="AP113" i="19"/>
  <c r="AQ113" i="19"/>
  <c r="AF113" i="19"/>
  <c r="AD113" i="19"/>
  <c r="AA113" i="19"/>
  <c r="X113" i="19"/>
  <c r="U113" i="19"/>
  <c r="R113" i="19"/>
  <c r="O113" i="19"/>
  <c r="L113" i="19"/>
  <c r="I113" i="19"/>
  <c r="F113" i="19"/>
  <c r="A113" i="19"/>
  <c r="AG112" i="19"/>
  <c r="AH112" i="19"/>
  <c r="AI112" i="19"/>
  <c r="AJ112" i="19"/>
  <c r="AK112" i="19"/>
  <c r="AL112" i="19"/>
  <c r="AM112" i="19"/>
  <c r="AN112" i="19"/>
  <c r="AO112" i="19"/>
  <c r="AP112" i="19"/>
  <c r="AQ112" i="19"/>
  <c r="AF112" i="19"/>
  <c r="AD112" i="19"/>
  <c r="AA112" i="19"/>
  <c r="X112" i="19"/>
  <c r="U112" i="19"/>
  <c r="R112" i="19"/>
  <c r="O112" i="19"/>
  <c r="L112" i="19"/>
  <c r="I112" i="19"/>
  <c r="F112" i="19"/>
  <c r="A112" i="19"/>
  <c r="AG111" i="19"/>
  <c r="AH111" i="19"/>
  <c r="AI111" i="19"/>
  <c r="AJ111" i="19"/>
  <c r="AK111" i="19"/>
  <c r="AL111" i="19"/>
  <c r="AM111" i="19"/>
  <c r="AN111" i="19"/>
  <c r="AO111" i="19"/>
  <c r="AP111" i="19"/>
  <c r="AQ111" i="19"/>
  <c r="AF111" i="19"/>
  <c r="AD111" i="19"/>
  <c r="AA111" i="19"/>
  <c r="X111" i="19"/>
  <c r="U111" i="19"/>
  <c r="R111" i="19"/>
  <c r="O111" i="19"/>
  <c r="L111" i="19"/>
  <c r="I111" i="19"/>
  <c r="F111" i="19"/>
  <c r="A111" i="19"/>
  <c r="AG110" i="19"/>
  <c r="AH110" i="19"/>
  <c r="AI110" i="19"/>
  <c r="AJ110" i="19"/>
  <c r="AK110" i="19"/>
  <c r="AL110" i="19"/>
  <c r="AM110" i="19"/>
  <c r="AN110" i="19"/>
  <c r="AO110" i="19"/>
  <c r="AP110" i="19"/>
  <c r="AQ110" i="19"/>
  <c r="AF110" i="19"/>
  <c r="AD110" i="19"/>
  <c r="AA110" i="19"/>
  <c r="X110" i="19"/>
  <c r="U110" i="19"/>
  <c r="R110" i="19"/>
  <c r="O110" i="19"/>
  <c r="L110" i="19"/>
  <c r="I110" i="19"/>
  <c r="F110" i="19"/>
  <c r="AG109" i="19"/>
  <c r="AH109" i="19"/>
  <c r="AI109" i="19"/>
  <c r="AJ109" i="19"/>
  <c r="AK109" i="19"/>
  <c r="AL109" i="19"/>
  <c r="AM109" i="19"/>
  <c r="AN109" i="19"/>
  <c r="AO109" i="19"/>
  <c r="AP109" i="19"/>
  <c r="AQ109" i="19"/>
  <c r="AF109" i="19"/>
  <c r="AD109" i="19"/>
  <c r="AA109" i="19"/>
  <c r="X109" i="19"/>
  <c r="U109" i="19"/>
  <c r="R109" i="19"/>
  <c r="O109" i="19"/>
  <c r="L109" i="19"/>
  <c r="I109" i="19"/>
  <c r="F109" i="19"/>
  <c r="AC107" i="19"/>
  <c r="Z107" i="19"/>
  <c r="W107" i="19"/>
  <c r="T107" i="19"/>
  <c r="Q107" i="19"/>
  <c r="N107" i="19"/>
  <c r="K107" i="19"/>
  <c r="H107" i="19"/>
  <c r="E107" i="19"/>
  <c r="E102" i="19"/>
  <c r="AC101" i="19"/>
  <c r="Z101" i="19"/>
  <c r="W101" i="19"/>
  <c r="R101" i="19"/>
  <c r="L101" i="19"/>
  <c r="A101" i="19"/>
  <c r="E100" i="19"/>
  <c r="AC99" i="19"/>
  <c r="Z99" i="19"/>
  <c r="W99" i="19"/>
  <c r="R99" i="19"/>
  <c r="L99" i="19"/>
  <c r="A99" i="19"/>
  <c r="AC97" i="19"/>
  <c r="Z97" i="19"/>
  <c r="W97" i="19"/>
  <c r="R97" i="19"/>
  <c r="L97" i="19"/>
  <c r="A97" i="19"/>
  <c r="AC95" i="19"/>
  <c r="Z95" i="19"/>
  <c r="W95" i="19"/>
  <c r="R95" i="19"/>
  <c r="L95" i="19"/>
  <c r="A95" i="19"/>
  <c r="AC93" i="19"/>
  <c r="Z93" i="19"/>
  <c r="W93" i="19"/>
  <c r="R93" i="19"/>
  <c r="L93" i="19"/>
  <c r="A93" i="19"/>
  <c r="R92" i="19"/>
  <c r="L92" i="19"/>
  <c r="K91" i="19"/>
  <c r="A89" i="19"/>
  <c r="AE85" i="19"/>
  <c r="AE31" i="19"/>
  <c r="AE32" i="19"/>
  <c r="AE33" i="19"/>
  <c r="AE34" i="19"/>
  <c r="AE35" i="19"/>
  <c r="AE36" i="19"/>
  <c r="AC85" i="19"/>
  <c r="AC31" i="19"/>
  <c r="AC32" i="19"/>
  <c r="AC33" i="19"/>
  <c r="AC34" i="19"/>
  <c r="AC35" i="19"/>
  <c r="AC36" i="19"/>
  <c r="AE86" i="19"/>
  <c r="AE87" i="19"/>
  <c r="AC86" i="19"/>
  <c r="AC87" i="19"/>
  <c r="AB85" i="19"/>
  <c r="AB31" i="19"/>
  <c r="AB32" i="19"/>
  <c r="AB33" i="19"/>
  <c r="AB34" i="19"/>
  <c r="AB35" i="19"/>
  <c r="AB36" i="19"/>
  <c r="Z85" i="19"/>
  <c r="Z31" i="19"/>
  <c r="Z32" i="19"/>
  <c r="Z33" i="19"/>
  <c r="Z34" i="19"/>
  <c r="Z35" i="19"/>
  <c r="Z36" i="19"/>
  <c r="AB86" i="19"/>
  <c r="AB87" i="19"/>
  <c r="Z86" i="19"/>
  <c r="Z87" i="19"/>
  <c r="Y85" i="19"/>
  <c r="Y31" i="19"/>
  <c r="Y32" i="19"/>
  <c r="Y33" i="19"/>
  <c r="Y34" i="19"/>
  <c r="Y35" i="19"/>
  <c r="Y36" i="19"/>
  <c r="W85" i="19"/>
  <c r="W31" i="19"/>
  <c r="W32" i="19"/>
  <c r="W33" i="19"/>
  <c r="W34" i="19"/>
  <c r="W35" i="19"/>
  <c r="W36" i="19"/>
  <c r="Y86" i="19"/>
  <c r="Y87" i="19"/>
  <c r="W86" i="19"/>
  <c r="W87" i="19"/>
  <c r="V85" i="19"/>
  <c r="V31" i="19"/>
  <c r="V32" i="19"/>
  <c r="V33" i="19"/>
  <c r="V34" i="19"/>
  <c r="V35" i="19"/>
  <c r="V36" i="19"/>
  <c r="T85" i="19"/>
  <c r="T31" i="19"/>
  <c r="T32" i="19"/>
  <c r="T33" i="19"/>
  <c r="T34" i="19"/>
  <c r="T35" i="19"/>
  <c r="T36" i="19"/>
  <c r="V86" i="19"/>
  <c r="V87" i="19"/>
  <c r="T86" i="19"/>
  <c r="T87" i="19"/>
  <c r="N73" i="19"/>
  <c r="P73" i="19"/>
  <c r="K73" i="19"/>
  <c r="M73" i="19"/>
  <c r="H64" i="19"/>
  <c r="J64" i="19"/>
  <c r="H31" i="19"/>
  <c r="H32" i="19"/>
  <c r="H33" i="19"/>
  <c r="H34" i="19"/>
  <c r="H35" i="19"/>
  <c r="H65" i="19"/>
  <c r="J65" i="19"/>
  <c r="H66" i="19"/>
  <c r="J66" i="19"/>
  <c r="H67" i="19"/>
  <c r="J31" i="19"/>
  <c r="J32" i="19"/>
  <c r="J33" i="19"/>
  <c r="J34" i="19"/>
  <c r="J35" i="19"/>
  <c r="J67" i="19"/>
  <c r="H68" i="19"/>
  <c r="J68" i="19"/>
  <c r="I71" i="19"/>
  <c r="H73" i="19"/>
  <c r="E73" i="19"/>
  <c r="G73" i="19"/>
  <c r="B64" i="19"/>
  <c r="D64" i="19"/>
  <c r="B31" i="19"/>
  <c r="B32" i="19"/>
  <c r="B33" i="19"/>
  <c r="B34" i="19"/>
  <c r="B35" i="19"/>
  <c r="B65" i="19"/>
  <c r="D65" i="19"/>
  <c r="B66" i="19"/>
  <c r="D31" i="19"/>
  <c r="D32" i="19"/>
  <c r="D33" i="19"/>
  <c r="D34" i="19"/>
  <c r="D35" i="19"/>
  <c r="D66" i="19"/>
  <c r="B67" i="19"/>
  <c r="D67" i="19"/>
  <c r="B68" i="19"/>
  <c r="D68" i="19"/>
  <c r="C71" i="19"/>
  <c r="B73" i="19"/>
  <c r="B80" i="19"/>
  <c r="C80" i="19"/>
  <c r="B85" i="19"/>
  <c r="B36" i="19"/>
  <c r="B81" i="19"/>
  <c r="C81" i="19"/>
  <c r="D85" i="19"/>
  <c r="D36" i="19"/>
  <c r="B86" i="19"/>
  <c r="B87" i="19"/>
  <c r="D80" i="19"/>
  <c r="G80" i="19"/>
  <c r="H85" i="19"/>
  <c r="H36" i="19"/>
  <c r="E75" i="19"/>
  <c r="E31" i="19"/>
  <c r="E32" i="19"/>
  <c r="E33" i="19"/>
  <c r="E34" i="19"/>
  <c r="E35" i="19"/>
  <c r="E64" i="19"/>
  <c r="G64" i="19"/>
  <c r="E65" i="19"/>
  <c r="G65" i="19"/>
  <c r="E66" i="19"/>
  <c r="G66" i="19"/>
  <c r="E67" i="19"/>
  <c r="G31" i="19"/>
  <c r="G32" i="19"/>
  <c r="G33" i="19"/>
  <c r="G34" i="19"/>
  <c r="G35" i="19"/>
  <c r="G67" i="19"/>
  <c r="E68" i="19"/>
  <c r="G68" i="19"/>
  <c r="F71" i="19"/>
  <c r="G75" i="19"/>
  <c r="B75" i="19"/>
  <c r="D75" i="19"/>
  <c r="E14" i="19"/>
  <c r="B82" i="19"/>
  <c r="C82" i="19"/>
  <c r="D82" i="19"/>
  <c r="G85" i="19"/>
  <c r="G36" i="19"/>
  <c r="B72" i="19"/>
  <c r="D72" i="19"/>
  <c r="B79" i="19"/>
  <c r="C79" i="19"/>
  <c r="D79" i="19"/>
  <c r="E85" i="19"/>
  <c r="E36" i="19"/>
  <c r="G86" i="19"/>
  <c r="G87" i="19"/>
  <c r="G82" i="19"/>
  <c r="J85" i="19"/>
  <c r="J36" i="19"/>
  <c r="H86" i="19"/>
  <c r="H87" i="19"/>
  <c r="J80" i="19"/>
  <c r="M80" i="19"/>
  <c r="P80" i="19"/>
  <c r="S85" i="19"/>
  <c r="S31" i="19"/>
  <c r="S32" i="19"/>
  <c r="S33" i="19"/>
  <c r="S34" i="19"/>
  <c r="S35" i="19"/>
  <c r="S36" i="19"/>
  <c r="N72" i="19"/>
  <c r="P72" i="19"/>
  <c r="K31" i="19"/>
  <c r="K32" i="19"/>
  <c r="K33" i="19"/>
  <c r="K34" i="19"/>
  <c r="K35" i="19"/>
  <c r="K64" i="19"/>
  <c r="M64" i="19"/>
  <c r="K65" i="19"/>
  <c r="M65" i="19"/>
  <c r="K66" i="19"/>
  <c r="M31" i="19"/>
  <c r="M32" i="19"/>
  <c r="M33" i="19"/>
  <c r="M34" i="19"/>
  <c r="M35" i="19"/>
  <c r="M66" i="19"/>
  <c r="K67" i="19"/>
  <c r="M67" i="19"/>
  <c r="K68" i="19"/>
  <c r="M68" i="19"/>
  <c r="L71" i="19"/>
  <c r="K72" i="19"/>
  <c r="H72" i="19"/>
  <c r="J72" i="19"/>
  <c r="E72" i="19"/>
  <c r="E86" i="19"/>
  <c r="E87" i="19"/>
  <c r="G79" i="19"/>
  <c r="J79" i="19"/>
  <c r="K85" i="19"/>
  <c r="K36" i="19"/>
  <c r="H74" i="19"/>
  <c r="J74" i="19"/>
  <c r="E74" i="19"/>
  <c r="G74" i="19"/>
  <c r="B74" i="19"/>
  <c r="D74" i="19"/>
  <c r="D86" i="19"/>
  <c r="D87" i="19"/>
  <c r="D81" i="19"/>
  <c r="G81" i="19"/>
  <c r="J81" i="19"/>
  <c r="M85" i="19"/>
  <c r="M36" i="19"/>
  <c r="K86" i="19"/>
  <c r="K87" i="19"/>
  <c r="M79" i="19"/>
  <c r="P79" i="19"/>
  <c r="Q85" i="19"/>
  <c r="Q31" i="19"/>
  <c r="Q32" i="19"/>
  <c r="Q33" i="19"/>
  <c r="Q34" i="19"/>
  <c r="Q35" i="19"/>
  <c r="Q36" i="19"/>
  <c r="S86" i="19"/>
  <c r="S87" i="19"/>
  <c r="Q86" i="19"/>
  <c r="Q87" i="19"/>
  <c r="K75" i="19"/>
  <c r="M75" i="19"/>
  <c r="H75" i="19"/>
  <c r="J75" i="19"/>
  <c r="J86" i="19"/>
  <c r="J87" i="19"/>
  <c r="J82" i="19"/>
  <c r="M82" i="19"/>
  <c r="P85" i="19"/>
  <c r="P31" i="19"/>
  <c r="P32" i="19"/>
  <c r="P33" i="19"/>
  <c r="P34" i="19"/>
  <c r="P35" i="19"/>
  <c r="P36" i="19"/>
  <c r="K74" i="19"/>
  <c r="M74" i="19"/>
  <c r="M86" i="19"/>
  <c r="M87" i="19"/>
  <c r="M81" i="19"/>
  <c r="N85" i="19"/>
  <c r="N31" i="19"/>
  <c r="N32" i="19"/>
  <c r="N33" i="19"/>
  <c r="N34" i="19"/>
  <c r="N35" i="19"/>
  <c r="N36" i="19"/>
  <c r="P86" i="19"/>
  <c r="P87" i="19"/>
  <c r="N86" i="19"/>
  <c r="N87" i="19"/>
  <c r="AC76" i="19"/>
  <c r="AE76" i="19"/>
  <c r="Z76" i="19"/>
  <c r="AB76" i="19"/>
  <c r="W76" i="19"/>
  <c r="Y76" i="19"/>
  <c r="T76" i="19"/>
  <c r="V76" i="19"/>
  <c r="Q76" i="19"/>
  <c r="S76" i="19"/>
  <c r="N76" i="19"/>
  <c r="P76" i="19"/>
  <c r="K76" i="19"/>
  <c r="M76" i="19"/>
  <c r="H76" i="19"/>
  <c r="J76" i="19"/>
  <c r="E76" i="19"/>
  <c r="G76" i="19"/>
  <c r="B76" i="19"/>
  <c r="D76" i="19"/>
  <c r="E16" i="19"/>
  <c r="B83" i="19"/>
  <c r="C83" i="19"/>
  <c r="D83" i="19"/>
  <c r="G83" i="19"/>
  <c r="J83" i="19"/>
  <c r="M83" i="19"/>
  <c r="P83" i="19"/>
  <c r="S83" i="19"/>
  <c r="V83" i="19"/>
  <c r="Y83" i="19"/>
  <c r="AB83" i="19"/>
  <c r="AE83" i="19"/>
  <c r="AU83" i="19"/>
  <c r="AT83" i="19"/>
  <c r="AC75" i="19"/>
  <c r="AE75" i="19"/>
  <c r="Z75" i="19"/>
  <c r="AB75" i="19"/>
  <c r="W75" i="19"/>
  <c r="Y75" i="19"/>
  <c r="T75" i="19"/>
  <c r="V75" i="19"/>
  <c r="Q75" i="19"/>
  <c r="S75" i="19"/>
  <c r="N75" i="19"/>
  <c r="N64" i="19"/>
  <c r="P64" i="19"/>
  <c r="N65" i="19"/>
  <c r="P65" i="19"/>
  <c r="N66" i="19"/>
  <c r="P66" i="19"/>
  <c r="N67" i="19"/>
  <c r="P67" i="19"/>
  <c r="N68" i="19"/>
  <c r="P68" i="19"/>
  <c r="O71" i="19"/>
  <c r="P75" i="19"/>
  <c r="P82" i="19"/>
  <c r="S82" i="19"/>
  <c r="V82" i="19"/>
  <c r="Y82" i="19"/>
  <c r="AB82" i="19"/>
  <c r="AE82" i="19"/>
  <c r="AU82" i="19"/>
  <c r="AT82" i="19"/>
  <c r="AC74" i="19"/>
  <c r="AE74" i="19"/>
  <c r="Z74" i="19"/>
  <c r="AB74" i="19"/>
  <c r="W74" i="19"/>
  <c r="Y74" i="19"/>
  <c r="T74" i="19"/>
  <c r="V74" i="19"/>
  <c r="Q74" i="19"/>
  <c r="S74" i="19"/>
  <c r="N74" i="19"/>
  <c r="P81" i="19"/>
  <c r="S81" i="19"/>
  <c r="V81" i="19"/>
  <c r="Y81" i="19"/>
  <c r="AB81" i="19"/>
  <c r="AE81" i="19"/>
  <c r="AU81" i="19"/>
  <c r="AT81" i="19"/>
  <c r="AC73" i="19"/>
  <c r="AE73" i="19"/>
  <c r="Z73" i="19"/>
  <c r="AB73" i="19"/>
  <c r="W73" i="19"/>
  <c r="Y73" i="19"/>
  <c r="T73" i="19"/>
  <c r="V73" i="19"/>
  <c r="Q73" i="19"/>
  <c r="Q64" i="19"/>
  <c r="S64" i="19"/>
  <c r="Q65" i="19"/>
  <c r="S65" i="19"/>
  <c r="Q66" i="19"/>
  <c r="S66" i="19"/>
  <c r="Q67" i="19"/>
  <c r="S67" i="19"/>
  <c r="Q68" i="19"/>
  <c r="S68" i="19"/>
  <c r="R71" i="19"/>
  <c r="S73" i="19"/>
  <c r="S80" i="19"/>
  <c r="V80" i="19"/>
  <c r="Y80" i="19"/>
  <c r="AB80" i="19"/>
  <c r="AE80" i="19"/>
  <c r="AU80" i="19"/>
  <c r="AT80" i="19"/>
  <c r="AC72" i="19"/>
  <c r="AE72" i="19"/>
  <c r="Z72" i="19"/>
  <c r="AB72" i="19"/>
  <c r="W72" i="19"/>
  <c r="Y72" i="19"/>
  <c r="T72" i="19"/>
  <c r="V72" i="19"/>
  <c r="Q72" i="19"/>
  <c r="S79" i="19"/>
  <c r="V79" i="19"/>
  <c r="Y79" i="19"/>
  <c r="AB79" i="19"/>
  <c r="AE79" i="19"/>
  <c r="AU79" i="19"/>
  <c r="AT79" i="19"/>
  <c r="AF76" i="19"/>
  <c r="AF75" i="19"/>
  <c r="P74" i="19"/>
  <c r="AF74" i="19"/>
  <c r="D73" i="19"/>
  <c r="J73" i="19"/>
  <c r="AF73" i="19"/>
  <c r="G72" i="19"/>
  <c r="M72" i="19"/>
  <c r="S72" i="19"/>
  <c r="AF72" i="19"/>
  <c r="AC64" i="19"/>
  <c r="AE64" i="19"/>
  <c r="AC65" i="19"/>
  <c r="AE65" i="19"/>
  <c r="AC66" i="19"/>
  <c r="AE66" i="19"/>
  <c r="AC67" i="19"/>
  <c r="AE67" i="19"/>
  <c r="AC68" i="19"/>
  <c r="AE68" i="19"/>
  <c r="AD71" i="19"/>
  <c r="Z64" i="19"/>
  <c r="AB64" i="19"/>
  <c r="Z65" i="19"/>
  <c r="AB65" i="19"/>
  <c r="Z66" i="19"/>
  <c r="AB66" i="19"/>
  <c r="Z67" i="19"/>
  <c r="AB67" i="19"/>
  <c r="Z68" i="19"/>
  <c r="AB68" i="19"/>
  <c r="AA71" i="19"/>
  <c r="W64" i="19"/>
  <c r="Y64" i="19"/>
  <c r="W65" i="19"/>
  <c r="Y65" i="19"/>
  <c r="W66" i="19"/>
  <c r="Y66" i="19"/>
  <c r="W67" i="19"/>
  <c r="Y67" i="19"/>
  <c r="W68" i="19"/>
  <c r="Y68" i="19"/>
  <c r="X71" i="19"/>
  <c r="T64" i="19"/>
  <c r="V64" i="19"/>
  <c r="T65" i="19"/>
  <c r="V65" i="19"/>
  <c r="T66" i="19"/>
  <c r="V66" i="19"/>
  <c r="T67" i="19"/>
  <c r="V67" i="19"/>
  <c r="T68" i="19"/>
  <c r="V68" i="19"/>
  <c r="U71" i="19"/>
  <c r="AF68" i="19"/>
  <c r="AG68" i="19"/>
  <c r="AF67" i="19"/>
  <c r="AG67" i="19"/>
  <c r="AF66" i="19"/>
  <c r="AG66" i="19"/>
  <c r="AF65" i="19"/>
  <c r="AG65" i="19"/>
  <c r="AF64" i="19"/>
  <c r="AG64" i="19"/>
  <c r="B62" i="19"/>
  <c r="D62" i="19"/>
  <c r="E62" i="19"/>
  <c r="G62" i="19"/>
  <c r="H62" i="19"/>
  <c r="J62" i="19"/>
  <c r="K62" i="19"/>
  <c r="M62" i="19"/>
  <c r="N62" i="19"/>
  <c r="P62" i="19"/>
  <c r="Q62" i="19"/>
  <c r="S62" i="19"/>
  <c r="T62" i="19"/>
  <c r="V62" i="19"/>
  <c r="W62" i="19"/>
  <c r="Y62" i="19"/>
  <c r="Z62" i="19"/>
  <c r="AB62" i="19"/>
  <c r="AC62" i="19"/>
  <c r="AE62" i="19"/>
  <c r="AF62" i="19"/>
  <c r="B61" i="19"/>
  <c r="D61" i="19"/>
  <c r="E61" i="19"/>
  <c r="E39" i="19"/>
  <c r="G39" i="19"/>
  <c r="E40" i="19"/>
  <c r="G40" i="19"/>
  <c r="E41" i="19"/>
  <c r="G41" i="19"/>
  <c r="E42" i="19"/>
  <c r="G42" i="19"/>
  <c r="E43" i="19"/>
  <c r="G43" i="19"/>
  <c r="E44" i="19"/>
  <c r="G61" i="19"/>
  <c r="H61" i="19"/>
  <c r="H39" i="19"/>
  <c r="J39" i="19"/>
  <c r="H40" i="19"/>
  <c r="J40" i="19"/>
  <c r="H41" i="19"/>
  <c r="J41" i="19"/>
  <c r="H42" i="19"/>
  <c r="J42" i="19"/>
  <c r="H43" i="19"/>
  <c r="J43" i="19"/>
  <c r="H44" i="19"/>
  <c r="J61" i="19"/>
  <c r="K61" i="19"/>
  <c r="M61" i="19"/>
  <c r="N61" i="19"/>
  <c r="N39" i="19"/>
  <c r="P39" i="19"/>
  <c r="N40" i="19"/>
  <c r="P40" i="19"/>
  <c r="N41" i="19"/>
  <c r="P41" i="19"/>
  <c r="N42" i="19"/>
  <c r="P42" i="19"/>
  <c r="N43" i="19"/>
  <c r="P43" i="19"/>
  <c r="N44" i="19"/>
  <c r="P61" i="19"/>
  <c r="Q61" i="19"/>
  <c r="S61" i="19"/>
  <c r="T61" i="19"/>
  <c r="V61" i="19"/>
  <c r="W61" i="19"/>
  <c r="Y61" i="19"/>
  <c r="Z61" i="19"/>
  <c r="AB61" i="19"/>
  <c r="AC61" i="19"/>
  <c r="AE61" i="19"/>
  <c r="AF61" i="19"/>
  <c r="B60" i="19"/>
  <c r="B39" i="19"/>
  <c r="D39" i="19"/>
  <c r="B40" i="19"/>
  <c r="D40" i="19"/>
  <c r="B41" i="19"/>
  <c r="D41" i="19"/>
  <c r="B42" i="19"/>
  <c r="D42" i="19"/>
  <c r="B43" i="19"/>
  <c r="D43" i="19"/>
  <c r="B44" i="19"/>
  <c r="D60" i="19"/>
  <c r="E60" i="19"/>
  <c r="G60" i="19"/>
  <c r="H60" i="19"/>
  <c r="J60" i="19"/>
  <c r="K60" i="19"/>
  <c r="K39" i="19"/>
  <c r="M39" i="19"/>
  <c r="K40" i="19"/>
  <c r="M40" i="19"/>
  <c r="K41" i="19"/>
  <c r="M41" i="19"/>
  <c r="K42" i="19"/>
  <c r="M42" i="19"/>
  <c r="K43" i="19"/>
  <c r="M43" i="19"/>
  <c r="K44" i="19"/>
  <c r="M60" i="19"/>
  <c r="N60" i="19"/>
  <c r="P60" i="19"/>
  <c r="Q60" i="19"/>
  <c r="S60" i="19"/>
  <c r="T60" i="19"/>
  <c r="V60" i="19"/>
  <c r="W60" i="19"/>
  <c r="Y60" i="19"/>
  <c r="Z60" i="19"/>
  <c r="AB60" i="19"/>
  <c r="AC60" i="19"/>
  <c r="AE60" i="19"/>
  <c r="AF60" i="19"/>
  <c r="B59" i="19"/>
  <c r="D59" i="19"/>
  <c r="E59" i="19"/>
  <c r="G59" i="19"/>
  <c r="H59" i="19"/>
  <c r="J59" i="19"/>
  <c r="K59" i="19"/>
  <c r="M59" i="19"/>
  <c r="N59" i="19"/>
  <c r="P59" i="19"/>
  <c r="Q59" i="19"/>
  <c r="Q39" i="19"/>
  <c r="S39" i="19"/>
  <c r="Q40" i="19"/>
  <c r="S40" i="19"/>
  <c r="Q41" i="19"/>
  <c r="S41" i="19"/>
  <c r="Q42" i="19"/>
  <c r="S42" i="19"/>
  <c r="Q43" i="19"/>
  <c r="S43" i="19"/>
  <c r="Q44" i="19"/>
  <c r="S59" i="19"/>
  <c r="T59" i="19"/>
  <c r="V59" i="19"/>
  <c r="W59" i="19"/>
  <c r="Y59" i="19"/>
  <c r="Z59" i="19"/>
  <c r="AB59" i="19"/>
  <c r="AC59" i="19"/>
  <c r="AE59" i="19"/>
  <c r="AF59" i="19"/>
  <c r="B58" i="19"/>
  <c r="D58" i="19"/>
  <c r="E58" i="19"/>
  <c r="G58" i="19"/>
  <c r="H58" i="19"/>
  <c r="J58" i="19"/>
  <c r="K58" i="19"/>
  <c r="M58" i="19"/>
  <c r="N58" i="19"/>
  <c r="P58" i="19"/>
  <c r="Q58" i="19"/>
  <c r="S58" i="19"/>
  <c r="T58" i="19"/>
  <c r="V58" i="19"/>
  <c r="W58" i="19"/>
  <c r="Y58" i="19"/>
  <c r="Z58" i="19"/>
  <c r="AB58" i="19"/>
  <c r="AC58" i="19"/>
  <c r="AE58" i="19"/>
  <c r="AF58" i="19"/>
  <c r="B56" i="19"/>
  <c r="D56" i="19"/>
  <c r="E56" i="19"/>
  <c r="G56" i="19"/>
  <c r="H56" i="19"/>
  <c r="J56" i="19"/>
  <c r="K56" i="19"/>
  <c r="M56" i="19"/>
  <c r="N56" i="19"/>
  <c r="P56" i="19"/>
  <c r="Q56" i="19"/>
  <c r="S56" i="19"/>
  <c r="T56" i="19"/>
  <c r="V56" i="19"/>
  <c r="W56" i="19"/>
  <c r="Y56" i="19"/>
  <c r="Z56" i="19"/>
  <c r="AB56" i="19"/>
  <c r="AC56" i="19"/>
  <c r="AE56" i="19"/>
  <c r="AF56" i="19"/>
  <c r="B55" i="19"/>
  <c r="D55" i="19"/>
  <c r="E55" i="19"/>
  <c r="E37" i="19"/>
  <c r="G37" i="19"/>
  <c r="F37" i="19"/>
  <c r="G55" i="19"/>
  <c r="H55" i="19"/>
  <c r="H37" i="19"/>
  <c r="J37" i="19"/>
  <c r="I37" i="19"/>
  <c r="J55" i="19"/>
  <c r="K55" i="19"/>
  <c r="M55" i="19"/>
  <c r="N55" i="19"/>
  <c r="N37" i="19"/>
  <c r="P37" i="19"/>
  <c r="O37" i="19"/>
  <c r="P55" i="19"/>
  <c r="Q55" i="19"/>
  <c r="S55" i="19"/>
  <c r="T55" i="19"/>
  <c r="V55" i="19"/>
  <c r="W55" i="19"/>
  <c r="Y55" i="19"/>
  <c r="Z55" i="19"/>
  <c r="AB55" i="19"/>
  <c r="AC55" i="19"/>
  <c r="AE55" i="19"/>
  <c r="AF55" i="19"/>
  <c r="B54" i="19"/>
  <c r="B37" i="19"/>
  <c r="D37" i="19"/>
  <c r="C37" i="19"/>
  <c r="D54" i="19"/>
  <c r="E54" i="19"/>
  <c r="G54" i="19"/>
  <c r="H54" i="19"/>
  <c r="J54" i="19"/>
  <c r="K54" i="19"/>
  <c r="K37" i="19"/>
  <c r="M37" i="19"/>
  <c r="L37" i="19"/>
  <c r="M54" i="19"/>
  <c r="N54" i="19"/>
  <c r="P54" i="19"/>
  <c r="Q54" i="19"/>
  <c r="S54" i="19"/>
  <c r="T54" i="19"/>
  <c r="V54" i="19"/>
  <c r="W54" i="19"/>
  <c r="Y54" i="19"/>
  <c r="Z54" i="19"/>
  <c r="AB54" i="19"/>
  <c r="AC54" i="19"/>
  <c r="AE54" i="19"/>
  <c r="AF54" i="19"/>
  <c r="B53" i="19"/>
  <c r="D53" i="19"/>
  <c r="E53" i="19"/>
  <c r="G53" i="19"/>
  <c r="H53" i="19"/>
  <c r="J53" i="19"/>
  <c r="K53" i="19"/>
  <c r="M53" i="19"/>
  <c r="N53" i="19"/>
  <c r="P53" i="19"/>
  <c r="Q53" i="19"/>
  <c r="Q37" i="19"/>
  <c r="S37" i="19"/>
  <c r="R37" i="19"/>
  <c r="S53" i="19"/>
  <c r="T53" i="19"/>
  <c r="V53" i="19"/>
  <c r="W53" i="19"/>
  <c r="Y53" i="19"/>
  <c r="Z53" i="19"/>
  <c r="AB53" i="19"/>
  <c r="AC53" i="19"/>
  <c r="AE53" i="19"/>
  <c r="AF53" i="19"/>
  <c r="B52" i="19"/>
  <c r="D52" i="19"/>
  <c r="E52" i="19"/>
  <c r="G52" i="19"/>
  <c r="H52" i="19"/>
  <c r="J52" i="19"/>
  <c r="K52" i="19"/>
  <c r="M52" i="19"/>
  <c r="N52" i="19"/>
  <c r="P52" i="19"/>
  <c r="Q52" i="19"/>
  <c r="S52" i="19"/>
  <c r="T52" i="19"/>
  <c r="V52" i="19"/>
  <c r="W52" i="19"/>
  <c r="Y52" i="19"/>
  <c r="Z52" i="19"/>
  <c r="AB52" i="19"/>
  <c r="AC52" i="19"/>
  <c r="AE52" i="19"/>
  <c r="AF52" i="19"/>
  <c r="B50" i="19"/>
  <c r="D50" i="19"/>
  <c r="E50" i="19"/>
  <c r="G50" i="19"/>
  <c r="H50" i="19"/>
  <c r="J50" i="19"/>
  <c r="K50" i="19"/>
  <c r="M50" i="19"/>
  <c r="N50" i="19"/>
  <c r="P50" i="19"/>
  <c r="Q50" i="19"/>
  <c r="S50" i="19"/>
  <c r="T50" i="19"/>
  <c r="V50" i="19"/>
  <c r="W50" i="19"/>
  <c r="Y50" i="19"/>
  <c r="Z50" i="19"/>
  <c r="AB50" i="19"/>
  <c r="AC50" i="19"/>
  <c r="AE50" i="19"/>
  <c r="AF50" i="19"/>
  <c r="AG50" i="19"/>
  <c r="B49" i="19"/>
  <c r="D49" i="19"/>
  <c r="E49" i="19"/>
  <c r="G49" i="19"/>
  <c r="H49" i="19"/>
  <c r="J49" i="19"/>
  <c r="K49" i="19"/>
  <c r="M49" i="19"/>
  <c r="N49" i="19"/>
  <c r="P49" i="19"/>
  <c r="Q49" i="19"/>
  <c r="S49" i="19"/>
  <c r="T49" i="19"/>
  <c r="V49" i="19"/>
  <c r="W49" i="19"/>
  <c r="Y49" i="19"/>
  <c r="Z49" i="19"/>
  <c r="AB49" i="19"/>
  <c r="AC49" i="19"/>
  <c r="AE49" i="19"/>
  <c r="AF49" i="19"/>
  <c r="AG49" i="19"/>
  <c r="B48" i="19"/>
  <c r="D48" i="19"/>
  <c r="E48" i="19"/>
  <c r="G48" i="19"/>
  <c r="H48" i="19"/>
  <c r="J48" i="19"/>
  <c r="K48" i="19"/>
  <c r="M48" i="19"/>
  <c r="N48" i="19"/>
  <c r="P48" i="19"/>
  <c r="Q48" i="19"/>
  <c r="S48" i="19"/>
  <c r="T48" i="19"/>
  <c r="V48" i="19"/>
  <c r="W48" i="19"/>
  <c r="Y48" i="19"/>
  <c r="Z48" i="19"/>
  <c r="AB48" i="19"/>
  <c r="AC48" i="19"/>
  <c r="AE48" i="19"/>
  <c r="AF48" i="19"/>
  <c r="AG48" i="19"/>
  <c r="B47" i="19"/>
  <c r="D47" i="19"/>
  <c r="E47" i="19"/>
  <c r="G47" i="19"/>
  <c r="H47" i="19"/>
  <c r="J47" i="19"/>
  <c r="K47" i="19"/>
  <c r="M47" i="19"/>
  <c r="N47" i="19"/>
  <c r="P47" i="19"/>
  <c r="Q47" i="19"/>
  <c r="S47" i="19"/>
  <c r="T47" i="19"/>
  <c r="V47" i="19"/>
  <c r="W47" i="19"/>
  <c r="Y47" i="19"/>
  <c r="Z47" i="19"/>
  <c r="AB47" i="19"/>
  <c r="AC47" i="19"/>
  <c r="AE47" i="19"/>
  <c r="AF47" i="19"/>
  <c r="AG47" i="19"/>
  <c r="B46" i="19"/>
  <c r="D46" i="19"/>
  <c r="E46" i="19"/>
  <c r="G46" i="19"/>
  <c r="H46" i="19"/>
  <c r="J46" i="19"/>
  <c r="K46" i="19"/>
  <c r="M46" i="19"/>
  <c r="N46" i="19"/>
  <c r="P46" i="19"/>
  <c r="Q46" i="19"/>
  <c r="S46" i="19"/>
  <c r="T46" i="19"/>
  <c r="V46" i="19"/>
  <c r="W46" i="19"/>
  <c r="Y46" i="19"/>
  <c r="Z46" i="19"/>
  <c r="AB46" i="19"/>
  <c r="AC46" i="19"/>
  <c r="AE46" i="19"/>
  <c r="AF46" i="19"/>
  <c r="AG46" i="19"/>
  <c r="AC39" i="19"/>
  <c r="AE39" i="19"/>
  <c r="AC40" i="19"/>
  <c r="AE40" i="19"/>
  <c r="AC41" i="19"/>
  <c r="AE41" i="19"/>
  <c r="AC42" i="19"/>
  <c r="AE42" i="19"/>
  <c r="AC43" i="19"/>
  <c r="AE43" i="19"/>
  <c r="AC44" i="19"/>
  <c r="Z39" i="19"/>
  <c r="AB39" i="19"/>
  <c r="Z40" i="19"/>
  <c r="AB40" i="19"/>
  <c r="Z41" i="19"/>
  <c r="AB41" i="19"/>
  <c r="Z42" i="19"/>
  <c r="AB42" i="19"/>
  <c r="Z43" i="19"/>
  <c r="AB43" i="19"/>
  <c r="Z44" i="19"/>
  <c r="W39" i="19"/>
  <c r="Y39" i="19"/>
  <c r="W40" i="19"/>
  <c r="Y40" i="19"/>
  <c r="W41" i="19"/>
  <c r="Y41" i="19"/>
  <c r="W42" i="19"/>
  <c r="Y42" i="19"/>
  <c r="W43" i="19"/>
  <c r="Y43" i="19"/>
  <c r="W44" i="19"/>
  <c r="T39" i="19"/>
  <c r="V39" i="19"/>
  <c r="T40" i="19"/>
  <c r="V40" i="19"/>
  <c r="T41" i="19"/>
  <c r="V41" i="19"/>
  <c r="T42" i="19"/>
  <c r="V42" i="19"/>
  <c r="T43" i="19"/>
  <c r="V43" i="19"/>
  <c r="T44" i="19"/>
  <c r="AE37" i="19"/>
  <c r="AC37" i="19"/>
  <c r="AD37" i="19"/>
  <c r="AB37" i="19"/>
  <c r="Z37" i="19"/>
  <c r="AA37" i="19"/>
  <c r="Y37" i="19"/>
  <c r="W37" i="19"/>
  <c r="X37" i="19"/>
  <c r="V37" i="19"/>
  <c r="T37" i="19"/>
  <c r="U37" i="19"/>
  <c r="AE30" i="19"/>
  <c r="AC30" i="19"/>
  <c r="AB30" i="19"/>
  <c r="Z30" i="19"/>
  <c r="Y30" i="19"/>
  <c r="W30" i="19"/>
  <c r="V30" i="19"/>
  <c r="T30" i="19"/>
  <c r="S30" i="19"/>
  <c r="Q30" i="19"/>
  <c r="P30" i="19"/>
  <c r="N30" i="19"/>
  <c r="M30" i="19"/>
  <c r="K30" i="19"/>
  <c r="J30" i="19"/>
  <c r="H30" i="19"/>
  <c r="G30" i="19"/>
  <c r="E30" i="19"/>
  <c r="D30" i="19"/>
  <c r="B30" i="19"/>
  <c r="AD29" i="19"/>
  <c r="AA29" i="19"/>
  <c r="X29" i="19"/>
  <c r="U29" i="19"/>
  <c r="R29" i="19"/>
  <c r="O29" i="19"/>
  <c r="L29" i="19"/>
  <c r="I29" i="19"/>
  <c r="F29" i="19"/>
  <c r="A29" i="19"/>
  <c r="AG28" i="19"/>
  <c r="AH28" i="19"/>
  <c r="AI28" i="19"/>
  <c r="AJ28" i="19"/>
  <c r="AK28" i="19"/>
  <c r="AL28" i="19"/>
  <c r="AM28" i="19"/>
  <c r="AN28" i="19"/>
  <c r="AO28" i="19"/>
  <c r="AP28" i="19"/>
  <c r="AQ28" i="19"/>
  <c r="AF28" i="19"/>
  <c r="AD28" i="19"/>
  <c r="AA28" i="19"/>
  <c r="X28" i="19"/>
  <c r="U28" i="19"/>
  <c r="R28" i="19"/>
  <c r="O28" i="19"/>
  <c r="L28" i="19"/>
  <c r="I28" i="19"/>
  <c r="F28" i="19"/>
  <c r="A28" i="19"/>
  <c r="AG27" i="19"/>
  <c r="AH27" i="19"/>
  <c r="AI27" i="19"/>
  <c r="AJ27" i="19"/>
  <c r="AK27" i="19"/>
  <c r="AL27" i="19"/>
  <c r="AM27" i="19"/>
  <c r="AN27" i="19"/>
  <c r="AO27" i="19"/>
  <c r="AP27" i="19"/>
  <c r="AQ27" i="19"/>
  <c r="AF27" i="19"/>
  <c r="AD27" i="19"/>
  <c r="AA27" i="19"/>
  <c r="X27" i="19"/>
  <c r="U27" i="19"/>
  <c r="R27" i="19"/>
  <c r="O27" i="19"/>
  <c r="L27" i="19"/>
  <c r="I27" i="19"/>
  <c r="F27" i="19"/>
  <c r="A27" i="19"/>
  <c r="AG26" i="19"/>
  <c r="AH26" i="19"/>
  <c r="AI26" i="19"/>
  <c r="AJ26" i="19"/>
  <c r="AK26" i="19"/>
  <c r="AL26" i="19"/>
  <c r="AM26" i="19"/>
  <c r="AN26" i="19"/>
  <c r="AO26" i="19"/>
  <c r="AP26" i="19"/>
  <c r="AQ26" i="19"/>
  <c r="AF26" i="19"/>
  <c r="AD26" i="19"/>
  <c r="AA26" i="19"/>
  <c r="X26" i="19"/>
  <c r="U26" i="19"/>
  <c r="R26" i="19"/>
  <c r="O26" i="19"/>
  <c r="L26" i="19"/>
  <c r="I26" i="19"/>
  <c r="F26" i="19"/>
  <c r="A26" i="19"/>
  <c r="AG25" i="19"/>
  <c r="AH25" i="19"/>
  <c r="AI25" i="19"/>
  <c r="AJ25" i="19"/>
  <c r="AK25" i="19"/>
  <c r="AL25" i="19"/>
  <c r="AM25" i="19"/>
  <c r="AN25" i="19"/>
  <c r="AO25" i="19"/>
  <c r="AP25" i="19"/>
  <c r="AQ25" i="19"/>
  <c r="AF25" i="19"/>
  <c r="AD25" i="19"/>
  <c r="AA25" i="19"/>
  <c r="X25" i="19"/>
  <c r="U25" i="19"/>
  <c r="R25" i="19"/>
  <c r="O25" i="19"/>
  <c r="L25" i="19"/>
  <c r="I25" i="19"/>
  <c r="F25" i="19"/>
  <c r="AG24" i="19"/>
  <c r="AH24" i="19"/>
  <c r="AI24" i="19"/>
  <c r="AJ24" i="19"/>
  <c r="AK24" i="19"/>
  <c r="AL24" i="19"/>
  <c r="AM24" i="19"/>
  <c r="AN24" i="19"/>
  <c r="AO24" i="19"/>
  <c r="AP24" i="19"/>
  <c r="AQ24" i="19"/>
  <c r="AF24" i="19"/>
  <c r="AD24" i="19"/>
  <c r="AA24" i="19"/>
  <c r="X24" i="19"/>
  <c r="U24" i="19"/>
  <c r="R24" i="19"/>
  <c r="O24" i="19"/>
  <c r="L24" i="19"/>
  <c r="I24" i="19"/>
  <c r="F24" i="19"/>
  <c r="AC22" i="19"/>
  <c r="Z22" i="19"/>
  <c r="W22" i="19"/>
  <c r="T22" i="19"/>
  <c r="Q22" i="19"/>
  <c r="N22" i="19"/>
  <c r="K22" i="19"/>
  <c r="H22" i="19"/>
  <c r="E22" i="19"/>
  <c r="E17" i="19"/>
  <c r="AC16" i="19"/>
  <c r="Z16" i="19"/>
  <c r="W16" i="19"/>
  <c r="R16" i="19"/>
  <c r="L16" i="19"/>
  <c r="A16" i="19"/>
  <c r="E15" i="19"/>
  <c r="AC14" i="19"/>
  <c r="Z14" i="19"/>
  <c r="W14" i="19"/>
  <c r="R14" i="19"/>
  <c r="L14" i="19"/>
  <c r="A14" i="19"/>
  <c r="AC12" i="19"/>
  <c r="Z12" i="19"/>
  <c r="W12" i="19"/>
  <c r="R12" i="19"/>
  <c r="L12" i="19"/>
  <c r="A12" i="19"/>
  <c r="AC10" i="19"/>
  <c r="Z10" i="19"/>
  <c r="W10" i="19"/>
  <c r="R10" i="19"/>
  <c r="L10" i="19"/>
  <c r="A10" i="19"/>
  <c r="AX9" i="19"/>
  <c r="AY9" i="19"/>
  <c r="AX8" i="19"/>
  <c r="AY8" i="19"/>
  <c r="AC8" i="19"/>
  <c r="Z8" i="19"/>
  <c r="W8" i="19"/>
  <c r="R8" i="19"/>
  <c r="L8" i="19"/>
  <c r="A8" i="19"/>
  <c r="AX7" i="19"/>
  <c r="AY7" i="19"/>
  <c r="R7" i="19"/>
  <c r="L7" i="19"/>
  <c r="AX6" i="19"/>
  <c r="AY6" i="19"/>
  <c r="K6" i="19"/>
  <c r="AX5" i="19"/>
  <c r="AY5" i="19"/>
  <c r="AX4" i="19"/>
  <c r="AY4" i="19"/>
  <c r="AX3" i="19"/>
  <c r="AY3" i="19"/>
  <c r="A259" i="18"/>
  <c r="AE255" i="18"/>
  <c r="AE201" i="18"/>
  <c r="AE202" i="18"/>
  <c r="AE203" i="18"/>
  <c r="AE204" i="18"/>
  <c r="AE205" i="18"/>
  <c r="AE206" i="18"/>
  <c r="AC255" i="18"/>
  <c r="AC201" i="18"/>
  <c r="AC202" i="18"/>
  <c r="AC203" i="18"/>
  <c r="AC204" i="18"/>
  <c r="AC205" i="18"/>
  <c r="AC206" i="18"/>
  <c r="AE256" i="18"/>
  <c r="AE257" i="18"/>
  <c r="AC256" i="18"/>
  <c r="AC257" i="18"/>
  <c r="AB255" i="18"/>
  <c r="AB201" i="18"/>
  <c r="AB202" i="18"/>
  <c r="AB203" i="18"/>
  <c r="AB204" i="18"/>
  <c r="AB205" i="18"/>
  <c r="AB206" i="18"/>
  <c r="Z255" i="18"/>
  <c r="Z201" i="18"/>
  <c r="Z202" i="18"/>
  <c r="Z203" i="18"/>
  <c r="Z204" i="18"/>
  <c r="Z205" i="18"/>
  <c r="Z206" i="18"/>
  <c r="AB256" i="18"/>
  <c r="AB257" i="18"/>
  <c r="Z256" i="18"/>
  <c r="Z257" i="18"/>
  <c r="Y255" i="18"/>
  <c r="Y201" i="18"/>
  <c r="Y202" i="18"/>
  <c r="Y203" i="18"/>
  <c r="Y204" i="18"/>
  <c r="Y205" i="18"/>
  <c r="Y206" i="18"/>
  <c r="W255" i="18"/>
  <c r="W201" i="18"/>
  <c r="W202" i="18"/>
  <c r="W203" i="18"/>
  <c r="W204" i="18"/>
  <c r="W205" i="18"/>
  <c r="W206" i="18"/>
  <c r="Y256" i="18"/>
  <c r="Y257" i="18"/>
  <c r="W256" i="18"/>
  <c r="W257" i="18"/>
  <c r="V255" i="18"/>
  <c r="V201" i="18"/>
  <c r="V202" i="18"/>
  <c r="V203" i="18"/>
  <c r="V204" i="18"/>
  <c r="V205" i="18"/>
  <c r="V206" i="18"/>
  <c r="T255" i="18"/>
  <c r="T201" i="18"/>
  <c r="T202" i="18"/>
  <c r="T203" i="18"/>
  <c r="T204" i="18"/>
  <c r="T205" i="18"/>
  <c r="T206" i="18"/>
  <c r="V256" i="18"/>
  <c r="V257" i="18"/>
  <c r="T256" i="18"/>
  <c r="T257" i="18"/>
  <c r="N243" i="18"/>
  <c r="P243" i="18"/>
  <c r="K243" i="18"/>
  <c r="M243" i="18"/>
  <c r="H243" i="18"/>
  <c r="H201" i="18"/>
  <c r="H202" i="18"/>
  <c r="H203" i="18"/>
  <c r="H204" i="18"/>
  <c r="H205" i="18"/>
  <c r="H234" i="18"/>
  <c r="J234" i="18"/>
  <c r="H235" i="18"/>
  <c r="J201" i="18"/>
  <c r="J202" i="18"/>
  <c r="J203" i="18"/>
  <c r="J204" i="18"/>
  <c r="J205" i="18"/>
  <c r="J235" i="18"/>
  <c r="H236" i="18"/>
  <c r="J236" i="18"/>
  <c r="H237" i="18"/>
  <c r="J237" i="18"/>
  <c r="H238" i="18"/>
  <c r="J238" i="18"/>
  <c r="I241" i="18"/>
  <c r="J243" i="18"/>
  <c r="E234" i="18"/>
  <c r="G234" i="18"/>
  <c r="E201" i="18"/>
  <c r="E202" i="18"/>
  <c r="E203" i="18"/>
  <c r="E204" i="18"/>
  <c r="E205" i="18"/>
  <c r="E235" i="18"/>
  <c r="G235" i="18"/>
  <c r="E236" i="18"/>
  <c r="G201" i="18"/>
  <c r="G202" i="18"/>
  <c r="G203" i="18"/>
  <c r="G204" i="18"/>
  <c r="G205" i="18"/>
  <c r="G236" i="18"/>
  <c r="E237" i="18"/>
  <c r="G237" i="18"/>
  <c r="E238" i="18"/>
  <c r="G238" i="18"/>
  <c r="F241" i="18"/>
  <c r="E243" i="18"/>
  <c r="B243" i="18"/>
  <c r="D243" i="18"/>
  <c r="E180" i="18"/>
  <c r="B250" i="18"/>
  <c r="AW5" i="18"/>
  <c r="C250" i="18"/>
  <c r="D250" i="18"/>
  <c r="E255" i="18"/>
  <c r="E206" i="18"/>
  <c r="B244" i="18"/>
  <c r="B201" i="18"/>
  <c r="B202" i="18"/>
  <c r="B203" i="18"/>
  <c r="B204" i="18"/>
  <c r="B205" i="18"/>
  <c r="B234" i="18"/>
  <c r="D234" i="18"/>
  <c r="B235" i="18"/>
  <c r="D235" i="18"/>
  <c r="B236" i="18"/>
  <c r="D201" i="18"/>
  <c r="D202" i="18"/>
  <c r="D203" i="18"/>
  <c r="D204" i="18"/>
  <c r="D205" i="18"/>
  <c r="D236" i="18"/>
  <c r="B237" i="18"/>
  <c r="D237" i="18"/>
  <c r="B238" i="18"/>
  <c r="D238" i="18"/>
  <c r="C241" i="18"/>
  <c r="D244" i="18"/>
  <c r="E182" i="18"/>
  <c r="B251" i="18"/>
  <c r="AW9" i="18"/>
  <c r="C251" i="18"/>
  <c r="D255" i="18"/>
  <c r="D206" i="18"/>
  <c r="E178" i="18"/>
  <c r="B249" i="18"/>
  <c r="AW3" i="18"/>
  <c r="C249" i="18"/>
  <c r="B255" i="18"/>
  <c r="B206" i="18"/>
  <c r="D256" i="18"/>
  <c r="D257" i="18"/>
  <c r="D251" i="18"/>
  <c r="G255" i="18"/>
  <c r="G206" i="18"/>
  <c r="E256" i="18"/>
  <c r="E257" i="18"/>
  <c r="G250" i="18"/>
  <c r="J255" i="18"/>
  <c r="J206" i="18"/>
  <c r="E242" i="18"/>
  <c r="G242" i="18"/>
  <c r="B242" i="18"/>
  <c r="B256" i="18"/>
  <c r="B257" i="18"/>
  <c r="D249" i="18"/>
  <c r="G249" i="18"/>
  <c r="H255" i="18"/>
  <c r="H206" i="18"/>
  <c r="J256" i="18"/>
  <c r="J257" i="18"/>
  <c r="J250" i="18"/>
  <c r="M250" i="18"/>
  <c r="P250" i="18"/>
  <c r="S255" i="18"/>
  <c r="S201" i="18"/>
  <c r="S202" i="18"/>
  <c r="S203" i="18"/>
  <c r="S204" i="18"/>
  <c r="S205" i="18"/>
  <c r="S206" i="18"/>
  <c r="N242" i="18"/>
  <c r="P242" i="18"/>
  <c r="K201" i="18"/>
  <c r="K202" i="18"/>
  <c r="K203" i="18"/>
  <c r="K204" i="18"/>
  <c r="K205" i="18"/>
  <c r="K234" i="18"/>
  <c r="M234" i="18"/>
  <c r="K235" i="18"/>
  <c r="M235" i="18"/>
  <c r="K236" i="18"/>
  <c r="M201" i="18"/>
  <c r="M202" i="18"/>
  <c r="M203" i="18"/>
  <c r="M204" i="18"/>
  <c r="M205" i="18"/>
  <c r="M236" i="18"/>
  <c r="K237" i="18"/>
  <c r="M237" i="18"/>
  <c r="K238" i="18"/>
  <c r="M238" i="18"/>
  <c r="L241" i="18"/>
  <c r="K242" i="18"/>
  <c r="M242" i="18"/>
  <c r="H242" i="18"/>
  <c r="H256" i="18"/>
  <c r="H257" i="18"/>
  <c r="J249" i="18"/>
  <c r="M249" i="18"/>
  <c r="P249" i="18"/>
  <c r="Q255" i="18"/>
  <c r="Q201" i="18"/>
  <c r="Q202" i="18"/>
  <c r="Q203" i="18"/>
  <c r="Q204" i="18"/>
  <c r="Q205" i="18"/>
  <c r="Q206" i="18"/>
  <c r="S256" i="18"/>
  <c r="S257" i="18"/>
  <c r="Q256" i="18"/>
  <c r="Q257" i="18"/>
  <c r="K245" i="18"/>
  <c r="M245" i="18"/>
  <c r="H245" i="18"/>
  <c r="J245" i="18"/>
  <c r="E245" i="18"/>
  <c r="G245" i="18"/>
  <c r="B245" i="18"/>
  <c r="D245" i="18"/>
  <c r="E184" i="18"/>
  <c r="B252" i="18"/>
  <c r="C252" i="18"/>
  <c r="D252" i="18"/>
  <c r="G252" i="18"/>
  <c r="J252" i="18"/>
  <c r="M252" i="18"/>
  <c r="P255" i="18"/>
  <c r="P201" i="18"/>
  <c r="P202" i="18"/>
  <c r="P203" i="18"/>
  <c r="P204" i="18"/>
  <c r="P205" i="18"/>
  <c r="P206" i="18"/>
  <c r="K244" i="18"/>
  <c r="M244" i="18"/>
  <c r="H244" i="18"/>
  <c r="J244" i="18"/>
  <c r="E244" i="18"/>
  <c r="G244" i="18"/>
  <c r="G256" i="18"/>
  <c r="G257" i="18"/>
  <c r="G251" i="18"/>
  <c r="J251" i="18"/>
  <c r="M251" i="18"/>
  <c r="N255" i="18"/>
  <c r="N201" i="18"/>
  <c r="N202" i="18"/>
  <c r="N203" i="18"/>
  <c r="N204" i="18"/>
  <c r="N205" i="18"/>
  <c r="N206" i="18"/>
  <c r="P256" i="18"/>
  <c r="P257" i="18"/>
  <c r="N256" i="18"/>
  <c r="N257" i="18"/>
  <c r="M255" i="18"/>
  <c r="M206" i="18"/>
  <c r="K255" i="18"/>
  <c r="K206" i="18"/>
  <c r="M256" i="18"/>
  <c r="M257" i="18"/>
  <c r="K256" i="18"/>
  <c r="K257" i="18"/>
  <c r="AC246" i="18"/>
  <c r="AE246" i="18"/>
  <c r="Z246" i="18"/>
  <c r="AB246" i="18"/>
  <c r="W246" i="18"/>
  <c r="Y246" i="18"/>
  <c r="T246" i="18"/>
  <c r="V246" i="18"/>
  <c r="Q246" i="18"/>
  <c r="S246" i="18"/>
  <c r="N246" i="18"/>
  <c r="P246" i="18"/>
  <c r="K246" i="18"/>
  <c r="M246" i="18"/>
  <c r="H246" i="18"/>
  <c r="J246" i="18"/>
  <c r="E246" i="18"/>
  <c r="G246" i="18"/>
  <c r="B246" i="18"/>
  <c r="D246" i="18"/>
  <c r="E186" i="18"/>
  <c r="B253" i="18"/>
  <c r="C253" i="18"/>
  <c r="D253" i="18"/>
  <c r="G253" i="18"/>
  <c r="J253" i="18"/>
  <c r="M253" i="18"/>
  <c r="P253" i="18"/>
  <c r="S253" i="18"/>
  <c r="V253" i="18"/>
  <c r="Y253" i="18"/>
  <c r="AB253" i="18"/>
  <c r="AE253" i="18"/>
  <c r="AU253" i="18"/>
  <c r="AT253" i="18"/>
  <c r="AC245" i="18"/>
  <c r="AE245" i="18"/>
  <c r="Z245" i="18"/>
  <c r="AB245" i="18"/>
  <c r="W245" i="18"/>
  <c r="Y245" i="18"/>
  <c r="T245" i="18"/>
  <c r="V245" i="18"/>
  <c r="Q245" i="18"/>
  <c r="S245" i="18"/>
  <c r="N245" i="18"/>
  <c r="N234" i="18"/>
  <c r="P234" i="18"/>
  <c r="N235" i="18"/>
  <c r="P235" i="18"/>
  <c r="N236" i="18"/>
  <c r="P236" i="18"/>
  <c r="N237" i="18"/>
  <c r="P237" i="18"/>
  <c r="N238" i="18"/>
  <c r="P238" i="18"/>
  <c r="O241" i="18"/>
  <c r="P245" i="18"/>
  <c r="P252" i="18"/>
  <c r="S252" i="18"/>
  <c r="V252" i="18"/>
  <c r="Y252" i="18"/>
  <c r="AB252" i="18"/>
  <c r="AE252" i="18"/>
  <c r="AU252" i="18"/>
  <c r="AT252" i="18"/>
  <c r="AC244" i="18"/>
  <c r="AE244" i="18"/>
  <c r="Z244" i="18"/>
  <c r="AB244" i="18"/>
  <c r="W244" i="18"/>
  <c r="Y244" i="18"/>
  <c r="T244" i="18"/>
  <c r="V244" i="18"/>
  <c r="Q244" i="18"/>
  <c r="S244" i="18"/>
  <c r="N244" i="18"/>
  <c r="P244" i="18"/>
  <c r="P251" i="18"/>
  <c r="S251" i="18"/>
  <c r="V251" i="18"/>
  <c r="Y251" i="18"/>
  <c r="AB251" i="18"/>
  <c r="AE251" i="18"/>
  <c r="AU251" i="18"/>
  <c r="AT251" i="18"/>
  <c r="AC243" i="18"/>
  <c r="AE243" i="18"/>
  <c r="Z243" i="18"/>
  <c r="AB243" i="18"/>
  <c r="W243" i="18"/>
  <c r="Y243" i="18"/>
  <c r="T243" i="18"/>
  <c r="V243" i="18"/>
  <c r="Q243" i="18"/>
  <c r="Q234" i="18"/>
  <c r="S234" i="18"/>
  <c r="Q235" i="18"/>
  <c r="S235" i="18"/>
  <c r="Q236" i="18"/>
  <c r="S236" i="18"/>
  <c r="Q237" i="18"/>
  <c r="S237" i="18"/>
  <c r="Q238" i="18"/>
  <c r="S238" i="18"/>
  <c r="R241" i="18"/>
  <c r="S243" i="18"/>
  <c r="S250" i="18"/>
  <c r="V250" i="18"/>
  <c r="Y250" i="18"/>
  <c r="AB250" i="18"/>
  <c r="AE250" i="18"/>
  <c r="AU250" i="18"/>
  <c r="AT250" i="18"/>
  <c r="AC242" i="18"/>
  <c r="AE242" i="18"/>
  <c r="Z242" i="18"/>
  <c r="AB242" i="18"/>
  <c r="W242" i="18"/>
  <c r="Y242" i="18"/>
  <c r="T242" i="18"/>
  <c r="V242" i="18"/>
  <c r="Q242" i="18"/>
  <c r="S242" i="18"/>
  <c r="S249" i="18"/>
  <c r="V249" i="18"/>
  <c r="Y249" i="18"/>
  <c r="AB249" i="18"/>
  <c r="AE249" i="18"/>
  <c r="AU249" i="18"/>
  <c r="AT249" i="18"/>
  <c r="AF246" i="18"/>
  <c r="AF245" i="18"/>
  <c r="AF244" i="18"/>
  <c r="G243" i="18"/>
  <c r="AF243" i="18"/>
  <c r="D242" i="18"/>
  <c r="J242" i="18"/>
  <c r="AF242" i="18"/>
  <c r="AC234" i="18"/>
  <c r="AE234" i="18"/>
  <c r="AC235" i="18"/>
  <c r="AE235" i="18"/>
  <c r="AC236" i="18"/>
  <c r="AE236" i="18"/>
  <c r="AC237" i="18"/>
  <c r="AE237" i="18"/>
  <c r="AC238" i="18"/>
  <c r="AE238" i="18"/>
  <c r="AD241" i="18"/>
  <c r="Z234" i="18"/>
  <c r="AB234" i="18"/>
  <c r="Z235" i="18"/>
  <c r="AB235" i="18"/>
  <c r="Z236" i="18"/>
  <c r="AB236" i="18"/>
  <c r="Z237" i="18"/>
  <c r="AB237" i="18"/>
  <c r="Z238" i="18"/>
  <c r="AB238" i="18"/>
  <c r="AA241" i="18"/>
  <c r="W234" i="18"/>
  <c r="Y234" i="18"/>
  <c r="W235" i="18"/>
  <c r="Y235" i="18"/>
  <c r="W236" i="18"/>
  <c r="Y236" i="18"/>
  <c r="W237" i="18"/>
  <c r="Y237" i="18"/>
  <c r="W238" i="18"/>
  <c r="Y238" i="18"/>
  <c r="X241" i="18"/>
  <c r="T234" i="18"/>
  <c r="V234" i="18"/>
  <c r="T235" i="18"/>
  <c r="V235" i="18"/>
  <c r="T236" i="18"/>
  <c r="V236" i="18"/>
  <c r="T237" i="18"/>
  <c r="V237" i="18"/>
  <c r="T238" i="18"/>
  <c r="V238" i="18"/>
  <c r="U241" i="18"/>
  <c r="AF238" i="18"/>
  <c r="AG238" i="18"/>
  <c r="AF237" i="18"/>
  <c r="AG237" i="18"/>
  <c r="AF236" i="18"/>
  <c r="AG236" i="18"/>
  <c r="AF235" i="18"/>
  <c r="AG235" i="18"/>
  <c r="AF234" i="18"/>
  <c r="AG234" i="18"/>
  <c r="B232" i="18"/>
  <c r="D232" i="18"/>
  <c r="E232" i="18"/>
  <c r="G232" i="18"/>
  <c r="H232" i="18"/>
  <c r="J232" i="18"/>
  <c r="K232" i="18"/>
  <c r="M232" i="18"/>
  <c r="N232" i="18"/>
  <c r="P232" i="18"/>
  <c r="Q232" i="18"/>
  <c r="S232" i="18"/>
  <c r="T232" i="18"/>
  <c r="V232" i="18"/>
  <c r="W232" i="18"/>
  <c r="Y232" i="18"/>
  <c r="Z232" i="18"/>
  <c r="AB232" i="18"/>
  <c r="AC232" i="18"/>
  <c r="AE232" i="18"/>
  <c r="AF232" i="18"/>
  <c r="B231" i="18"/>
  <c r="D231" i="18"/>
  <c r="E231" i="18"/>
  <c r="G231" i="18"/>
  <c r="H231" i="18"/>
  <c r="J231" i="18"/>
  <c r="K231" i="18"/>
  <c r="M231" i="18"/>
  <c r="N231" i="18"/>
  <c r="N209" i="18"/>
  <c r="P209" i="18"/>
  <c r="N210" i="18"/>
  <c r="P210" i="18"/>
  <c r="N211" i="18"/>
  <c r="P211" i="18"/>
  <c r="N212" i="18"/>
  <c r="P212" i="18"/>
  <c r="N213" i="18"/>
  <c r="P213" i="18"/>
  <c r="N214" i="18"/>
  <c r="P231" i="18"/>
  <c r="Q231" i="18"/>
  <c r="S231" i="18"/>
  <c r="T231" i="18"/>
  <c r="V231" i="18"/>
  <c r="W231" i="18"/>
  <c r="Y231" i="18"/>
  <c r="Z231" i="18"/>
  <c r="AB231" i="18"/>
  <c r="AC231" i="18"/>
  <c r="AE231" i="18"/>
  <c r="AF231" i="18"/>
  <c r="B230" i="18"/>
  <c r="B209" i="18"/>
  <c r="D209" i="18"/>
  <c r="B210" i="18"/>
  <c r="D210" i="18"/>
  <c r="B211" i="18"/>
  <c r="D211" i="18"/>
  <c r="B212" i="18"/>
  <c r="D212" i="18"/>
  <c r="B213" i="18"/>
  <c r="D213" i="18"/>
  <c r="B214" i="18"/>
  <c r="D230" i="18"/>
  <c r="E230" i="18"/>
  <c r="E209" i="18"/>
  <c r="G209" i="18"/>
  <c r="E210" i="18"/>
  <c r="G210" i="18"/>
  <c r="E211" i="18"/>
  <c r="G211" i="18"/>
  <c r="E212" i="18"/>
  <c r="G212" i="18"/>
  <c r="E213" i="18"/>
  <c r="G213" i="18"/>
  <c r="E214" i="18"/>
  <c r="G230" i="18"/>
  <c r="H230" i="18"/>
  <c r="J230" i="18"/>
  <c r="K230" i="18"/>
  <c r="K209" i="18"/>
  <c r="M209" i="18"/>
  <c r="K210" i="18"/>
  <c r="M210" i="18"/>
  <c r="K211" i="18"/>
  <c r="M211" i="18"/>
  <c r="K212" i="18"/>
  <c r="M212" i="18"/>
  <c r="K213" i="18"/>
  <c r="M213" i="18"/>
  <c r="K214" i="18"/>
  <c r="M230" i="18"/>
  <c r="N230" i="18"/>
  <c r="P230" i="18"/>
  <c r="Q230" i="18"/>
  <c r="S230" i="18"/>
  <c r="T230" i="18"/>
  <c r="V230" i="18"/>
  <c r="W230" i="18"/>
  <c r="Y230" i="18"/>
  <c r="Z230" i="18"/>
  <c r="AB230" i="18"/>
  <c r="AC230" i="18"/>
  <c r="AE230" i="18"/>
  <c r="AF230" i="18"/>
  <c r="B229" i="18"/>
  <c r="D229" i="18"/>
  <c r="E229" i="18"/>
  <c r="G229" i="18"/>
  <c r="H229" i="18"/>
  <c r="H209" i="18"/>
  <c r="J209" i="18"/>
  <c r="H210" i="18"/>
  <c r="J210" i="18"/>
  <c r="H211" i="18"/>
  <c r="J211" i="18"/>
  <c r="H212" i="18"/>
  <c r="J212" i="18"/>
  <c r="H213" i="18"/>
  <c r="J213" i="18"/>
  <c r="H214" i="18"/>
  <c r="J229" i="18"/>
  <c r="K229" i="18"/>
  <c r="M229" i="18"/>
  <c r="N229" i="18"/>
  <c r="P229" i="18"/>
  <c r="Q229" i="18"/>
  <c r="Q209" i="18"/>
  <c r="S209" i="18"/>
  <c r="Q210" i="18"/>
  <c r="S210" i="18"/>
  <c r="Q211" i="18"/>
  <c r="S211" i="18"/>
  <c r="Q212" i="18"/>
  <c r="S212" i="18"/>
  <c r="Q213" i="18"/>
  <c r="S213" i="18"/>
  <c r="Q214" i="18"/>
  <c r="S229" i="18"/>
  <c r="T229" i="18"/>
  <c r="V229" i="18"/>
  <c r="W229" i="18"/>
  <c r="Y229" i="18"/>
  <c r="Z229" i="18"/>
  <c r="AB229" i="18"/>
  <c r="AC229" i="18"/>
  <c r="AE229" i="18"/>
  <c r="AF229" i="18"/>
  <c r="B228" i="18"/>
  <c r="D228" i="18"/>
  <c r="E228" i="18"/>
  <c r="G228" i="18"/>
  <c r="H228" i="18"/>
  <c r="J228" i="18"/>
  <c r="K228" i="18"/>
  <c r="M228" i="18"/>
  <c r="N228" i="18"/>
  <c r="P228" i="18"/>
  <c r="Q228" i="18"/>
  <c r="S228" i="18"/>
  <c r="T228" i="18"/>
  <c r="V228" i="18"/>
  <c r="W228" i="18"/>
  <c r="Y228" i="18"/>
  <c r="Z228" i="18"/>
  <c r="AB228" i="18"/>
  <c r="AC228" i="18"/>
  <c r="AE228" i="18"/>
  <c r="AF228" i="18"/>
  <c r="B226" i="18"/>
  <c r="D226" i="18"/>
  <c r="E226" i="18"/>
  <c r="G226" i="18"/>
  <c r="H226" i="18"/>
  <c r="J226" i="18"/>
  <c r="K226" i="18"/>
  <c r="M226" i="18"/>
  <c r="N226" i="18"/>
  <c r="P226" i="18"/>
  <c r="Q226" i="18"/>
  <c r="S226" i="18"/>
  <c r="T226" i="18"/>
  <c r="V226" i="18"/>
  <c r="W226" i="18"/>
  <c r="Y226" i="18"/>
  <c r="Z226" i="18"/>
  <c r="AB226" i="18"/>
  <c r="AC226" i="18"/>
  <c r="AE226" i="18"/>
  <c r="AF226" i="18"/>
  <c r="B225" i="18"/>
  <c r="D225" i="18"/>
  <c r="E225" i="18"/>
  <c r="G225" i="18"/>
  <c r="H225" i="18"/>
  <c r="J225" i="18"/>
  <c r="K225" i="18"/>
  <c r="M225" i="18"/>
  <c r="N225" i="18"/>
  <c r="N207" i="18"/>
  <c r="P207" i="18"/>
  <c r="O207" i="18"/>
  <c r="P225" i="18"/>
  <c r="Q225" i="18"/>
  <c r="S225" i="18"/>
  <c r="T225" i="18"/>
  <c r="V225" i="18"/>
  <c r="W225" i="18"/>
  <c r="Y225" i="18"/>
  <c r="Z225" i="18"/>
  <c r="AB225" i="18"/>
  <c r="AC225" i="18"/>
  <c r="AE225" i="18"/>
  <c r="AF225" i="18"/>
  <c r="B224" i="18"/>
  <c r="B207" i="18"/>
  <c r="D207" i="18"/>
  <c r="C207" i="18"/>
  <c r="D224" i="18"/>
  <c r="E224" i="18"/>
  <c r="E207" i="18"/>
  <c r="G207" i="18"/>
  <c r="F207" i="18"/>
  <c r="G224" i="18"/>
  <c r="H224" i="18"/>
  <c r="J224" i="18"/>
  <c r="K224" i="18"/>
  <c r="K207" i="18"/>
  <c r="M207" i="18"/>
  <c r="L207" i="18"/>
  <c r="M224" i="18"/>
  <c r="N224" i="18"/>
  <c r="P224" i="18"/>
  <c r="Q224" i="18"/>
  <c r="S224" i="18"/>
  <c r="T224" i="18"/>
  <c r="V224" i="18"/>
  <c r="W224" i="18"/>
  <c r="Y224" i="18"/>
  <c r="Z224" i="18"/>
  <c r="AB224" i="18"/>
  <c r="AC224" i="18"/>
  <c r="AE224" i="18"/>
  <c r="AF224" i="18"/>
  <c r="B223" i="18"/>
  <c r="D223" i="18"/>
  <c r="E223" i="18"/>
  <c r="G223" i="18"/>
  <c r="H223" i="18"/>
  <c r="H207" i="18"/>
  <c r="J207" i="18"/>
  <c r="I207" i="18"/>
  <c r="J223" i="18"/>
  <c r="K223" i="18"/>
  <c r="M223" i="18"/>
  <c r="N223" i="18"/>
  <c r="P223" i="18"/>
  <c r="Q223" i="18"/>
  <c r="Q207" i="18"/>
  <c r="S207" i="18"/>
  <c r="R207" i="18"/>
  <c r="S223" i="18"/>
  <c r="T223" i="18"/>
  <c r="V223" i="18"/>
  <c r="W223" i="18"/>
  <c r="Y223" i="18"/>
  <c r="Z223" i="18"/>
  <c r="AB223" i="18"/>
  <c r="AC223" i="18"/>
  <c r="AE223" i="18"/>
  <c r="AF223" i="18"/>
  <c r="B222" i="18"/>
  <c r="D222" i="18"/>
  <c r="E222" i="18"/>
  <c r="G222" i="18"/>
  <c r="H222" i="18"/>
  <c r="J222" i="18"/>
  <c r="K222" i="18"/>
  <c r="M222" i="18"/>
  <c r="N222" i="18"/>
  <c r="P222" i="18"/>
  <c r="Q222" i="18"/>
  <c r="S222" i="18"/>
  <c r="T222" i="18"/>
  <c r="V222" i="18"/>
  <c r="W222" i="18"/>
  <c r="Y222" i="18"/>
  <c r="Z222" i="18"/>
  <c r="AB222" i="18"/>
  <c r="AC222" i="18"/>
  <c r="AE222" i="18"/>
  <c r="AF222" i="18"/>
  <c r="B220" i="18"/>
  <c r="D220" i="18"/>
  <c r="E220" i="18"/>
  <c r="G220" i="18"/>
  <c r="H220" i="18"/>
  <c r="J220" i="18"/>
  <c r="K220" i="18"/>
  <c r="M220" i="18"/>
  <c r="N220" i="18"/>
  <c r="P220" i="18"/>
  <c r="Q220" i="18"/>
  <c r="S220" i="18"/>
  <c r="T220" i="18"/>
  <c r="V220" i="18"/>
  <c r="W220" i="18"/>
  <c r="Y220" i="18"/>
  <c r="Z220" i="18"/>
  <c r="AB220" i="18"/>
  <c r="AC220" i="18"/>
  <c r="AE220" i="18"/>
  <c r="AF220" i="18"/>
  <c r="AG220" i="18"/>
  <c r="B219" i="18"/>
  <c r="D219" i="18"/>
  <c r="E219" i="18"/>
  <c r="G219" i="18"/>
  <c r="H219" i="18"/>
  <c r="J219" i="18"/>
  <c r="K219" i="18"/>
  <c r="M219" i="18"/>
  <c r="N219" i="18"/>
  <c r="P219" i="18"/>
  <c r="Q219" i="18"/>
  <c r="S219" i="18"/>
  <c r="T219" i="18"/>
  <c r="V219" i="18"/>
  <c r="W219" i="18"/>
  <c r="Y219" i="18"/>
  <c r="Z219" i="18"/>
  <c r="AB219" i="18"/>
  <c r="AC219" i="18"/>
  <c r="AE219" i="18"/>
  <c r="AF219" i="18"/>
  <c r="AG219" i="18"/>
  <c r="B218" i="18"/>
  <c r="D218" i="18"/>
  <c r="E218" i="18"/>
  <c r="G218" i="18"/>
  <c r="H218" i="18"/>
  <c r="J218" i="18"/>
  <c r="K218" i="18"/>
  <c r="M218" i="18"/>
  <c r="N218" i="18"/>
  <c r="P218" i="18"/>
  <c r="Q218" i="18"/>
  <c r="S218" i="18"/>
  <c r="T218" i="18"/>
  <c r="V218" i="18"/>
  <c r="W218" i="18"/>
  <c r="Y218" i="18"/>
  <c r="Z218" i="18"/>
  <c r="AB218" i="18"/>
  <c r="AC218" i="18"/>
  <c r="AE218" i="18"/>
  <c r="AF218" i="18"/>
  <c r="AG218" i="18"/>
  <c r="B217" i="18"/>
  <c r="D217" i="18"/>
  <c r="E217" i="18"/>
  <c r="G217" i="18"/>
  <c r="H217" i="18"/>
  <c r="J217" i="18"/>
  <c r="K217" i="18"/>
  <c r="M217" i="18"/>
  <c r="N217" i="18"/>
  <c r="P217" i="18"/>
  <c r="Q217" i="18"/>
  <c r="S217" i="18"/>
  <c r="T217" i="18"/>
  <c r="V217" i="18"/>
  <c r="W217" i="18"/>
  <c r="Y217" i="18"/>
  <c r="Z217" i="18"/>
  <c r="AB217" i="18"/>
  <c r="AC217" i="18"/>
  <c r="AE217" i="18"/>
  <c r="AF217" i="18"/>
  <c r="AG217" i="18"/>
  <c r="B216" i="18"/>
  <c r="D216" i="18"/>
  <c r="E216" i="18"/>
  <c r="G216" i="18"/>
  <c r="H216" i="18"/>
  <c r="J216" i="18"/>
  <c r="K216" i="18"/>
  <c r="M216" i="18"/>
  <c r="N216" i="18"/>
  <c r="P216" i="18"/>
  <c r="Q216" i="18"/>
  <c r="S216" i="18"/>
  <c r="T216" i="18"/>
  <c r="V216" i="18"/>
  <c r="W216" i="18"/>
  <c r="Y216" i="18"/>
  <c r="Z216" i="18"/>
  <c r="AB216" i="18"/>
  <c r="AC216" i="18"/>
  <c r="AE216" i="18"/>
  <c r="AF216" i="18"/>
  <c r="AG216" i="18"/>
  <c r="AC209" i="18"/>
  <c r="AE209" i="18"/>
  <c r="AC210" i="18"/>
  <c r="AE210" i="18"/>
  <c r="AC211" i="18"/>
  <c r="AE211" i="18"/>
  <c r="AC212" i="18"/>
  <c r="AE212" i="18"/>
  <c r="AC213" i="18"/>
  <c r="AE213" i="18"/>
  <c r="AC214" i="18"/>
  <c r="Z209" i="18"/>
  <c r="AB209" i="18"/>
  <c r="Z210" i="18"/>
  <c r="AB210" i="18"/>
  <c r="Z211" i="18"/>
  <c r="AB211" i="18"/>
  <c r="Z212" i="18"/>
  <c r="AB212" i="18"/>
  <c r="Z213" i="18"/>
  <c r="AB213" i="18"/>
  <c r="Z214" i="18"/>
  <c r="W209" i="18"/>
  <c r="Y209" i="18"/>
  <c r="W210" i="18"/>
  <c r="Y210" i="18"/>
  <c r="W211" i="18"/>
  <c r="Y211" i="18"/>
  <c r="W212" i="18"/>
  <c r="Y212" i="18"/>
  <c r="W213" i="18"/>
  <c r="Y213" i="18"/>
  <c r="W214" i="18"/>
  <c r="T209" i="18"/>
  <c r="V209" i="18"/>
  <c r="T210" i="18"/>
  <c r="V210" i="18"/>
  <c r="T211" i="18"/>
  <c r="V211" i="18"/>
  <c r="T212" i="18"/>
  <c r="V212" i="18"/>
  <c r="T213" i="18"/>
  <c r="V213" i="18"/>
  <c r="T214" i="18"/>
  <c r="AE207" i="18"/>
  <c r="AC207" i="18"/>
  <c r="AD207" i="18"/>
  <c r="AB207" i="18"/>
  <c r="Z207" i="18"/>
  <c r="AA207" i="18"/>
  <c r="Y207" i="18"/>
  <c r="W207" i="18"/>
  <c r="X207" i="18"/>
  <c r="V207" i="18"/>
  <c r="T207" i="18"/>
  <c r="U207" i="18"/>
  <c r="AE200" i="18"/>
  <c r="AC200" i="18"/>
  <c r="AB200" i="18"/>
  <c r="Z200" i="18"/>
  <c r="Y200" i="18"/>
  <c r="W200" i="18"/>
  <c r="V200" i="18"/>
  <c r="T200" i="18"/>
  <c r="S200" i="18"/>
  <c r="Q200" i="18"/>
  <c r="P200" i="18"/>
  <c r="N200" i="18"/>
  <c r="M200" i="18"/>
  <c r="K200" i="18"/>
  <c r="J200" i="18"/>
  <c r="H200" i="18"/>
  <c r="G200" i="18"/>
  <c r="E200" i="18"/>
  <c r="D200" i="18"/>
  <c r="B200" i="18"/>
  <c r="AD199" i="18"/>
  <c r="AA199" i="18"/>
  <c r="X199" i="18"/>
  <c r="U199" i="18"/>
  <c r="R199" i="18"/>
  <c r="O199" i="18"/>
  <c r="L199" i="18"/>
  <c r="I199" i="18"/>
  <c r="F199" i="18"/>
  <c r="A199" i="18"/>
  <c r="AG198" i="18"/>
  <c r="AH198" i="18"/>
  <c r="AI198" i="18"/>
  <c r="AJ198" i="18"/>
  <c r="AK198" i="18"/>
  <c r="AL198" i="18"/>
  <c r="AM198" i="18"/>
  <c r="AN198" i="18"/>
  <c r="AO198" i="18"/>
  <c r="AP198" i="18"/>
  <c r="AQ198" i="18"/>
  <c r="AF198" i="18"/>
  <c r="AD198" i="18"/>
  <c r="AA198" i="18"/>
  <c r="X198" i="18"/>
  <c r="U198" i="18"/>
  <c r="R198" i="18"/>
  <c r="O198" i="18"/>
  <c r="L198" i="18"/>
  <c r="I198" i="18"/>
  <c r="F198" i="18"/>
  <c r="A198" i="18"/>
  <c r="AG197" i="18"/>
  <c r="AH197" i="18"/>
  <c r="AI197" i="18"/>
  <c r="AJ197" i="18"/>
  <c r="AK197" i="18"/>
  <c r="AL197" i="18"/>
  <c r="AM197" i="18"/>
  <c r="AN197" i="18"/>
  <c r="AO197" i="18"/>
  <c r="AP197" i="18"/>
  <c r="AQ197" i="18"/>
  <c r="AF197" i="18"/>
  <c r="AD197" i="18"/>
  <c r="AA197" i="18"/>
  <c r="X197" i="18"/>
  <c r="U197" i="18"/>
  <c r="R197" i="18"/>
  <c r="O197" i="18"/>
  <c r="L197" i="18"/>
  <c r="I197" i="18"/>
  <c r="F197" i="18"/>
  <c r="A197" i="18"/>
  <c r="AG196" i="18"/>
  <c r="AH196" i="18"/>
  <c r="AI196" i="18"/>
  <c r="AJ196" i="18"/>
  <c r="AK196" i="18"/>
  <c r="AL196" i="18"/>
  <c r="AM196" i="18"/>
  <c r="AN196" i="18"/>
  <c r="AO196" i="18"/>
  <c r="AP196" i="18"/>
  <c r="AQ196" i="18"/>
  <c r="AF196" i="18"/>
  <c r="AD196" i="18"/>
  <c r="AA196" i="18"/>
  <c r="X196" i="18"/>
  <c r="U196" i="18"/>
  <c r="R196" i="18"/>
  <c r="O196" i="18"/>
  <c r="L196" i="18"/>
  <c r="I196" i="18"/>
  <c r="F196" i="18"/>
  <c r="A196" i="18"/>
  <c r="AG195" i="18"/>
  <c r="AH195" i="18"/>
  <c r="AI195" i="18"/>
  <c r="AJ195" i="18"/>
  <c r="AK195" i="18"/>
  <c r="AL195" i="18"/>
  <c r="AM195" i="18"/>
  <c r="AN195" i="18"/>
  <c r="AO195" i="18"/>
  <c r="AP195" i="18"/>
  <c r="AQ195" i="18"/>
  <c r="AF195" i="18"/>
  <c r="AD195" i="18"/>
  <c r="AA195" i="18"/>
  <c r="X195" i="18"/>
  <c r="U195" i="18"/>
  <c r="R195" i="18"/>
  <c r="O195" i="18"/>
  <c r="L195" i="18"/>
  <c r="I195" i="18"/>
  <c r="F195" i="18"/>
  <c r="AG194" i="18"/>
  <c r="AH194" i="18"/>
  <c r="AI194" i="18"/>
  <c r="AJ194" i="18"/>
  <c r="AK194" i="18"/>
  <c r="AL194" i="18"/>
  <c r="AM194" i="18"/>
  <c r="AN194" i="18"/>
  <c r="AO194" i="18"/>
  <c r="AP194" i="18"/>
  <c r="AQ194" i="18"/>
  <c r="AF194" i="18"/>
  <c r="AD194" i="18"/>
  <c r="AA194" i="18"/>
  <c r="X194" i="18"/>
  <c r="U194" i="18"/>
  <c r="R194" i="18"/>
  <c r="O194" i="18"/>
  <c r="L194" i="18"/>
  <c r="I194" i="18"/>
  <c r="F194" i="18"/>
  <c r="AC192" i="18"/>
  <c r="Z192" i="18"/>
  <c r="W192" i="18"/>
  <c r="T192" i="18"/>
  <c r="Q192" i="18"/>
  <c r="N192" i="18"/>
  <c r="K192" i="18"/>
  <c r="H192" i="18"/>
  <c r="E192" i="18"/>
  <c r="E187" i="18"/>
  <c r="AC186" i="18"/>
  <c r="Z186" i="18"/>
  <c r="W186" i="18"/>
  <c r="R186" i="18"/>
  <c r="L186" i="18"/>
  <c r="A186" i="18"/>
  <c r="E185" i="18"/>
  <c r="AC184" i="18"/>
  <c r="Z184" i="18"/>
  <c r="W184" i="18"/>
  <c r="R184" i="18"/>
  <c r="L184" i="18"/>
  <c r="A184" i="18"/>
  <c r="E183" i="18"/>
  <c r="AC182" i="18"/>
  <c r="Z182" i="18"/>
  <c r="W182" i="18"/>
  <c r="R182" i="18"/>
  <c r="L182" i="18"/>
  <c r="A182" i="18"/>
  <c r="E181" i="18"/>
  <c r="AC180" i="18"/>
  <c r="Z180" i="18"/>
  <c r="W180" i="18"/>
  <c r="R180" i="18"/>
  <c r="L180" i="18"/>
  <c r="A180" i="18"/>
  <c r="E179" i="18"/>
  <c r="AC178" i="18"/>
  <c r="Z178" i="18"/>
  <c r="W178" i="18"/>
  <c r="R178" i="18"/>
  <c r="L178" i="18"/>
  <c r="A178" i="18"/>
  <c r="R177" i="18"/>
  <c r="L177" i="18"/>
  <c r="K176" i="18"/>
  <c r="A174" i="18"/>
  <c r="AE170" i="18"/>
  <c r="AE116" i="18"/>
  <c r="AE117" i="18"/>
  <c r="AE118" i="18"/>
  <c r="AE119" i="18"/>
  <c r="AE120" i="18"/>
  <c r="AE121" i="18"/>
  <c r="AC170" i="18"/>
  <c r="AC116" i="18"/>
  <c r="AC117" i="18"/>
  <c r="AC118" i="18"/>
  <c r="AC119" i="18"/>
  <c r="AC120" i="18"/>
  <c r="AC121" i="18"/>
  <c r="AE171" i="18"/>
  <c r="AE172" i="18"/>
  <c r="AC171" i="18"/>
  <c r="AC172" i="18"/>
  <c r="AB170" i="18"/>
  <c r="AB116" i="18"/>
  <c r="AB117" i="18"/>
  <c r="AB118" i="18"/>
  <c r="AB119" i="18"/>
  <c r="AB120" i="18"/>
  <c r="AB121" i="18"/>
  <c r="Z170" i="18"/>
  <c r="Z116" i="18"/>
  <c r="Z117" i="18"/>
  <c r="Z118" i="18"/>
  <c r="Z119" i="18"/>
  <c r="Z120" i="18"/>
  <c r="Z121" i="18"/>
  <c r="AB171" i="18"/>
  <c r="AB172" i="18"/>
  <c r="Z171" i="18"/>
  <c r="Z172" i="18"/>
  <c r="Y170" i="18"/>
  <c r="Y116" i="18"/>
  <c r="Y117" i="18"/>
  <c r="Y118" i="18"/>
  <c r="Y119" i="18"/>
  <c r="Y120" i="18"/>
  <c r="Y121" i="18"/>
  <c r="W170" i="18"/>
  <c r="W116" i="18"/>
  <c r="W117" i="18"/>
  <c r="W118" i="18"/>
  <c r="W119" i="18"/>
  <c r="W120" i="18"/>
  <c r="W121" i="18"/>
  <c r="Y171" i="18"/>
  <c r="Y172" i="18"/>
  <c r="W171" i="18"/>
  <c r="W172" i="18"/>
  <c r="V170" i="18"/>
  <c r="V116" i="18"/>
  <c r="V117" i="18"/>
  <c r="V118" i="18"/>
  <c r="V119" i="18"/>
  <c r="V120" i="18"/>
  <c r="V121" i="18"/>
  <c r="T170" i="18"/>
  <c r="T116" i="18"/>
  <c r="T117" i="18"/>
  <c r="T118" i="18"/>
  <c r="T119" i="18"/>
  <c r="T120" i="18"/>
  <c r="T121" i="18"/>
  <c r="V171" i="18"/>
  <c r="V172" i="18"/>
  <c r="T171" i="18"/>
  <c r="T172" i="18"/>
  <c r="N149" i="18"/>
  <c r="P149" i="18"/>
  <c r="N116" i="18"/>
  <c r="N117" i="18"/>
  <c r="N118" i="18"/>
  <c r="N119" i="18"/>
  <c r="N120" i="18"/>
  <c r="N150" i="18"/>
  <c r="P150" i="18"/>
  <c r="N151" i="18"/>
  <c r="P116" i="18"/>
  <c r="P117" i="18"/>
  <c r="P118" i="18"/>
  <c r="P119" i="18"/>
  <c r="P120" i="18"/>
  <c r="P151" i="18"/>
  <c r="N152" i="18"/>
  <c r="P152" i="18"/>
  <c r="N153" i="18"/>
  <c r="P153" i="18"/>
  <c r="O156" i="18"/>
  <c r="N158" i="18"/>
  <c r="K158" i="18"/>
  <c r="M158" i="18"/>
  <c r="H158" i="18"/>
  <c r="H116" i="18"/>
  <c r="H117" i="18"/>
  <c r="H118" i="18"/>
  <c r="H119" i="18"/>
  <c r="H120" i="18"/>
  <c r="H149" i="18"/>
  <c r="J149" i="18"/>
  <c r="H150" i="18"/>
  <c r="J116" i="18"/>
  <c r="J117" i="18"/>
  <c r="J118" i="18"/>
  <c r="J119" i="18"/>
  <c r="J120" i="18"/>
  <c r="J150" i="18"/>
  <c r="H151" i="18"/>
  <c r="J151" i="18"/>
  <c r="H152" i="18"/>
  <c r="J152" i="18"/>
  <c r="H153" i="18"/>
  <c r="J153" i="18"/>
  <c r="I156" i="18"/>
  <c r="J158" i="18"/>
  <c r="E149" i="18"/>
  <c r="G149" i="18"/>
  <c r="E116" i="18"/>
  <c r="E117" i="18"/>
  <c r="E118" i="18"/>
  <c r="E119" i="18"/>
  <c r="E120" i="18"/>
  <c r="E150" i="18"/>
  <c r="G150" i="18"/>
  <c r="E151" i="18"/>
  <c r="G116" i="18"/>
  <c r="G117" i="18"/>
  <c r="G118" i="18"/>
  <c r="G119" i="18"/>
  <c r="G120" i="18"/>
  <c r="G151" i="18"/>
  <c r="E152" i="18"/>
  <c r="G152" i="18"/>
  <c r="E153" i="18"/>
  <c r="G153" i="18"/>
  <c r="F156" i="18"/>
  <c r="E158" i="18"/>
  <c r="B158" i="18"/>
  <c r="D158" i="18"/>
  <c r="E95" i="18"/>
  <c r="B165" i="18"/>
  <c r="C165" i="18"/>
  <c r="D165" i="18"/>
  <c r="E170" i="18"/>
  <c r="E121" i="18"/>
  <c r="B159" i="18"/>
  <c r="B116" i="18"/>
  <c r="B117" i="18"/>
  <c r="B118" i="18"/>
  <c r="B119" i="18"/>
  <c r="B120" i="18"/>
  <c r="B149" i="18"/>
  <c r="D149" i="18"/>
  <c r="B150" i="18"/>
  <c r="D150" i="18"/>
  <c r="B151" i="18"/>
  <c r="D116" i="18"/>
  <c r="D117" i="18"/>
  <c r="D118" i="18"/>
  <c r="D119" i="18"/>
  <c r="D120" i="18"/>
  <c r="D151" i="18"/>
  <c r="B152" i="18"/>
  <c r="D152" i="18"/>
  <c r="B153" i="18"/>
  <c r="D153" i="18"/>
  <c r="C156" i="18"/>
  <c r="D159" i="18"/>
  <c r="E97" i="18"/>
  <c r="B166" i="18"/>
  <c r="AW8" i="18"/>
  <c r="C166" i="18"/>
  <c r="D170" i="18"/>
  <c r="D121" i="18"/>
  <c r="E93" i="18"/>
  <c r="B164" i="18"/>
  <c r="AW4" i="18"/>
  <c r="C164" i="18"/>
  <c r="B170" i="18"/>
  <c r="B121" i="18"/>
  <c r="D171" i="18"/>
  <c r="D172" i="18"/>
  <c r="D166" i="18"/>
  <c r="G170" i="18"/>
  <c r="G121" i="18"/>
  <c r="E171" i="18"/>
  <c r="E172" i="18"/>
  <c r="G165" i="18"/>
  <c r="J170" i="18"/>
  <c r="J121" i="18"/>
  <c r="E157" i="18"/>
  <c r="G157" i="18"/>
  <c r="B157" i="18"/>
  <c r="B171" i="18"/>
  <c r="B172" i="18"/>
  <c r="D164" i="18"/>
  <c r="G164" i="18"/>
  <c r="H170" i="18"/>
  <c r="H121" i="18"/>
  <c r="J171" i="18"/>
  <c r="J172" i="18"/>
  <c r="J165" i="18"/>
  <c r="M165" i="18"/>
  <c r="N170" i="18"/>
  <c r="N121" i="18"/>
  <c r="K159" i="18"/>
  <c r="K116" i="18"/>
  <c r="K117" i="18"/>
  <c r="K118" i="18"/>
  <c r="K119" i="18"/>
  <c r="K120" i="18"/>
  <c r="K149" i="18"/>
  <c r="M149" i="18"/>
  <c r="K150" i="18"/>
  <c r="M150" i="18"/>
  <c r="K151" i="18"/>
  <c r="M116" i="18"/>
  <c r="M117" i="18"/>
  <c r="M118" i="18"/>
  <c r="M119" i="18"/>
  <c r="M120" i="18"/>
  <c r="M151" i="18"/>
  <c r="K152" i="18"/>
  <c r="M152" i="18"/>
  <c r="K153" i="18"/>
  <c r="M153" i="18"/>
  <c r="L156" i="18"/>
  <c r="M159" i="18"/>
  <c r="H159" i="18"/>
  <c r="J159" i="18"/>
  <c r="E159" i="18"/>
  <c r="G159" i="18"/>
  <c r="G171" i="18"/>
  <c r="G172" i="18"/>
  <c r="G166" i="18"/>
  <c r="J166" i="18"/>
  <c r="M170" i="18"/>
  <c r="M121" i="18"/>
  <c r="H157" i="18"/>
  <c r="H171" i="18"/>
  <c r="H172" i="18"/>
  <c r="J164" i="18"/>
  <c r="K170" i="18"/>
  <c r="K121" i="18"/>
  <c r="M171" i="18"/>
  <c r="M172" i="18"/>
  <c r="M166" i="18"/>
  <c r="P170" i="18"/>
  <c r="P121" i="18"/>
  <c r="N171" i="18"/>
  <c r="N172" i="18"/>
  <c r="P165" i="18"/>
  <c r="S170" i="18"/>
  <c r="S116" i="18"/>
  <c r="S117" i="18"/>
  <c r="S118" i="18"/>
  <c r="S119" i="18"/>
  <c r="S120" i="18"/>
  <c r="S121" i="18"/>
  <c r="N157" i="18"/>
  <c r="P157" i="18"/>
  <c r="K157" i="18"/>
  <c r="K171" i="18"/>
  <c r="K172" i="18"/>
  <c r="M164" i="18"/>
  <c r="P164" i="18"/>
  <c r="Q170" i="18"/>
  <c r="Q116" i="18"/>
  <c r="Q117" i="18"/>
  <c r="Q118" i="18"/>
  <c r="Q119" i="18"/>
  <c r="Q120" i="18"/>
  <c r="Q121" i="18"/>
  <c r="S171" i="18"/>
  <c r="S172" i="18"/>
  <c r="Q171" i="18"/>
  <c r="Q172" i="18"/>
  <c r="P171" i="18"/>
  <c r="P172" i="18"/>
  <c r="AC161" i="18"/>
  <c r="AE161" i="18"/>
  <c r="Z161" i="18"/>
  <c r="AB161" i="18"/>
  <c r="W161" i="18"/>
  <c r="Y161" i="18"/>
  <c r="T161" i="18"/>
  <c r="V161" i="18"/>
  <c r="Q161" i="18"/>
  <c r="S161" i="18"/>
  <c r="N161" i="18"/>
  <c r="P161" i="18"/>
  <c r="K161" i="18"/>
  <c r="M161" i="18"/>
  <c r="H161" i="18"/>
  <c r="J161" i="18"/>
  <c r="E161" i="18"/>
  <c r="G161" i="18"/>
  <c r="B161" i="18"/>
  <c r="D161" i="18"/>
  <c r="E101" i="18"/>
  <c r="B168" i="18"/>
  <c r="C168" i="18"/>
  <c r="D168" i="18"/>
  <c r="G168" i="18"/>
  <c r="J168" i="18"/>
  <c r="M168" i="18"/>
  <c r="P168" i="18"/>
  <c r="S168" i="18"/>
  <c r="V168" i="18"/>
  <c r="Y168" i="18"/>
  <c r="AB168" i="18"/>
  <c r="AE168" i="18"/>
  <c r="AU168" i="18"/>
  <c r="AT168" i="18"/>
  <c r="AC160" i="18"/>
  <c r="AE160" i="18"/>
  <c r="Z160" i="18"/>
  <c r="AB160" i="18"/>
  <c r="W160" i="18"/>
  <c r="Y160" i="18"/>
  <c r="T160" i="18"/>
  <c r="V160" i="18"/>
  <c r="Q160" i="18"/>
  <c r="S160" i="18"/>
  <c r="N160" i="18"/>
  <c r="P160" i="18"/>
  <c r="K160" i="18"/>
  <c r="M160" i="18"/>
  <c r="H160" i="18"/>
  <c r="J160" i="18"/>
  <c r="E160" i="18"/>
  <c r="G160" i="18"/>
  <c r="B160" i="18"/>
  <c r="D160" i="18"/>
  <c r="E99" i="18"/>
  <c r="B167" i="18"/>
  <c r="C167" i="18"/>
  <c r="D167" i="18"/>
  <c r="G167" i="18"/>
  <c r="J167" i="18"/>
  <c r="M167" i="18"/>
  <c r="P167" i="18"/>
  <c r="S167" i="18"/>
  <c r="V167" i="18"/>
  <c r="Y167" i="18"/>
  <c r="AB167" i="18"/>
  <c r="AE167" i="18"/>
  <c r="AU167" i="18"/>
  <c r="AT167" i="18"/>
  <c r="AC159" i="18"/>
  <c r="AE159" i="18"/>
  <c r="Z159" i="18"/>
  <c r="AB159" i="18"/>
  <c r="W159" i="18"/>
  <c r="Y159" i="18"/>
  <c r="T159" i="18"/>
  <c r="V159" i="18"/>
  <c r="Q159" i="18"/>
  <c r="S159" i="18"/>
  <c r="N159" i="18"/>
  <c r="P159" i="18"/>
  <c r="P166" i="18"/>
  <c r="S166" i="18"/>
  <c r="V166" i="18"/>
  <c r="Y166" i="18"/>
  <c r="AB166" i="18"/>
  <c r="AE166" i="18"/>
  <c r="AU166" i="18"/>
  <c r="AT166" i="18"/>
  <c r="AC158" i="18"/>
  <c r="AE158" i="18"/>
  <c r="Z158" i="18"/>
  <c r="AB158" i="18"/>
  <c r="W158" i="18"/>
  <c r="Y158" i="18"/>
  <c r="T158" i="18"/>
  <c r="V158" i="18"/>
  <c r="Q158" i="18"/>
  <c r="Q149" i="18"/>
  <c r="S149" i="18"/>
  <c r="Q150" i="18"/>
  <c r="S150" i="18"/>
  <c r="Q151" i="18"/>
  <c r="S151" i="18"/>
  <c r="Q152" i="18"/>
  <c r="S152" i="18"/>
  <c r="Q153" i="18"/>
  <c r="S153" i="18"/>
  <c r="R156" i="18"/>
  <c r="S158" i="18"/>
  <c r="S165" i="18"/>
  <c r="V165" i="18"/>
  <c r="Y165" i="18"/>
  <c r="AB165" i="18"/>
  <c r="AE165" i="18"/>
  <c r="AU165" i="18"/>
  <c r="AT165" i="18"/>
  <c r="AC157" i="18"/>
  <c r="AE157" i="18"/>
  <c r="Z157" i="18"/>
  <c r="AB157" i="18"/>
  <c r="W157" i="18"/>
  <c r="Y157" i="18"/>
  <c r="T157" i="18"/>
  <c r="V157" i="18"/>
  <c r="Q157" i="18"/>
  <c r="S164" i="18"/>
  <c r="V164" i="18"/>
  <c r="Y164" i="18"/>
  <c r="AB164" i="18"/>
  <c r="AE164" i="18"/>
  <c r="AU164" i="18"/>
  <c r="AT164" i="18"/>
  <c r="AF161" i="18"/>
  <c r="AF160" i="18"/>
  <c r="AF159" i="18"/>
  <c r="G158" i="18"/>
  <c r="P158" i="18"/>
  <c r="AF158" i="18"/>
  <c r="D157" i="18"/>
  <c r="J157" i="18"/>
  <c r="M157" i="18"/>
  <c r="S157" i="18"/>
  <c r="AF157" i="18"/>
  <c r="AC149" i="18"/>
  <c r="AE149" i="18"/>
  <c r="AC150" i="18"/>
  <c r="AE150" i="18"/>
  <c r="AC151" i="18"/>
  <c r="AE151" i="18"/>
  <c r="AC152" i="18"/>
  <c r="AE152" i="18"/>
  <c r="AC153" i="18"/>
  <c r="AE153" i="18"/>
  <c r="AD156" i="18"/>
  <c r="Z149" i="18"/>
  <c r="AB149" i="18"/>
  <c r="Z150" i="18"/>
  <c r="AB150" i="18"/>
  <c r="Z151" i="18"/>
  <c r="AB151" i="18"/>
  <c r="Z152" i="18"/>
  <c r="AB152" i="18"/>
  <c r="Z153" i="18"/>
  <c r="AB153" i="18"/>
  <c r="AA156" i="18"/>
  <c r="W149" i="18"/>
  <c r="Y149" i="18"/>
  <c r="W150" i="18"/>
  <c r="Y150" i="18"/>
  <c r="W151" i="18"/>
  <c r="Y151" i="18"/>
  <c r="W152" i="18"/>
  <c r="Y152" i="18"/>
  <c r="W153" i="18"/>
  <c r="Y153" i="18"/>
  <c r="X156" i="18"/>
  <c r="T149" i="18"/>
  <c r="V149" i="18"/>
  <c r="T150" i="18"/>
  <c r="V150" i="18"/>
  <c r="T151" i="18"/>
  <c r="V151" i="18"/>
  <c r="T152" i="18"/>
  <c r="V152" i="18"/>
  <c r="T153" i="18"/>
  <c r="V153" i="18"/>
  <c r="U156" i="18"/>
  <c r="AF153" i="18"/>
  <c r="AG153" i="18"/>
  <c r="AF152" i="18"/>
  <c r="AG152" i="18"/>
  <c r="AF151" i="18"/>
  <c r="AG151" i="18"/>
  <c r="AF150" i="18"/>
  <c r="AG150" i="18"/>
  <c r="AF149" i="18"/>
  <c r="AG149" i="18"/>
  <c r="B147" i="18"/>
  <c r="D147" i="18"/>
  <c r="E147" i="18"/>
  <c r="G147" i="18"/>
  <c r="H147" i="18"/>
  <c r="J147" i="18"/>
  <c r="K147" i="18"/>
  <c r="M147" i="18"/>
  <c r="N147" i="18"/>
  <c r="P147" i="18"/>
  <c r="Q147" i="18"/>
  <c r="S147" i="18"/>
  <c r="T147" i="18"/>
  <c r="V147" i="18"/>
  <c r="W147" i="18"/>
  <c r="Y147" i="18"/>
  <c r="Z147" i="18"/>
  <c r="AB147" i="18"/>
  <c r="AC147" i="18"/>
  <c r="AE147" i="18"/>
  <c r="AF147" i="18"/>
  <c r="B146" i="18"/>
  <c r="D146" i="18"/>
  <c r="E146" i="18"/>
  <c r="G146" i="18"/>
  <c r="H146" i="18"/>
  <c r="J146" i="18"/>
  <c r="K146" i="18"/>
  <c r="M146" i="18"/>
  <c r="N146" i="18"/>
  <c r="P146" i="18"/>
  <c r="Q146" i="18"/>
  <c r="S146" i="18"/>
  <c r="T146" i="18"/>
  <c r="V146" i="18"/>
  <c r="W146" i="18"/>
  <c r="Y146" i="18"/>
  <c r="Z146" i="18"/>
  <c r="AB146" i="18"/>
  <c r="AC146" i="18"/>
  <c r="AE146" i="18"/>
  <c r="AF146" i="18"/>
  <c r="B145" i="18"/>
  <c r="B124" i="18"/>
  <c r="D124" i="18"/>
  <c r="B125" i="18"/>
  <c r="D125" i="18"/>
  <c r="B126" i="18"/>
  <c r="D126" i="18"/>
  <c r="B127" i="18"/>
  <c r="D127" i="18"/>
  <c r="B128" i="18"/>
  <c r="D128" i="18"/>
  <c r="B129" i="18"/>
  <c r="D145" i="18"/>
  <c r="E145" i="18"/>
  <c r="E124" i="18"/>
  <c r="G124" i="18"/>
  <c r="E125" i="18"/>
  <c r="G125" i="18"/>
  <c r="E126" i="18"/>
  <c r="G126" i="18"/>
  <c r="E127" i="18"/>
  <c r="G127" i="18"/>
  <c r="E128" i="18"/>
  <c r="G128" i="18"/>
  <c r="E129" i="18"/>
  <c r="G145" i="18"/>
  <c r="H145" i="18"/>
  <c r="J145" i="18"/>
  <c r="K145" i="18"/>
  <c r="K124" i="18"/>
  <c r="M124" i="18"/>
  <c r="K125" i="18"/>
  <c r="M125" i="18"/>
  <c r="K126" i="18"/>
  <c r="M126" i="18"/>
  <c r="K127" i="18"/>
  <c r="M127" i="18"/>
  <c r="K128" i="18"/>
  <c r="M128" i="18"/>
  <c r="K129" i="18"/>
  <c r="M145" i="18"/>
  <c r="N145" i="18"/>
  <c r="N124" i="18"/>
  <c r="P124" i="18"/>
  <c r="N125" i="18"/>
  <c r="P125" i="18"/>
  <c r="N126" i="18"/>
  <c r="P126" i="18"/>
  <c r="N127" i="18"/>
  <c r="P127" i="18"/>
  <c r="N128" i="18"/>
  <c r="P128" i="18"/>
  <c r="N129" i="18"/>
  <c r="P145" i="18"/>
  <c r="Q145" i="18"/>
  <c r="S145" i="18"/>
  <c r="T145" i="18"/>
  <c r="V145" i="18"/>
  <c r="W145" i="18"/>
  <c r="Y145" i="18"/>
  <c r="Z145" i="18"/>
  <c r="AB145" i="18"/>
  <c r="AC145" i="18"/>
  <c r="AE145" i="18"/>
  <c r="AF145" i="18"/>
  <c r="B144" i="18"/>
  <c r="D144" i="18"/>
  <c r="E144" i="18"/>
  <c r="G144" i="18"/>
  <c r="H144" i="18"/>
  <c r="H124" i="18"/>
  <c r="J124" i="18"/>
  <c r="H125" i="18"/>
  <c r="J125" i="18"/>
  <c r="H126" i="18"/>
  <c r="J126" i="18"/>
  <c r="H127" i="18"/>
  <c r="J127" i="18"/>
  <c r="H128" i="18"/>
  <c r="J128" i="18"/>
  <c r="H129" i="18"/>
  <c r="J144" i="18"/>
  <c r="K144" i="18"/>
  <c r="M144" i="18"/>
  <c r="N144" i="18"/>
  <c r="P144" i="18"/>
  <c r="Q144" i="18"/>
  <c r="Q124" i="18"/>
  <c r="S124" i="18"/>
  <c r="Q125" i="18"/>
  <c r="S125" i="18"/>
  <c r="Q126" i="18"/>
  <c r="S126" i="18"/>
  <c r="Q127" i="18"/>
  <c r="S127" i="18"/>
  <c r="Q128" i="18"/>
  <c r="S128" i="18"/>
  <c r="Q129" i="18"/>
  <c r="S144" i="18"/>
  <c r="T144" i="18"/>
  <c r="V144" i="18"/>
  <c r="W144" i="18"/>
  <c r="Y144" i="18"/>
  <c r="Z144" i="18"/>
  <c r="AB144" i="18"/>
  <c r="AC144" i="18"/>
  <c r="AE144" i="18"/>
  <c r="AF144" i="18"/>
  <c r="B143" i="18"/>
  <c r="D143" i="18"/>
  <c r="E143" i="18"/>
  <c r="G143" i="18"/>
  <c r="H143" i="18"/>
  <c r="J143" i="18"/>
  <c r="K143" i="18"/>
  <c r="M143" i="18"/>
  <c r="N143" i="18"/>
  <c r="P143" i="18"/>
  <c r="Q143" i="18"/>
  <c r="S143" i="18"/>
  <c r="T143" i="18"/>
  <c r="V143" i="18"/>
  <c r="W143" i="18"/>
  <c r="Y143" i="18"/>
  <c r="Z143" i="18"/>
  <c r="AB143" i="18"/>
  <c r="AC143" i="18"/>
  <c r="AE143" i="18"/>
  <c r="AF143" i="18"/>
  <c r="B141" i="18"/>
  <c r="D141" i="18"/>
  <c r="E141" i="18"/>
  <c r="G141" i="18"/>
  <c r="H141" i="18"/>
  <c r="J141" i="18"/>
  <c r="K141" i="18"/>
  <c r="M141" i="18"/>
  <c r="N141" i="18"/>
  <c r="P141" i="18"/>
  <c r="Q141" i="18"/>
  <c r="S141" i="18"/>
  <c r="T141" i="18"/>
  <c r="V141" i="18"/>
  <c r="W141" i="18"/>
  <c r="Y141" i="18"/>
  <c r="Z141" i="18"/>
  <c r="AB141" i="18"/>
  <c r="AC141" i="18"/>
  <c r="AE141" i="18"/>
  <c r="AF141" i="18"/>
  <c r="B140" i="18"/>
  <c r="D140" i="18"/>
  <c r="E140" i="18"/>
  <c r="G140" i="18"/>
  <c r="H140" i="18"/>
  <c r="J140" i="18"/>
  <c r="K140" i="18"/>
  <c r="M140" i="18"/>
  <c r="N140" i="18"/>
  <c r="P140" i="18"/>
  <c r="Q140" i="18"/>
  <c r="S140" i="18"/>
  <c r="T140" i="18"/>
  <c r="V140" i="18"/>
  <c r="W140" i="18"/>
  <c r="Y140" i="18"/>
  <c r="Z140" i="18"/>
  <c r="AB140" i="18"/>
  <c r="AC140" i="18"/>
  <c r="AE140" i="18"/>
  <c r="AF140" i="18"/>
  <c r="B139" i="18"/>
  <c r="B122" i="18"/>
  <c r="D122" i="18"/>
  <c r="C122" i="18"/>
  <c r="D139" i="18"/>
  <c r="E139" i="18"/>
  <c r="E122" i="18"/>
  <c r="G122" i="18"/>
  <c r="F122" i="18"/>
  <c r="G139" i="18"/>
  <c r="H139" i="18"/>
  <c r="J139" i="18"/>
  <c r="K139" i="18"/>
  <c r="K122" i="18"/>
  <c r="M122" i="18"/>
  <c r="L122" i="18"/>
  <c r="M139" i="18"/>
  <c r="N139" i="18"/>
  <c r="N122" i="18"/>
  <c r="P122" i="18"/>
  <c r="O122" i="18"/>
  <c r="P139" i="18"/>
  <c r="Q139" i="18"/>
  <c r="S139" i="18"/>
  <c r="T139" i="18"/>
  <c r="V139" i="18"/>
  <c r="W139" i="18"/>
  <c r="Y139" i="18"/>
  <c r="Z139" i="18"/>
  <c r="AB139" i="18"/>
  <c r="AC139" i="18"/>
  <c r="AE139" i="18"/>
  <c r="AF139" i="18"/>
  <c r="B138" i="18"/>
  <c r="D138" i="18"/>
  <c r="E138" i="18"/>
  <c r="G138" i="18"/>
  <c r="H138" i="18"/>
  <c r="H122" i="18"/>
  <c r="J122" i="18"/>
  <c r="I122" i="18"/>
  <c r="J138" i="18"/>
  <c r="K138" i="18"/>
  <c r="M138" i="18"/>
  <c r="N138" i="18"/>
  <c r="P138" i="18"/>
  <c r="Q138" i="18"/>
  <c r="Q122" i="18"/>
  <c r="S122" i="18"/>
  <c r="R122" i="18"/>
  <c r="S138" i="18"/>
  <c r="T138" i="18"/>
  <c r="V138" i="18"/>
  <c r="W138" i="18"/>
  <c r="Y138" i="18"/>
  <c r="Z138" i="18"/>
  <c r="AB138" i="18"/>
  <c r="AC138" i="18"/>
  <c r="AE138" i="18"/>
  <c r="AF138" i="18"/>
  <c r="B137" i="18"/>
  <c r="D137" i="18"/>
  <c r="E137" i="18"/>
  <c r="G137" i="18"/>
  <c r="H137" i="18"/>
  <c r="J137" i="18"/>
  <c r="K137" i="18"/>
  <c r="M137" i="18"/>
  <c r="N137" i="18"/>
  <c r="P137" i="18"/>
  <c r="Q137" i="18"/>
  <c r="S137" i="18"/>
  <c r="T137" i="18"/>
  <c r="V137" i="18"/>
  <c r="W137" i="18"/>
  <c r="Y137" i="18"/>
  <c r="Z137" i="18"/>
  <c r="AB137" i="18"/>
  <c r="AC137" i="18"/>
  <c r="AE137" i="18"/>
  <c r="AF137" i="18"/>
  <c r="B135" i="18"/>
  <c r="D135" i="18"/>
  <c r="E135" i="18"/>
  <c r="G135" i="18"/>
  <c r="H135" i="18"/>
  <c r="J135" i="18"/>
  <c r="K135" i="18"/>
  <c r="M135" i="18"/>
  <c r="N135" i="18"/>
  <c r="P135" i="18"/>
  <c r="Q135" i="18"/>
  <c r="S135" i="18"/>
  <c r="T135" i="18"/>
  <c r="V135" i="18"/>
  <c r="W135" i="18"/>
  <c r="Y135" i="18"/>
  <c r="Z135" i="18"/>
  <c r="AB135" i="18"/>
  <c r="AC135" i="18"/>
  <c r="AE135" i="18"/>
  <c r="AF135" i="18"/>
  <c r="AG135" i="18"/>
  <c r="B134" i="18"/>
  <c r="D134" i="18"/>
  <c r="E134" i="18"/>
  <c r="G134" i="18"/>
  <c r="H134" i="18"/>
  <c r="J134" i="18"/>
  <c r="K134" i="18"/>
  <c r="M134" i="18"/>
  <c r="N134" i="18"/>
  <c r="P134" i="18"/>
  <c r="Q134" i="18"/>
  <c r="S134" i="18"/>
  <c r="T134" i="18"/>
  <c r="V134" i="18"/>
  <c r="W134" i="18"/>
  <c r="Y134" i="18"/>
  <c r="Z134" i="18"/>
  <c r="AB134" i="18"/>
  <c r="AC134" i="18"/>
  <c r="AE134" i="18"/>
  <c r="AF134" i="18"/>
  <c r="AG134" i="18"/>
  <c r="B133" i="18"/>
  <c r="D133" i="18"/>
  <c r="E133" i="18"/>
  <c r="G133" i="18"/>
  <c r="H133" i="18"/>
  <c r="J133" i="18"/>
  <c r="K133" i="18"/>
  <c r="M133" i="18"/>
  <c r="N133" i="18"/>
  <c r="P133" i="18"/>
  <c r="Q133" i="18"/>
  <c r="S133" i="18"/>
  <c r="T133" i="18"/>
  <c r="V133" i="18"/>
  <c r="W133" i="18"/>
  <c r="Y133" i="18"/>
  <c r="Z133" i="18"/>
  <c r="AB133" i="18"/>
  <c r="AC133" i="18"/>
  <c r="AE133" i="18"/>
  <c r="AF133" i="18"/>
  <c r="AG133" i="18"/>
  <c r="B132" i="18"/>
  <c r="D132" i="18"/>
  <c r="E132" i="18"/>
  <c r="G132" i="18"/>
  <c r="H132" i="18"/>
  <c r="J132" i="18"/>
  <c r="K132" i="18"/>
  <c r="M132" i="18"/>
  <c r="N132" i="18"/>
  <c r="P132" i="18"/>
  <c r="Q132" i="18"/>
  <c r="S132" i="18"/>
  <c r="T132" i="18"/>
  <c r="V132" i="18"/>
  <c r="W132" i="18"/>
  <c r="Y132" i="18"/>
  <c r="Z132" i="18"/>
  <c r="AB132" i="18"/>
  <c r="AC132" i="18"/>
  <c r="AE132" i="18"/>
  <c r="AF132" i="18"/>
  <c r="AG132" i="18"/>
  <c r="B131" i="18"/>
  <c r="D131" i="18"/>
  <c r="E131" i="18"/>
  <c r="G131" i="18"/>
  <c r="H131" i="18"/>
  <c r="J131" i="18"/>
  <c r="K131" i="18"/>
  <c r="M131" i="18"/>
  <c r="N131" i="18"/>
  <c r="P131" i="18"/>
  <c r="Q131" i="18"/>
  <c r="S131" i="18"/>
  <c r="T131" i="18"/>
  <c r="V131" i="18"/>
  <c r="W131" i="18"/>
  <c r="Y131" i="18"/>
  <c r="Z131" i="18"/>
  <c r="AB131" i="18"/>
  <c r="AC131" i="18"/>
  <c r="AE131" i="18"/>
  <c r="AF131" i="18"/>
  <c r="AG131" i="18"/>
  <c r="AC124" i="18"/>
  <c r="AE124" i="18"/>
  <c r="AC125" i="18"/>
  <c r="AE125" i="18"/>
  <c r="AC126" i="18"/>
  <c r="AE126" i="18"/>
  <c r="AC127" i="18"/>
  <c r="AE127" i="18"/>
  <c r="AC128" i="18"/>
  <c r="AE128" i="18"/>
  <c r="AC129" i="18"/>
  <c r="Z124" i="18"/>
  <c r="AB124" i="18"/>
  <c r="Z125" i="18"/>
  <c r="AB125" i="18"/>
  <c r="Z126" i="18"/>
  <c r="AB126" i="18"/>
  <c r="Z127" i="18"/>
  <c r="AB127" i="18"/>
  <c r="Z128" i="18"/>
  <c r="AB128" i="18"/>
  <c r="Z129" i="18"/>
  <c r="W124" i="18"/>
  <c r="Y124" i="18"/>
  <c r="W125" i="18"/>
  <c r="Y125" i="18"/>
  <c r="W126" i="18"/>
  <c r="Y126" i="18"/>
  <c r="W127" i="18"/>
  <c r="Y127" i="18"/>
  <c r="W128" i="18"/>
  <c r="Y128" i="18"/>
  <c r="W129" i="18"/>
  <c r="T124" i="18"/>
  <c r="V124" i="18"/>
  <c r="T125" i="18"/>
  <c r="V125" i="18"/>
  <c r="T126" i="18"/>
  <c r="V126" i="18"/>
  <c r="T127" i="18"/>
  <c r="V127" i="18"/>
  <c r="T128" i="18"/>
  <c r="V128" i="18"/>
  <c r="T129" i="18"/>
  <c r="AE122" i="18"/>
  <c r="AC122" i="18"/>
  <c r="AD122" i="18"/>
  <c r="AB122" i="18"/>
  <c r="Z122" i="18"/>
  <c r="AA122" i="18"/>
  <c r="Y122" i="18"/>
  <c r="W122" i="18"/>
  <c r="X122" i="18"/>
  <c r="V122" i="18"/>
  <c r="T122" i="18"/>
  <c r="U122" i="18"/>
  <c r="AE115" i="18"/>
  <c r="AC115" i="18"/>
  <c r="AB115" i="18"/>
  <c r="Z115" i="18"/>
  <c r="Y115" i="18"/>
  <c r="W115" i="18"/>
  <c r="V115" i="18"/>
  <c r="T115" i="18"/>
  <c r="S115" i="18"/>
  <c r="Q115" i="18"/>
  <c r="P115" i="18"/>
  <c r="N115" i="18"/>
  <c r="M115" i="18"/>
  <c r="K115" i="18"/>
  <c r="J115" i="18"/>
  <c r="H115" i="18"/>
  <c r="G115" i="18"/>
  <c r="E115" i="18"/>
  <c r="D115" i="18"/>
  <c r="B115" i="18"/>
  <c r="AD114" i="18"/>
  <c r="AA114" i="18"/>
  <c r="X114" i="18"/>
  <c r="U114" i="18"/>
  <c r="R114" i="18"/>
  <c r="O114" i="18"/>
  <c r="L114" i="18"/>
  <c r="I114" i="18"/>
  <c r="F114" i="18"/>
  <c r="A114" i="18"/>
  <c r="AG113" i="18"/>
  <c r="AH113" i="18"/>
  <c r="AI113" i="18"/>
  <c r="AJ113" i="18"/>
  <c r="AK113" i="18"/>
  <c r="AL113" i="18"/>
  <c r="AM113" i="18"/>
  <c r="AN113" i="18"/>
  <c r="AO113" i="18"/>
  <c r="AP113" i="18"/>
  <c r="AQ113" i="18"/>
  <c r="AF113" i="18"/>
  <c r="AD113" i="18"/>
  <c r="AA113" i="18"/>
  <c r="X113" i="18"/>
  <c r="U113" i="18"/>
  <c r="R113" i="18"/>
  <c r="O113" i="18"/>
  <c r="L113" i="18"/>
  <c r="I113" i="18"/>
  <c r="F113" i="18"/>
  <c r="A113" i="18"/>
  <c r="AG112" i="18"/>
  <c r="AH112" i="18"/>
  <c r="AI112" i="18"/>
  <c r="AJ112" i="18"/>
  <c r="AK112" i="18"/>
  <c r="AL112" i="18"/>
  <c r="AM112" i="18"/>
  <c r="AN112" i="18"/>
  <c r="AO112" i="18"/>
  <c r="AP112" i="18"/>
  <c r="AQ112" i="18"/>
  <c r="AF112" i="18"/>
  <c r="AD112" i="18"/>
  <c r="AA112" i="18"/>
  <c r="X112" i="18"/>
  <c r="U112" i="18"/>
  <c r="R112" i="18"/>
  <c r="O112" i="18"/>
  <c r="L112" i="18"/>
  <c r="I112" i="18"/>
  <c r="F112" i="18"/>
  <c r="A112" i="18"/>
  <c r="AG111" i="18"/>
  <c r="AH111" i="18"/>
  <c r="AI111" i="18"/>
  <c r="AJ111" i="18"/>
  <c r="AK111" i="18"/>
  <c r="AL111" i="18"/>
  <c r="AM111" i="18"/>
  <c r="AN111" i="18"/>
  <c r="AO111" i="18"/>
  <c r="AP111" i="18"/>
  <c r="AQ111" i="18"/>
  <c r="AF111" i="18"/>
  <c r="AD111" i="18"/>
  <c r="AA111" i="18"/>
  <c r="X111" i="18"/>
  <c r="U111" i="18"/>
  <c r="R111" i="18"/>
  <c r="O111" i="18"/>
  <c r="L111" i="18"/>
  <c r="I111" i="18"/>
  <c r="F111" i="18"/>
  <c r="A111" i="18"/>
  <c r="AG110" i="18"/>
  <c r="AH110" i="18"/>
  <c r="AI110" i="18"/>
  <c r="AJ110" i="18"/>
  <c r="AK110" i="18"/>
  <c r="AL110" i="18"/>
  <c r="AM110" i="18"/>
  <c r="AN110" i="18"/>
  <c r="AO110" i="18"/>
  <c r="AP110" i="18"/>
  <c r="AQ110" i="18"/>
  <c r="AF110" i="18"/>
  <c r="AD110" i="18"/>
  <c r="AA110" i="18"/>
  <c r="X110" i="18"/>
  <c r="U110" i="18"/>
  <c r="R110" i="18"/>
  <c r="O110" i="18"/>
  <c r="L110" i="18"/>
  <c r="I110" i="18"/>
  <c r="F110" i="18"/>
  <c r="AG109" i="18"/>
  <c r="AH109" i="18"/>
  <c r="AI109" i="18"/>
  <c r="AJ109" i="18"/>
  <c r="AK109" i="18"/>
  <c r="AL109" i="18"/>
  <c r="AM109" i="18"/>
  <c r="AN109" i="18"/>
  <c r="AO109" i="18"/>
  <c r="AP109" i="18"/>
  <c r="AQ109" i="18"/>
  <c r="AF109" i="18"/>
  <c r="AD109" i="18"/>
  <c r="AA109" i="18"/>
  <c r="X109" i="18"/>
  <c r="U109" i="18"/>
  <c r="R109" i="18"/>
  <c r="O109" i="18"/>
  <c r="L109" i="18"/>
  <c r="I109" i="18"/>
  <c r="F109" i="18"/>
  <c r="AC107" i="18"/>
  <c r="Z107" i="18"/>
  <c r="W107" i="18"/>
  <c r="T107" i="18"/>
  <c r="Q107" i="18"/>
  <c r="N107" i="18"/>
  <c r="K107" i="18"/>
  <c r="H107" i="18"/>
  <c r="E107" i="18"/>
  <c r="E102" i="18"/>
  <c r="AC101" i="18"/>
  <c r="Z101" i="18"/>
  <c r="W101" i="18"/>
  <c r="R101" i="18"/>
  <c r="L101" i="18"/>
  <c r="A101" i="18"/>
  <c r="E100" i="18"/>
  <c r="AC99" i="18"/>
  <c r="Z99" i="18"/>
  <c r="W99" i="18"/>
  <c r="R99" i="18"/>
  <c r="L99" i="18"/>
  <c r="A99" i="18"/>
  <c r="E98" i="18"/>
  <c r="AC97" i="18"/>
  <c r="Z97" i="18"/>
  <c r="W97" i="18"/>
  <c r="R97" i="18"/>
  <c r="L97" i="18"/>
  <c r="A97" i="18"/>
  <c r="E96" i="18"/>
  <c r="AC95" i="18"/>
  <c r="Z95" i="18"/>
  <c r="W95" i="18"/>
  <c r="R95" i="18"/>
  <c r="L95" i="18"/>
  <c r="A95" i="18"/>
  <c r="E94" i="18"/>
  <c r="AC93" i="18"/>
  <c r="Z93" i="18"/>
  <c r="W93" i="18"/>
  <c r="R93" i="18"/>
  <c r="L93" i="18"/>
  <c r="A93" i="18"/>
  <c r="R92" i="18"/>
  <c r="L92" i="18"/>
  <c r="K91" i="18"/>
  <c r="A89" i="18"/>
  <c r="AE85" i="18"/>
  <c r="AE31" i="18"/>
  <c r="AE32" i="18"/>
  <c r="AE33" i="18"/>
  <c r="AE34" i="18"/>
  <c r="AE35" i="18"/>
  <c r="AE36" i="18"/>
  <c r="AC85" i="18"/>
  <c r="AC31" i="18"/>
  <c r="AC32" i="18"/>
  <c r="AC33" i="18"/>
  <c r="AC34" i="18"/>
  <c r="AC35" i="18"/>
  <c r="AC36" i="18"/>
  <c r="AE86" i="18"/>
  <c r="AE87" i="18"/>
  <c r="AC86" i="18"/>
  <c r="AC87" i="18"/>
  <c r="AB85" i="18"/>
  <c r="AB31" i="18"/>
  <c r="AB32" i="18"/>
  <c r="AB33" i="18"/>
  <c r="AB34" i="18"/>
  <c r="AB35" i="18"/>
  <c r="AB36" i="18"/>
  <c r="Z85" i="18"/>
  <c r="Z31" i="18"/>
  <c r="Z32" i="18"/>
  <c r="Z33" i="18"/>
  <c r="Z34" i="18"/>
  <c r="Z35" i="18"/>
  <c r="Z36" i="18"/>
  <c r="AB86" i="18"/>
  <c r="AB87" i="18"/>
  <c r="Z86" i="18"/>
  <c r="Z87" i="18"/>
  <c r="Y85" i="18"/>
  <c r="Y31" i="18"/>
  <c r="Y32" i="18"/>
  <c r="Y33" i="18"/>
  <c r="Y34" i="18"/>
  <c r="Y35" i="18"/>
  <c r="Y36" i="18"/>
  <c r="W85" i="18"/>
  <c r="W31" i="18"/>
  <c r="W32" i="18"/>
  <c r="W33" i="18"/>
  <c r="W34" i="18"/>
  <c r="W35" i="18"/>
  <c r="W36" i="18"/>
  <c r="Y86" i="18"/>
  <c r="Y87" i="18"/>
  <c r="W86" i="18"/>
  <c r="W87" i="18"/>
  <c r="V85" i="18"/>
  <c r="V31" i="18"/>
  <c r="V32" i="18"/>
  <c r="V33" i="18"/>
  <c r="V34" i="18"/>
  <c r="V35" i="18"/>
  <c r="V36" i="18"/>
  <c r="T85" i="18"/>
  <c r="T31" i="18"/>
  <c r="T32" i="18"/>
  <c r="T33" i="18"/>
  <c r="T34" i="18"/>
  <c r="T35" i="18"/>
  <c r="T36" i="18"/>
  <c r="V86" i="18"/>
  <c r="V87" i="18"/>
  <c r="T86" i="18"/>
  <c r="T87" i="18"/>
  <c r="N73" i="18"/>
  <c r="P73" i="18"/>
  <c r="K73" i="18"/>
  <c r="M73" i="18"/>
  <c r="H64" i="18"/>
  <c r="J64" i="18"/>
  <c r="H31" i="18"/>
  <c r="H32" i="18"/>
  <c r="H33" i="18"/>
  <c r="H34" i="18"/>
  <c r="H35" i="18"/>
  <c r="H65" i="18"/>
  <c r="J65" i="18"/>
  <c r="H66" i="18"/>
  <c r="J66" i="18"/>
  <c r="H67" i="18"/>
  <c r="J31" i="18"/>
  <c r="J32" i="18"/>
  <c r="J33" i="18"/>
  <c r="J34" i="18"/>
  <c r="J35" i="18"/>
  <c r="J67" i="18"/>
  <c r="H68" i="18"/>
  <c r="J68" i="18"/>
  <c r="I71" i="18"/>
  <c r="H73" i="18"/>
  <c r="E73" i="18"/>
  <c r="G73" i="18"/>
  <c r="B64" i="18"/>
  <c r="D64" i="18"/>
  <c r="B31" i="18"/>
  <c r="B32" i="18"/>
  <c r="B33" i="18"/>
  <c r="B34" i="18"/>
  <c r="B35" i="18"/>
  <c r="B65" i="18"/>
  <c r="D65" i="18"/>
  <c r="B66" i="18"/>
  <c r="D31" i="18"/>
  <c r="D32" i="18"/>
  <c r="D33" i="18"/>
  <c r="D34" i="18"/>
  <c r="D35" i="18"/>
  <c r="D66" i="18"/>
  <c r="B67" i="18"/>
  <c r="D67" i="18"/>
  <c r="B68" i="18"/>
  <c r="D68" i="18"/>
  <c r="C71" i="18"/>
  <c r="B73" i="18"/>
  <c r="E10" i="18"/>
  <c r="B80" i="18"/>
  <c r="AW6" i="18"/>
  <c r="C80" i="18"/>
  <c r="B85" i="18"/>
  <c r="B36" i="18"/>
  <c r="E12" i="18"/>
  <c r="B81" i="18"/>
  <c r="AW7" i="18"/>
  <c r="C81" i="18"/>
  <c r="D85" i="18"/>
  <c r="D36" i="18"/>
  <c r="B86" i="18"/>
  <c r="B87" i="18"/>
  <c r="D80" i="18"/>
  <c r="G80" i="18"/>
  <c r="H85" i="18"/>
  <c r="H36" i="18"/>
  <c r="E75" i="18"/>
  <c r="E31" i="18"/>
  <c r="E32" i="18"/>
  <c r="E33" i="18"/>
  <c r="E34" i="18"/>
  <c r="E35" i="18"/>
  <c r="E64" i="18"/>
  <c r="G64" i="18"/>
  <c r="E65" i="18"/>
  <c r="G65" i="18"/>
  <c r="E66" i="18"/>
  <c r="G66" i="18"/>
  <c r="E67" i="18"/>
  <c r="G31" i="18"/>
  <c r="G32" i="18"/>
  <c r="G33" i="18"/>
  <c r="G34" i="18"/>
  <c r="G35" i="18"/>
  <c r="G67" i="18"/>
  <c r="E68" i="18"/>
  <c r="G68" i="18"/>
  <c r="F71" i="18"/>
  <c r="G75" i="18"/>
  <c r="B75" i="18"/>
  <c r="D75" i="18"/>
  <c r="E14" i="18"/>
  <c r="B82" i="18"/>
  <c r="C82" i="18"/>
  <c r="D82" i="18"/>
  <c r="G85" i="18"/>
  <c r="G36" i="18"/>
  <c r="B72" i="18"/>
  <c r="D72" i="18"/>
  <c r="E8" i="18"/>
  <c r="B79" i="18"/>
  <c r="C79" i="18"/>
  <c r="D79" i="18"/>
  <c r="E85" i="18"/>
  <c r="E36" i="18"/>
  <c r="G86" i="18"/>
  <c r="G87" i="18"/>
  <c r="G82" i="18"/>
  <c r="J85" i="18"/>
  <c r="J36" i="18"/>
  <c r="H86" i="18"/>
  <c r="H87" i="18"/>
  <c r="J80" i="18"/>
  <c r="M80" i="18"/>
  <c r="P80" i="18"/>
  <c r="S85" i="18"/>
  <c r="S31" i="18"/>
  <c r="S32" i="18"/>
  <c r="S33" i="18"/>
  <c r="S34" i="18"/>
  <c r="S35" i="18"/>
  <c r="S36" i="18"/>
  <c r="N72" i="18"/>
  <c r="P72" i="18"/>
  <c r="K31" i="18"/>
  <c r="K32" i="18"/>
  <c r="K33" i="18"/>
  <c r="K34" i="18"/>
  <c r="K35" i="18"/>
  <c r="K64" i="18"/>
  <c r="M64" i="18"/>
  <c r="K65" i="18"/>
  <c r="M65" i="18"/>
  <c r="K66" i="18"/>
  <c r="M31" i="18"/>
  <c r="M32" i="18"/>
  <c r="M33" i="18"/>
  <c r="M34" i="18"/>
  <c r="M35" i="18"/>
  <c r="M66" i="18"/>
  <c r="K67" i="18"/>
  <c r="M67" i="18"/>
  <c r="K68" i="18"/>
  <c r="M68" i="18"/>
  <c r="L71" i="18"/>
  <c r="K72" i="18"/>
  <c r="H72" i="18"/>
  <c r="J72" i="18"/>
  <c r="E72" i="18"/>
  <c r="E86" i="18"/>
  <c r="E87" i="18"/>
  <c r="G79" i="18"/>
  <c r="J79" i="18"/>
  <c r="K85" i="18"/>
  <c r="K36" i="18"/>
  <c r="H74" i="18"/>
  <c r="J74" i="18"/>
  <c r="E74" i="18"/>
  <c r="G74" i="18"/>
  <c r="B74" i="18"/>
  <c r="D74" i="18"/>
  <c r="D86" i="18"/>
  <c r="D87" i="18"/>
  <c r="D81" i="18"/>
  <c r="G81" i="18"/>
  <c r="J81" i="18"/>
  <c r="M85" i="18"/>
  <c r="M36" i="18"/>
  <c r="K86" i="18"/>
  <c r="K87" i="18"/>
  <c r="M79" i="18"/>
  <c r="P79" i="18"/>
  <c r="Q85" i="18"/>
  <c r="Q31" i="18"/>
  <c r="Q32" i="18"/>
  <c r="Q33" i="18"/>
  <c r="Q34" i="18"/>
  <c r="Q35" i="18"/>
  <c r="Q36" i="18"/>
  <c r="S86" i="18"/>
  <c r="S87" i="18"/>
  <c r="Q86" i="18"/>
  <c r="Q87" i="18"/>
  <c r="K75" i="18"/>
  <c r="M75" i="18"/>
  <c r="H75" i="18"/>
  <c r="J75" i="18"/>
  <c r="J86" i="18"/>
  <c r="J87" i="18"/>
  <c r="J82" i="18"/>
  <c r="M82" i="18"/>
  <c r="P85" i="18"/>
  <c r="P31" i="18"/>
  <c r="P32" i="18"/>
  <c r="P33" i="18"/>
  <c r="P34" i="18"/>
  <c r="P35" i="18"/>
  <c r="P36" i="18"/>
  <c r="K74" i="18"/>
  <c r="M74" i="18"/>
  <c r="M86" i="18"/>
  <c r="M87" i="18"/>
  <c r="M81" i="18"/>
  <c r="N85" i="18"/>
  <c r="N31" i="18"/>
  <c r="N32" i="18"/>
  <c r="N33" i="18"/>
  <c r="N34" i="18"/>
  <c r="N35" i="18"/>
  <c r="N36" i="18"/>
  <c r="P86" i="18"/>
  <c r="P87" i="18"/>
  <c r="N86" i="18"/>
  <c r="N87" i="18"/>
  <c r="AC76" i="18"/>
  <c r="AE76" i="18"/>
  <c r="Z76" i="18"/>
  <c r="AB76" i="18"/>
  <c r="W76" i="18"/>
  <c r="Y76" i="18"/>
  <c r="T76" i="18"/>
  <c r="V76" i="18"/>
  <c r="Q76" i="18"/>
  <c r="S76" i="18"/>
  <c r="N76" i="18"/>
  <c r="P76" i="18"/>
  <c r="K76" i="18"/>
  <c r="M76" i="18"/>
  <c r="H76" i="18"/>
  <c r="J76" i="18"/>
  <c r="E76" i="18"/>
  <c r="G76" i="18"/>
  <c r="B76" i="18"/>
  <c r="D76" i="18"/>
  <c r="E16" i="18"/>
  <c r="B83" i="18"/>
  <c r="C83" i="18"/>
  <c r="D83" i="18"/>
  <c r="G83" i="18"/>
  <c r="J83" i="18"/>
  <c r="M83" i="18"/>
  <c r="P83" i="18"/>
  <c r="S83" i="18"/>
  <c r="V83" i="18"/>
  <c r="Y83" i="18"/>
  <c r="AB83" i="18"/>
  <c r="AE83" i="18"/>
  <c r="AU83" i="18"/>
  <c r="AT83" i="18"/>
  <c r="AC75" i="18"/>
  <c r="AE75" i="18"/>
  <c r="Z75" i="18"/>
  <c r="AB75" i="18"/>
  <c r="W75" i="18"/>
  <c r="Y75" i="18"/>
  <c r="T75" i="18"/>
  <c r="V75" i="18"/>
  <c r="Q75" i="18"/>
  <c r="S75" i="18"/>
  <c r="N75" i="18"/>
  <c r="N64" i="18"/>
  <c r="P64" i="18"/>
  <c r="N65" i="18"/>
  <c r="P65" i="18"/>
  <c r="N66" i="18"/>
  <c r="P66" i="18"/>
  <c r="N67" i="18"/>
  <c r="P67" i="18"/>
  <c r="N68" i="18"/>
  <c r="P68" i="18"/>
  <c r="O71" i="18"/>
  <c r="P75" i="18"/>
  <c r="P82" i="18"/>
  <c r="S82" i="18"/>
  <c r="V82" i="18"/>
  <c r="Y82" i="18"/>
  <c r="AB82" i="18"/>
  <c r="AE82" i="18"/>
  <c r="AU82" i="18"/>
  <c r="AT82" i="18"/>
  <c r="AC74" i="18"/>
  <c r="AE74" i="18"/>
  <c r="Z74" i="18"/>
  <c r="AB74" i="18"/>
  <c r="W74" i="18"/>
  <c r="Y74" i="18"/>
  <c r="T74" i="18"/>
  <c r="V74" i="18"/>
  <c r="Q74" i="18"/>
  <c r="S74" i="18"/>
  <c r="N74" i="18"/>
  <c r="P81" i="18"/>
  <c r="S81" i="18"/>
  <c r="V81" i="18"/>
  <c r="Y81" i="18"/>
  <c r="AB81" i="18"/>
  <c r="AE81" i="18"/>
  <c r="AU81" i="18"/>
  <c r="AT81" i="18"/>
  <c r="AC73" i="18"/>
  <c r="AE73" i="18"/>
  <c r="Z73" i="18"/>
  <c r="AB73" i="18"/>
  <c r="W73" i="18"/>
  <c r="Y73" i="18"/>
  <c r="T73" i="18"/>
  <c r="V73" i="18"/>
  <c r="Q73" i="18"/>
  <c r="Q64" i="18"/>
  <c r="S64" i="18"/>
  <c r="Q65" i="18"/>
  <c r="S65" i="18"/>
  <c r="Q66" i="18"/>
  <c r="S66" i="18"/>
  <c r="Q67" i="18"/>
  <c r="S67" i="18"/>
  <c r="Q68" i="18"/>
  <c r="S68" i="18"/>
  <c r="R71" i="18"/>
  <c r="S73" i="18"/>
  <c r="S80" i="18"/>
  <c r="V80" i="18"/>
  <c r="Y80" i="18"/>
  <c r="AB80" i="18"/>
  <c r="AE80" i="18"/>
  <c r="AU80" i="18"/>
  <c r="AT80" i="18"/>
  <c r="AC72" i="18"/>
  <c r="AE72" i="18"/>
  <c r="Z72" i="18"/>
  <c r="AB72" i="18"/>
  <c r="W72" i="18"/>
  <c r="Y72" i="18"/>
  <c r="T72" i="18"/>
  <c r="V72" i="18"/>
  <c r="Q72" i="18"/>
  <c r="S79" i="18"/>
  <c r="V79" i="18"/>
  <c r="Y79" i="18"/>
  <c r="AB79" i="18"/>
  <c r="AE79" i="18"/>
  <c r="AU79" i="18"/>
  <c r="AT79" i="18"/>
  <c r="AF76" i="18"/>
  <c r="AF75" i="18"/>
  <c r="P74" i="18"/>
  <c r="AF74" i="18"/>
  <c r="D73" i="18"/>
  <c r="J73" i="18"/>
  <c r="AF73" i="18"/>
  <c r="G72" i="18"/>
  <c r="M72" i="18"/>
  <c r="S72" i="18"/>
  <c r="AF72" i="18"/>
  <c r="AC64" i="18"/>
  <c r="AE64" i="18"/>
  <c r="AC65" i="18"/>
  <c r="AE65" i="18"/>
  <c r="AC66" i="18"/>
  <c r="AE66" i="18"/>
  <c r="AC67" i="18"/>
  <c r="AE67" i="18"/>
  <c r="AC68" i="18"/>
  <c r="AE68" i="18"/>
  <c r="AD71" i="18"/>
  <c r="Z64" i="18"/>
  <c r="AB64" i="18"/>
  <c r="Z65" i="18"/>
  <c r="AB65" i="18"/>
  <c r="Z66" i="18"/>
  <c r="AB66" i="18"/>
  <c r="Z67" i="18"/>
  <c r="AB67" i="18"/>
  <c r="Z68" i="18"/>
  <c r="AB68" i="18"/>
  <c r="AA71" i="18"/>
  <c r="W64" i="18"/>
  <c r="Y64" i="18"/>
  <c r="W65" i="18"/>
  <c r="Y65" i="18"/>
  <c r="W66" i="18"/>
  <c r="Y66" i="18"/>
  <c r="W67" i="18"/>
  <c r="Y67" i="18"/>
  <c r="W68" i="18"/>
  <c r="Y68" i="18"/>
  <c r="X71" i="18"/>
  <c r="T64" i="18"/>
  <c r="V64" i="18"/>
  <c r="T65" i="18"/>
  <c r="V65" i="18"/>
  <c r="T66" i="18"/>
  <c r="V66" i="18"/>
  <c r="T67" i="18"/>
  <c r="V67" i="18"/>
  <c r="T68" i="18"/>
  <c r="V68" i="18"/>
  <c r="U71" i="18"/>
  <c r="AF68" i="18"/>
  <c r="AG68" i="18"/>
  <c r="AF67" i="18"/>
  <c r="AG67" i="18"/>
  <c r="AF66" i="18"/>
  <c r="AG66" i="18"/>
  <c r="AF65" i="18"/>
  <c r="AG65" i="18"/>
  <c r="AF64" i="18"/>
  <c r="AG64" i="18"/>
  <c r="B62" i="18"/>
  <c r="D62" i="18"/>
  <c r="E62" i="18"/>
  <c r="G62" i="18"/>
  <c r="H62" i="18"/>
  <c r="J62" i="18"/>
  <c r="K62" i="18"/>
  <c r="M62" i="18"/>
  <c r="N62" i="18"/>
  <c r="P62" i="18"/>
  <c r="Q62" i="18"/>
  <c r="S62" i="18"/>
  <c r="T62" i="18"/>
  <c r="V62" i="18"/>
  <c r="W62" i="18"/>
  <c r="Y62" i="18"/>
  <c r="Z62" i="18"/>
  <c r="AB62" i="18"/>
  <c r="AC62" i="18"/>
  <c r="AE62" i="18"/>
  <c r="AF62" i="18"/>
  <c r="B61" i="18"/>
  <c r="D61" i="18"/>
  <c r="E61" i="18"/>
  <c r="E39" i="18"/>
  <c r="G39" i="18"/>
  <c r="E40" i="18"/>
  <c r="G40" i="18"/>
  <c r="E41" i="18"/>
  <c r="G41" i="18"/>
  <c r="E42" i="18"/>
  <c r="G42" i="18"/>
  <c r="E43" i="18"/>
  <c r="G43" i="18"/>
  <c r="E44" i="18"/>
  <c r="G61" i="18"/>
  <c r="H61" i="18"/>
  <c r="H39" i="18"/>
  <c r="J39" i="18"/>
  <c r="H40" i="18"/>
  <c r="J40" i="18"/>
  <c r="H41" i="18"/>
  <c r="J41" i="18"/>
  <c r="H42" i="18"/>
  <c r="J42" i="18"/>
  <c r="H43" i="18"/>
  <c r="J43" i="18"/>
  <c r="H44" i="18"/>
  <c r="J61" i="18"/>
  <c r="K61" i="18"/>
  <c r="M61" i="18"/>
  <c r="N61" i="18"/>
  <c r="N39" i="18"/>
  <c r="P39" i="18"/>
  <c r="N40" i="18"/>
  <c r="P40" i="18"/>
  <c r="N41" i="18"/>
  <c r="P41" i="18"/>
  <c r="N42" i="18"/>
  <c r="P42" i="18"/>
  <c r="N43" i="18"/>
  <c r="P43" i="18"/>
  <c r="N44" i="18"/>
  <c r="P61" i="18"/>
  <c r="Q61" i="18"/>
  <c r="S61" i="18"/>
  <c r="T61" i="18"/>
  <c r="V61" i="18"/>
  <c r="W61" i="18"/>
  <c r="Y61" i="18"/>
  <c r="Z61" i="18"/>
  <c r="AB61" i="18"/>
  <c r="AC61" i="18"/>
  <c r="AE61" i="18"/>
  <c r="AF61" i="18"/>
  <c r="B60" i="18"/>
  <c r="B39" i="18"/>
  <c r="D39" i="18"/>
  <c r="B40" i="18"/>
  <c r="D40" i="18"/>
  <c r="B41" i="18"/>
  <c r="D41" i="18"/>
  <c r="B42" i="18"/>
  <c r="D42" i="18"/>
  <c r="B43" i="18"/>
  <c r="D43" i="18"/>
  <c r="B44" i="18"/>
  <c r="D60" i="18"/>
  <c r="E60" i="18"/>
  <c r="G60" i="18"/>
  <c r="H60" i="18"/>
  <c r="J60" i="18"/>
  <c r="K60" i="18"/>
  <c r="K39" i="18"/>
  <c r="M39" i="18"/>
  <c r="K40" i="18"/>
  <c r="M40" i="18"/>
  <c r="K41" i="18"/>
  <c r="M41" i="18"/>
  <c r="K42" i="18"/>
  <c r="M42" i="18"/>
  <c r="K43" i="18"/>
  <c r="M43" i="18"/>
  <c r="K44" i="18"/>
  <c r="M60" i="18"/>
  <c r="N60" i="18"/>
  <c r="P60" i="18"/>
  <c r="Q60" i="18"/>
  <c r="S60" i="18"/>
  <c r="T60" i="18"/>
  <c r="V60" i="18"/>
  <c r="W60" i="18"/>
  <c r="Y60" i="18"/>
  <c r="Z60" i="18"/>
  <c r="AB60" i="18"/>
  <c r="AC60" i="18"/>
  <c r="AE60" i="18"/>
  <c r="AF60" i="18"/>
  <c r="B59" i="18"/>
  <c r="D59" i="18"/>
  <c r="E59" i="18"/>
  <c r="G59" i="18"/>
  <c r="H59" i="18"/>
  <c r="J59" i="18"/>
  <c r="K59" i="18"/>
  <c r="M59" i="18"/>
  <c r="N59" i="18"/>
  <c r="P59" i="18"/>
  <c r="Q59" i="18"/>
  <c r="Q39" i="18"/>
  <c r="S39" i="18"/>
  <c r="Q40" i="18"/>
  <c r="S40" i="18"/>
  <c r="Q41" i="18"/>
  <c r="S41" i="18"/>
  <c r="Q42" i="18"/>
  <c r="S42" i="18"/>
  <c r="Q43" i="18"/>
  <c r="S43" i="18"/>
  <c r="Q44" i="18"/>
  <c r="S59" i="18"/>
  <c r="T59" i="18"/>
  <c r="V59" i="18"/>
  <c r="W59" i="18"/>
  <c r="Y59" i="18"/>
  <c r="Z59" i="18"/>
  <c r="AB59" i="18"/>
  <c r="AC59" i="18"/>
  <c r="AE59" i="18"/>
  <c r="AF59" i="18"/>
  <c r="B58" i="18"/>
  <c r="D58" i="18"/>
  <c r="E58" i="18"/>
  <c r="G58" i="18"/>
  <c r="H58" i="18"/>
  <c r="J58" i="18"/>
  <c r="K58" i="18"/>
  <c r="M58" i="18"/>
  <c r="N58" i="18"/>
  <c r="P58" i="18"/>
  <c r="Q58" i="18"/>
  <c r="S58" i="18"/>
  <c r="T58" i="18"/>
  <c r="V58" i="18"/>
  <c r="W58" i="18"/>
  <c r="Y58" i="18"/>
  <c r="Z58" i="18"/>
  <c r="AB58" i="18"/>
  <c r="AC58" i="18"/>
  <c r="AE58" i="18"/>
  <c r="AF58" i="18"/>
  <c r="B56" i="18"/>
  <c r="D56" i="18"/>
  <c r="E56" i="18"/>
  <c r="G56" i="18"/>
  <c r="H56" i="18"/>
  <c r="J56" i="18"/>
  <c r="K56" i="18"/>
  <c r="M56" i="18"/>
  <c r="N56" i="18"/>
  <c r="P56" i="18"/>
  <c r="Q56" i="18"/>
  <c r="S56" i="18"/>
  <c r="T56" i="18"/>
  <c r="V56" i="18"/>
  <c r="W56" i="18"/>
  <c r="Y56" i="18"/>
  <c r="Z56" i="18"/>
  <c r="AB56" i="18"/>
  <c r="AC56" i="18"/>
  <c r="AE56" i="18"/>
  <c r="AF56" i="18"/>
  <c r="B55" i="18"/>
  <c r="D55" i="18"/>
  <c r="E55" i="18"/>
  <c r="E37" i="18"/>
  <c r="G37" i="18"/>
  <c r="F37" i="18"/>
  <c r="G55" i="18"/>
  <c r="H55" i="18"/>
  <c r="H37" i="18"/>
  <c r="J37" i="18"/>
  <c r="I37" i="18"/>
  <c r="J55" i="18"/>
  <c r="K55" i="18"/>
  <c r="M55" i="18"/>
  <c r="N55" i="18"/>
  <c r="N37" i="18"/>
  <c r="P37" i="18"/>
  <c r="O37" i="18"/>
  <c r="P55" i="18"/>
  <c r="Q55" i="18"/>
  <c r="S55" i="18"/>
  <c r="T55" i="18"/>
  <c r="V55" i="18"/>
  <c r="W55" i="18"/>
  <c r="Y55" i="18"/>
  <c r="Z55" i="18"/>
  <c r="AB55" i="18"/>
  <c r="AC55" i="18"/>
  <c r="AE55" i="18"/>
  <c r="AF55" i="18"/>
  <c r="B54" i="18"/>
  <c r="B37" i="18"/>
  <c r="D37" i="18"/>
  <c r="C37" i="18"/>
  <c r="D54" i="18"/>
  <c r="E54" i="18"/>
  <c r="G54" i="18"/>
  <c r="H54" i="18"/>
  <c r="J54" i="18"/>
  <c r="K54" i="18"/>
  <c r="K37" i="18"/>
  <c r="M37" i="18"/>
  <c r="L37" i="18"/>
  <c r="M54" i="18"/>
  <c r="N54" i="18"/>
  <c r="P54" i="18"/>
  <c r="Q54" i="18"/>
  <c r="S54" i="18"/>
  <c r="T54" i="18"/>
  <c r="V54" i="18"/>
  <c r="W54" i="18"/>
  <c r="Y54" i="18"/>
  <c r="Z54" i="18"/>
  <c r="AB54" i="18"/>
  <c r="AC54" i="18"/>
  <c r="AE54" i="18"/>
  <c r="AF54" i="18"/>
  <c r="B53" i="18"/>
  <c r="D53" i="18"/>
  <c r="E53" i="18"/>
  <c r="G53" i="18"/>
  <c r="H53" i="18"/>
  <c r="J53" i="18"/>
  <c r="K53" i="18"/>
  <c r="M53" i="18"/>
  <c r="N53" i="18"/>
  <c r="P53" i="18"/>
  <c r="Q53" i="18"/>
  <c r="Q37" i="18"/>
  <c r="S37" i="18"/>
  <c r="R37" i="18"/>
  <c r="S53" i="18"/>
  <c r="T53" i="18"/>
  <c r="V53" i="18"/>
  <c r="W53" i="18"/>
  <c r="Y53" i="18"/>
  <c r="Z53" i="18"/>
  <c r="AB53" i="18"/>
  <c r="AC53" i="18"/>
  <c r="AE53" i="18"/>
  <c r="AF53" i="18"/>
  <c r="B52" i="18"/>
  <c r="D52" i="18"/>
  <c r="E52" i="18"/>
  <c r="G52" i="18"/>
  <c r="H52" i="18"/>
  <c r="J52" i="18"/>
  <c r="K52" i="18"/>
  <c r="M52" i="18"/>
  <c r="N52" i="18"/>
  <c r="P52" i="18"/>
  <c r="Q52" i="18"/>
  <c r="S52" i="18"/>
  <c r="T52" i="18"/>
  <c r="V52" i="18"/>
  <c r="W52" i="18"/>
  <c r="Y52" i="18"/>
  <c r="Z52" i="18"/>
  <c r="AB52" i="18"/>
  <c r="AC52" i="18"/>
  <c r="AE52" i="18"/>
  <c r="AF52" i="18"/>
  <c r="B50" i="18"/>
  <c r="D50" i="18"/>
  <c r="E50" i="18"/>
  <c r="G50" i="18"/>
  <c r="H50" i="18"/>
  <c r="J50" i="18"/>
  <c r="K50" i="18"/>
  <c r="M50" i="18"/>
  <c r="N50" i="18"/>
  <c r="P50" i="18"/>
  <c r="Q50" i="18"/>
  <c r="S50" i="18"/>
  <c r="T50" i="18"/>
  <c r="V50" i="18"/>
  <c r="W50" i="18"/>
  <c r="Y50" i="18"/>
  <c r="Z50" i="18"/>
  <c r="AB50" i="18"/>
  <c r="AC50" i="18"/>
  <c r="AE50" i="18"/>
  <c r="AF50" i="18"/>
  <c r="AG50" i="18"/>
  <c r="B49" i="18"/>
  <c r="D49" i="18"/>
  <c r="E49" i="18"/>
  <c r="G49" i="18"/>
  <c r="H49" i="18"/>
  <c r="J49" i="18"/>
  <c r="K49" i="18"/>
  <c r="M49" i="18"/>
  <c r="N49" i="18"/>
  <c r="P49" i="18"/>
  <c r="Q49" i="18"/>
  <c r="S49" i="18"/>
  <c r="T49" i="18"/>
  <c r="V49" i="18"/>
  <c r="W49" i="18"/>
  <c r="Y49" i="18"/>
  <c r="Z49" i="18"/>
  <c r="AB49" i="18"/>
  <c r="AC49" i="18"/>
  <c r="AE49" i="18"/>
  <c r="AF49" i="18"/>
  <c r="AG49" i="18"/>
  <c r="B48" i="18"/>
  <c r="D48" i="18"/>
  <c r="E48" i="18"/>
  <c r="G48" i="18"/>
  <c r="H48" i="18"/>
  <c r="J48" i="18"/>
  <c r="K48" i="18"/>
  <c r="M48" i="18"/>
  <c r="N48" i="18"/>
  <c r="P48" i="18"/>
  <c r="Q48" i="18"/>
  <c r="S48" i="18"/>
  <c r="T48" i="18"/>
  <c r="V48" i="18"/>
  <c r="W48" i="18"/>
  <c r="Y48" i="18"/>
  <c r="Z48" i="18"/>
  <c r="AB48" i="18"/>
  <c r="AC48" i="18"/>
  <c r="AE48" i="18"/>
  <c r="AF48" i="18"/>
  <c r="AG48" i="18"/>
  <c r="B47" i="18"/>
  <c r="D47" i="18"/>
  <c r="E47" i="18"/>
  <c r="G47" i="18"/>
  <c r="H47" i="18"/>
  <c r="J47" i="18"/>
  <c r="K47" i="18"/>
  <c r="M47" i="18"/>
  <c r="N47" i="18"/>
  <c r="P47" i="18"/>
  <c r="Q47" i="18"/>
  <c r="S47" i="18"/>
  <c r="T47" i="18"/>
  <c r="V47" i="18"/>
  <c r="W47" i="18"/>
  <c r="Y47" i="18"/>
  <c r="Z47" i="18"/>
  <c r="AB47" i="18"/>
  <c r="AC47" i="18"/>
  <c r="AE47" i="18"/>
  <c r="AF47" i="18"/>
  <c r="AG47" i="18"/>
  <c r="B46" i="18"/>
  <c r="D46" i="18"/>
  <c r="E46" i="18"/>
  <c r="G46" i="18"/>
  <c r="H46" i="18"/>
  <c r="J46" i="18"/>
  <c r="K46" i="18"/>
  <c r="M46" i="18"/>
  <c r="N46" i="18"/>
  <c r="P46" i="18"/>
  <c r="Q46" i="18"/>
  <c r="S46" i="18"/>
  <c r="T46" i="18"/>
  <c r="V46" i="18"/>
  <c r="W46" i="18"/>
  <c r="Y46" i="18"/>
  <c r="Z46" i="18"/>
  <c r="AB46" i="18"/>
  <c r="AC46" i="18"/>
  <c r="AE46" i="18"/>
  <c r="AF46" i="18"/>
  <c r="AG46" i="18"/>
  <c r="AC39" i="18"/>
  <c r="AE39" i="18"/>
  <c r="AC40" i="18"/>
  <c r="AE40" i="18"/>
  <c r="AC41" i="18"/>
  <c r="AE41" i="18"/>
  <c r="AC42" i="18"/>
  <c r="AE42" i="18"/>
  <c r="AC43" i="18"/>
  <c r="AE43" i="18"/>
  <c r="AC44" i="18"/>
  <c r="Z39" i="18"/>
  <c r="AB39" i="18"/>
  <c r="Z40" i="18"/>
  <c r="AB40" i="18"/>
  <c r="Z41" i="18"/>
  <c r="AB41" i="18"/>
  <c r="Z42" i="18"/>
  <c r="AB42" i="18"/>
  <c r="Z43" i="18"/>
  <c r="AB43" i="18"/>
  <c r="Z44" i="18"/>
  <c r="W39" i="18"/>
  <c r="Y39" i="18"/>
  <c r="W40" i="18"/>
  <c r="Y40" i="18"/>
  <c r="W41" i="18"/>
  <c r="Y41" i="18"/>
  <c r="W42" i="18"/>
  <c r="Y42" i="18"/>
  <c r="W43" i="18"/>
  <c r="Y43" i="18"/>
  <c r="W44" i="18"/>
  <c r="T39" i="18"/>
  <c r="V39" i="18"/>
  <c r="T40" i="18"/>
  <c r="V40" i="18"/>
  <c r="T41" i="18"/>
  <c r="V41" i="18"/>
  <c r="T42" i="18"/>
  <c r="V42" i="18"/>
  <c r="T43" i="18"/>
  <c r="V43" i="18"/>
  <c r="T44" i="18"/>
  <c r="AE37" i="18"/>
  <c r="AC37" i="18"/>
  <c r="AD37" i="18"/>
  <c r="AB37" i="18"/>
  <c r="Z37" i="18"/>
  <c r="AA37" i="18"/>
  <c r="Y37" i="18"/>
  <c r="W37" i="18"/>
  <c r="X37" i="18"/>
  <c r="V37" i="18"/>
  <c r="T37" i="18"/>
  <c r="U37" i="18"/>
  <c r="AE30" i="18"/>
  <c r="AC30" i="18"/>
  <c r="AB30" i="18"/>
  <c r="Z30" i="18"/>
  <c r="Y30" i="18"/>
  <c r="W30" i="18"/>
  <c r="V30" i="18"/>
  <c r="T30" i="18"/>
  <c r="S30" i="18"/>
  <c r="Q30" i="18"/>
  <c r="P30" i="18"/>
  <c r="N30" i="18"/>
  <c r="M30" i="18"/>
  <c r="K30" i="18"/>
  <c r="J30" i="18"/>
  <c r="H30" i="18"/>
  <c r="G30" i="18"/>
  <c r="E30" i="18"/>
  <c r="D30" i="18"/>
  <c r="B30" i="18"/>
  <c r="AD29" i="18"/>
  <c r="AA29" i="18"/>
  <c r="X29" i="18"/>
  <c r="U29" i="18"/>
  <c r="R29" i="18"/>
  <c r="O29" i="18"/>
  <c r="L29" i="18"/>
  <c r="I29" i="18"/>
  <c r="F29" i="18"/>
  <c r="A29" i="18"/>
  <c r="AG28" i="18"/>
  <c r="AH28" i="18"/>
  <c r="AI28" i="18"/>
  <c r="AJ28" i="18"/>
  <c r="AK28" i="18"/>
  <c r="AL28" i="18"/>
  <c r="AM28" i="18"/>
  <c r="AN28" i="18"/>
  <c r="AO28" i="18"/>
  <c r="AP28" i="18"/>
  <c r="AQ28" i="18"/>
  <c r="AF28" i="18"/>
  <c r="AD28" i="18"/>
  <c r="AA28" i="18"/>
  <c r="X28" i="18"/>
  <c r="U28" i="18"/>
  <c r="R28" i="18"/>
  <c r="O28" i="18"/>
  <c r="L28" i="18"/>
  <c r="I28" i="18"/>
  <c r="F28" i="18"/>
  <c r="A28" i="18"/>
  <c r="AG27" i="18"/>
  <c r="AH27" i="18"/>
  <c r="AI27" i="18"/>
  <c r="AJ27" i="18"/>
  <c r="AK27" i="18"/>
  <c r="AL27" i="18"/>
  <c r="AM27" i="18"/>
  <c r="AN27" i="18"/>
  <c r="AO27" i="18"/>
  <c r="AP27" i="18"/>
  <c r="AQ27" i="18"/>
  <c r="AF27" i="18"/>
  <c r="AD27" i="18"/>
  <c r="AA27" i="18"/>
  <c r="X27" i="18"/>
  <c r="U27" i="18"/>
  <c r="R27" i="18"/>
  <c r="O27" i="18"/>
  <c r="L27" i="18"/>
  <c r="I27" i="18"/>
  <c r="F27" i="18"/>
  <c r="A27" i="18"/>
  <c r="AG26" i="18"/>
  <c r="AH26" i="18"/>
  <c r="AI26" i="18"/>
  <c r="AJ26" i="18"/>
  <c r="AK26" i="18"/>
  <c r="AL26" i="18"/>
  <c r="AM26" i="18"/>
  <c r="AN26" i="18"/>
  <c r="AO26" i="18"/>
  <c r="AP26" i="18"/>
  <c r="AQ26" i="18"/>
  <c r="AF26" i="18"/>
  <c r="AD26" i="18"/>
  <c r="AA26" i="18"/>
  <c r="X26" i="18"/>
  <c r="U26" i="18"/>
  <c r="R26" i="18"/>
  <c r="O26" i="18"/>
  <c r="L26" i="18"/>
  <c r="I26" i="18"/>
  <c r="F26" i="18"/>
  <c r="A26" i="18"/>
  <c r="AG25" i="18"/>
  <c r="AH25" i="18"/>
  <c r="AI25" i="18"/>
  <c r="AJ25" i="18"/>
  <c r="AK25" i="18"/>
  <c r="AL25" i="18"/>
  <c r="AM25" i="18"/>
  <c r="AN25" i="18"/>
  <c r="AO25" i="18"/>
  <c r="AP25" i="18"/>
  <c r="AQ25" i="18"/>
  <c r="AF25" i="18"/>
  <c r="AD25" i="18"/>
  <c r="AA25" i="18"/>
  <c r="X25" i="18"/>
  <c r="U25" i="18"/>
  <c r="R25" i="18"/>
  <c r="O25" i="18"/>
  <c r="L25" i="18"/>
  <c r="I25" i="18"/>
  <c r="F25" i="18"/>
  <c r="AG24" i="18"/>
  <c r="AH24" i="18"/>
  <c r="AI24" i="18"/>
  <c r="AJ24" i="18"/>
  <c r="AK24" i="18"/>
  <c r="AL24" i="18"/>
  <c r="AM24" i="18"/>
  <c r="AN24" i="18"/>
  <c r="AO24" i="18"/>
  <c r="AP24" i="18"/>
  <c r="AQ24" i="18"/>
  <c r="AF24" i="18"/>
  <c r="AD24" i="18"/>
  <c r="AA24" i="18"/>
  <c r="X24" i="18"/>
  <c r="U24" i="18"/>
  <c r="R24" i="18"/>
  <c r="O24" i="18"/>
  <c r="L24" i="18"/>
  <c r="I24" i="18"/>
  <c r="F24" i="18"/>
  <c r="AC22" i="18"/>
  <c r="Z22" i="18"/>
  <c r="W22" i="18"/>
  <c r="T22" i="18"/>
  <c r="Q22" i="18"/>
  <c r="N22" i="18"/>
  <c r="K22" i="18"/>
  <c r="H22" i="18"/>
  <c r="E22" i="18"/>
  <c r="E17" i="18"/>
  <c r="AC16" i="18"/>
  <c r="Z16" i="18"/>
  <c r="W16" i="18"/>
  <c r="R16" i="18"/>
  <c r="L16" i="18"/>
  <c r="A16" i="18"/>
  <c r="E15" i="18"/>
  <c r="AC14" i="18"/>
  <c r="Z14" i="18"/>
  <c r="W14" i="18"/>
  <c r="R14" i="18"/>
  <c r="L14" i="18"/>
  <c r="A14" i="18"/>
  <c r="E13" i="18"/>
  <c r="AC12" i="18"/>
  <c r="Z12" i="18"/>
  <c r="W12" i="18"/>
  <c r="R12" i="18"/>
  <c r="L12" i="18"/>
  <c r="A12" i="18"/>
  <c r="E11" i="18"/>
  <c r="AC10" i="18"/>
  <c r="Z10" i="18"/>
  <c r="W10" i="18"/>
  <c r="R10" i="18"/>
  <c r="L10" i="18"/>
  <c r="A10" i="18"/>
  <c r="AX9" i="18"/>
  <c r="AY9" i="18"/>
  <c r="E9" i="18"/>
  <c r="AX8" i="18"/>
  <c r="AY8" i="18"/>
  <c r="AC8" i="18"/>
  <c r="Z8" i="18"/>
  <c r="W8" i="18"/>
  <c r="R8" i="18"/>
  <c r="L8" i="18"/>
  <c r="A8" i="18"/>
  <c r="AX7" i="18"/>
  <c r="AY7" i="18"/>
  <c r="R7" i="18"/>
  <c r="L7" i="18"/>
  <c r="AX6" i="18"/>
  <c r="AY6" i="18"/>
  <c r="K6" i="18"/>
  <c r="AX5" i="18"/>
  <c r="AY5" i="18"/>
  <c r="AX4" i="18"/>
  <c r="AY4" i="18"/>
  <c r="AX3" i="18"/>
  <c r="AY3" i="18"/>
  <c r="F385" i="10"/>
  <c r="E385" i="10"/>
  <c r="C385" i="10"/>
  <c r="D385" i="10"/>
  <c r="K385" i="10"/>
  <c r="AW10" i="13"/>
  <c r="AW9" i="13"/>
  <c r="AW8" i="13"/>
  <c r="AW7" i="13"/>
  <c r="AW6" i="13"/>
  <c r="AW5" i="13"/>
  <c r="AW4" i="13"/>
  <c r="AW3" i="13"/>
  <c r="W219" i="13"/>
  <c r="W220" i="13"/>
  <c r="W221" i="13"/>
  <c r="W222" i="13"/>
  <c r="Y219" i="13"/>
  <c r="Y220" i="13"/>
  <c r="Y221" i="13"/>
  <c r="Y222" i="13"/>
  <c r="AC218" i="13"/>
  <c r="E99" i="13"/>
  <c r="AF180" i="13"/>
  <c r="X213" i="13"/>
  <c r="W230" i="13"/>
  <c r="E8" i="13"/>
  <c r="B79" i="13"/>
  <c r="AT79" i="13"/>
  <c r="E10" i="13"/>
  <c r="B80" i="13"/>
  <c r="AT80" i="13"/>
  <c r="E12" i="13"/>
  <c r="B81" i="13"/>
  <c r="AT81" i="13"/>
  <c r="E14" i="13"/>
  <c r="B82" i="13"/>
  <c r="AT82" i="13"/>
  <c r="AC31" i="13"/>
  <c r="AC32" i="13"/>
  <c r="AC33" i="13"/>
  <c r="AC34" i="13"/>
  <c r="AC35" i="13"/>
  <c r="AC64" i="13"/>
  <c r="AE64" i="13"/>
  <c r="AC65" i="13"/>
  <c r="AE31" i="13"/>
  <c r="AE32" i="13"/>
  <c r="AE33" i="13"/>
  <c r="AE34" i="13"/>
  <c r="AE35" i="13"/>
  <c r="AE65" i="13"/>
  <c r="AC66" i="13"/>
  <c r="AE66" i="13"/>
  <c r="AC67" i="13"/>
  <c r="AE67" i="13"/>
  <c r="AC68" i="13"/>
  <c r="AE68" i="13"/>
  <c r="AD71" i="13"/>
  <c r="AC72" i="13"/>
  <c r="AE72" i="13"/>
  <c r="Z72" i="13"/>
  <c r="AB72" i="13"/>
  <c r="W31" i="13"/>
  <c r="W32" i="13"/>
  <c r="W33" i="13"/>
  <c r="W34" i="13"/>
  <c r="W35" i="13"/>
  <c r="W64" i="13"/>
  <c r="Y64" i="13"/>
  <c r="W65" i="13"/>
  <c r="Y65" i="13"/>
  <c r="W66" i="13"/>
  <c r="Y66" i="13"/>
  <c r="W67" i="13"/>
  <c r="Y67" i="13"/>
  <c r="W68" i="13"/>
  <c r="Y31" i="13"/>
  <c r="Y32" i="13"/>
  <c r="Y33" i="13"/>
  <c r="Y34" i="13"/>
  <c r="Y35" i="13"/>
  <c r="Y68" i="13"/>
  <c r="X71" i="13"/>
  <c r="W72" i="13"/>
  <c r="Y72" i="13"/>
  <c r="T72" i="13"/>
  <c r="V72" i="13"/>
  <c r="Q31" i="13"/>
  <c r="Q32" i="13"/>
  <c r="Q33" i="13"/>
  <c r="Q34" i="13"/>
  <c r="Q35" i="13"/>
  <c r="Q64" i="13"/>
  <c r="S64" i="13"/>
  <c r="Q65" i="13"/>
  <c r="S31" i="13"/>
  <c r="S32" i="13"/>
  <c r="S33" i="13"/>
  <c r="S34" i="13"/>
  <c r="S35" i="13"/>
  <c r="S65" i="13"/>
  <c r="Q66" i="13"/>
  <c r="S66" i="13"/>
  <c r="Q67" i="13"/>
  <c r="S67" i="13"/>
  <c r="Q68" i="13"/>
  <c r="S68" i="13"/>
  <c r="R71" i="13"/>
  <c r="Q72" i="13"/>
  <c r="N72" i="13"/>
  <c r="P72" i="13"/>
  <c r="K31" i="13"/>
  <c r="K32" i="13"/>
  <c r="K33" i="13"/>
  <c r="K34" i="13"/>
  <c r="K35" i="13"/>
  <c r="K64" i="13"/>
  <c r="M64" i="13"/>
  <c r="K65" i="13"/>
  <c r="M65" i="13"/>
  <c r="K66" i="13"/>
  <c r="M31" i="13"/>
  <c r="M32" i="13"/>
  <c r="M33" i="13"/>
  <c r="M34" i="13"/>
  <c r="M35" i="13"/>
  <c r="M66" i="13"/>
  <c r="K67" i="13"/>
  <c r="M67" i="13"/>
  <c r="K68" i="13"/>
  <c r="M68" i="13"/>
  <c r="L71" i="13"/>
  <c r="K72" i="13"/>
  <c r="H72" i="13"/>
  <c r="J72" i="13"/>
  <c r="E31" i="13"/>
  <c r="E32" i="13"/>
  <c r="E33" i="13"/>
  <c r="E34" i="13"/>
  <c r="E35" i="13"/>
  <c r="E64" i="13"/>
  <c r="G64" i="13"/>
  <c r="E65" i="13"/>
  <c r="G65" i="13"/>
  <c r="E66" i="13"/>
  <c r="G66" i="13"/>
  <c r="E67" i="13"/>
  <c r="G31" i="13"/>
  <c r="G32" i="13"/>
  <c r="G33" i="13"/>
  <c r="G34" i="13"/>
  <c r="G35" i="13"/>
  <c r="G67" i="13"/>
  <c r="E68" i="13"/>
  <c r="G68" i="13"/>
  <c r="F71" i="13"/>
  <c r="E72" i="13"/>
  <c r="B72" i="13"/>
  <c r="D72" i="13"/>
  <c r="C79" i="13"/>
  <c r="D79" i="13"/>
  <c r="E85" i="13"/>
  <c r="E36" i="13"/>
  <c r="B75" i="13"/>
  <c r="D75" i="13"/>
  <c r="C82" i="13"/>
  <c r="D82" i="13"/>
  <c r="G85" i="13"/>
  <c r="G36" i="13"/>
  <c r="E86" i="13"/>
  <c r="E87" i="13"/>
  <c r="G79" i="13"/>
  <c r="J79" i="13"/>
  <c r="K85" i="13"/>
  <c r="K36" i="13"/>
  <c r="H74" i="13"/>
  <c r="J74" i="13"/>
  <c r="E74" i="13"/>
  <c r="G74" i="13"/>
  <c r="B74" i="13"/>
  <c r="B64" i="13"/>
  <c r="D64" i="13"/>
  <c r="B31" i="13"/>
  <c r="B32" i="13"/>
  <c r="B33" i="13"/>
  <c r="B34" i="13"/>
  <c r="B35" i="13"/>
  <c r="B65" i="13"/>
  <c r="D65" i="13"/>
  <c r="B66" i="13"/>
  <c r="D31" i="13"/>
  <c r="D32" i="13"/>
  <c r="D33" i="13"/>
  <c r="D34" i="13"/>
  <c r="D35" i="13"/>
  <c r="D66" i="13"/>
  <c r="B67" i="13"/>
  <c r="D67" i="13"/>
  <c r="B68" i="13"/>
  <c r="D68" i="13"/>
  <c r="C71" i="13"/>
  <c r="D74" i="13"/>
  <c r="C81" i="13"/>
  <c r="D85" i="13"/>
  <c r="D36" i="13"/>
  <c r="C80" i="13"/>
  <c r="B85" i="13"/>
  <c r="B36" i="13"/>
  <c r="D86" i="13"/>
  <c r="D87" i="13"/>
  <c r="D81" i="13"/>
  <c r="G81" i="13"/>
  <c r="J81" i="13"/>
  <c r="M85" i="13"/>
  <c r="M36" i="13"/>
  <c r="K86" i="13"/>
  <c r="K87" i="13"/>
  <c r="M79" i="13"/>
  <c r="P79" i="13"/>
  <c r="Q85" i="13"/>
  <c r="Q36" i="13"/>
  <c r="N73" i="13"/>
  <c r="P73" i="13"/>
  <c r="K73" i="13"/>
  <c r="M73" i="13"/>
  <c r="H64" i="13"/>
  <c r="J64" i="13"/>
  <c r="H31" i="13"/>
  <c r="H32" i="13"/>
  <c r="H33" i="13"/>
  <c r="H34" i="13"/>
  <c r="H35" i="13"/>
  <c r="H65" i="13"/>
  <c r="J65" i="13"/>
  <c r="H66" i="13"/>
  <c r="J66" i="13"/>
  <c r="H67" i="13"/>
  <c r="J31" i="13"/>
  <c r="J32" i="13"/>
  <c r="J33" i="13"/>
  <c r="J34" i="13"/>
  <c r="J35" i="13"/>
  <c r="J67" i="13"/>
  <c r="H68" i="13"/>
  <c r="J68" i="13"/>
  <c r="I71" i="13"/>
  <c r="H73" i="13"/>
  <c r="E73" i="13"/>
  <c r="G73" i="13"/>
  <c r="B73" i="13"/>
  <c r="B86" i="13"/>
  <c r="B87" i="13"/>
  <c r="D80" i="13"/>
  <c r="G80" i="13"/>
  <c r="H85" i="13"/>
  <c r="H36" i="13"/>
  <c r="E75" i="13"/>
  <c r="G75" i="13"/>
  <c r="G86" i="13"/>
  <c r="G87" i="13"/>
  <c r="G82" i="13"/>
  <c r="J85" i="13"/>
  <c r="J36" i="13"/>
  <c r="H86" i="13"/>
  <c r="H87" i="13"/>
  <c r="J80" i="13"/>
  <c r="M80" i="13"/>
  <c r="P80" i="13"/>
  <c r="S85" i="13"/>
  <c r="S36" i="13"/>
  <c r="Q86" i="13"/>
  <c r="Q87" i="13"/>
  <c r="S79" i="13"/>
  <c r="V79" i="13"/>
  <c r="Y79" i="13"/>
  <c r="AB79" i="13"/>
  <c r="AE79" i="13"/>
  <c r="AU79" i="13"/>
  <c r="AC73" i="13"/>
  <c r="AE73" i="13"/>
  <c r="Z73" i="13"/>
  <c r="AB73" i="13"/>
  <c r="W73" i="13"/>
  <c r="Y73" i="13"/>
  <c r="T64" i="13"/>
  <c r="V64" i="13"/>
  <c r="T31" i="13"/>
  <c r="T32" i="13"/>
  <c r="T33" i="13"/>
  <c r="T34" i="13"/>
  <c r="T35" i="13"/>
  <c r="T65" i="13"/>
  <c r="V65" i="13"/>
  <c r="T66" i="13"/>
  <c r="V31" i="13"/>
  <c r="V32" i="13"/>
  <c r="V33" i="13"/>
  <c r="V34" i="13"/>
  <c r="V35" i="13"/>
  <c r="V66" i="13"/>
  <c r="T67" i="13"/>
  <c r="V67" i="13"/>
  <c r="T68" i="13"/>
  <c r="V68" i="13"/>
  <c r="U71" i="13"/>
  <c r="T73" i="13"/>
  <c r="V73" i="13"/>
  <c r="Q73" i="13"/>
  <c r="S73" i="13"/>
  <c r="S86" i="13"/>
  <c r="S87" i="13"/>
  <c r="S80" i="13"/>
  <c r="V80" i="13"/>
  <c r="Y80" i="13"/>
  <c r="AB80" i="13"/>
  <c r="AE80" i="13"/>
  <c r="AU80" i="13"/>
  <c r="AC74" i="13"/>
  <c r="AE74" i="13"/>
  <c r="Z64" i="13"/>
  <c r="AB64" i="13"/>
  <c r="Z65" i="13"/>
  <c r="AB65" i="13"/>
  <c r="Z31" i="13"/>
  <c r="Z32" i="13"/>
  <c r="Z33" i="13"/>
  <c r="Z34" i="13"/>
  <c r="Z35" i="13"/>
  <c r="Z66" i="13"/>
  <c r="AB66" i="13"/>
  <c r="Z67" i="13"/>
  <c r="AB31" i="13"/>
  <c r="AB32" i="13"/>
  <c r="AB33" i="13"/>
  <c r="AB34" i="13"/>
  <c r="AB35" i="13"/>
  <c r="AB67" i="13"/>
  <c r="Z68" i="13"/>
  <c r="AB68" i="13"/>
  <c r="AA71" i="13"/>
  <c r="Z74" i="13"/>
  <c r="AB74" i="13"/>
  <c r="W74" i="13"/>
  <c r="Y74" i="13"/>
  <c r="T74" i="13"/>
  <c r="V74" i="13"/>
  <c r="Q74" i="13"/>
  <c r="S74" i="13"/>
  <c r="N64" i="13"/>
  <c r="P64" i="13"/>
  <c r="N65" i="13"/>
  <c r="P65" i="13"/>
  <c r="N31" i="13"/>
  <c r="N32" i="13"/>
  <c r="N33" i="13"/>
  <c r="N34" i="13"/>
  <c r="N35" i="13"/>
  <c r="N66" i="13"/>
  <c r="P66" i="13"/>
  <c r="N67" i="13"/>
  <c r="P31" i="13"/>
  <c r="P32" i="13"/>
  <c r="P33" i="13"/>
  <c r="P34" i="13"/>
  <c r="P35" i="13"/>
  <c r="P67" i="13"/>
  <c r="N68" i="13"/>
  <c r="P68" i="13"/>
  <c r="O71" i="13"/>
  <c r="N74" i="13"/>
  <c r="K74" i="13"/>
  <c r="M74" i="13"/>
  <c r="M86" i="13"/>
  <c r="M87" i="13"/>
  <c r="M81" i="13"/>
  <c r="N85" i="13"/>
  <c r="N36" i="13"/>
  <c r="K75" i="13"/>
  <c r="M75" i="13"/>
  <c r="H75" i="13"/>
  <c r="J75" i="13"/>
  <c r="J86" i="13"/>
  <c r="J87" i="13"/>
  <c r="J82" i="13"/>
  <c r="M82" i="13"/>
  <c r="P85" i="13"/>
  <c r="P36" i="13"/>
  <c r="N86" i="13"/>
  <c r="N87" i="13"/>
  <c r="P81" i="13"/>
  <c r="S81" i="13"/>
  <c r="V81" i="13"/>
  <c r="Y81" i="13"/>
  <c r="AB81" i="13"/>
  <c r="AE81" i="13"/>
  <c r="AU81" i="13"/>
  <c r="AC75" i="13"/>
  <c r="AE75" i="13"/>
  <c r="Z75" i="13"/>
  <c r="AB75" i="13"/>
  <c r="W75" i="13"/>
  <c r="Y75" i="13"/>
  <c r="T75" i="13"/>
  <c r="V75" i="13"/>
  <c r="Q75" i="13"/>
  <c r="S75" i="13"/>
  <c r="N75" i="13"/>
  <c r="P75" i="13"/>
  <c r="P86" i="13"/>
  <c r="P87" i="13"/>
  <c r="P82" i="13"/>
  <c r="S82" i="13"/>
  <c r="V82" i="13"/>
  <c r="Y82" i="13"/>
  <c r="AB82" i="13"/>
  <c r="AE82" i="13"/>
  <c r="AU82" i="13"/>
  <c r="E16" i="13"/>
  <c r="B83" i="13"/>
  <c r="AT83" i="13"/>
  <c r="AC76" i="13"/>
  <c r="AE76" i="13"/>
  <c r="Z76" i="13"/>
  <c r="AB76" i="13"/>
  <c r="W76" i="13"/>
  <c r="Y76" i="13"/>
  <c r="T76" i="13"/>
  <c r="V76" i="13"/>
  <c r="Q76" i="13"/>
  <c r="S76" i="13"/>
  <c r="N76" i="13"/>
  <c r="P76" i="13"/>
  <c r="K76" i="13"/>
  <c r="M76" i="13"/>
  <c r="H76" i="13"/>
  <c r="J76" i="13"/>
  <c r="E76" i="13"/>
  <c r="G76" i="13"/>
  <c r="B76" i="13"/>
  <c r="D76" i="13"/>
  <c r="C83" i="13"/>
  <c r="D83" i="13"/>
  <c r="G83" i="13"/>
  <c r="J83" i="13"/>
  <c r="M83" i="13"/>
  <c r="P83" i="13"/>
  <c r="S83" i="13"/>
  <c r="V83" i="13"/>
  <c r="Y83" i="13"/>
  <c r="AB83" i="13"/>
  <c r="AE83" i="13"/>
  <c r="AU83" i="13"/>
  <c r="E93" i="13"/>
  <c r="B164" i="13"/>
  <c r="AT164" i="13"/>
  <c r="AC116" i="13"/>
  <c r="AC117" i="13"/>
  <c r="AC118" i="13"/>
  <c r="AC119" i="13"/>
  <c r="AC120" i="13"/>
  <c r="AC149" i="13"/>
  <c r="AE149" i="13"/>
  <c r="AC150" i="13"/>
  <c r="AE116" i="13"/>
  <c r="AE117" i="13"/>
  <c r="AE118" i="13"/>
  <c r="AE119" i="13"/>
  <c r="AE120" i="13"/>
  <c r="AE150" i="13"/>
  <c r="AC151" i="13"/>
  <c r="AE151" i="13"/>
  <c r="AC152" i="13"/>
  <c r="AE152" i="13"/>
  <c r="AC153" i="13"/>
  <c r="AE153" i="13"/>
  <c r="AD156" i="13"/>
  <c r="AC157" i="13"/>
  <c r="AE157" i="13"/>
  <c r="Z157" i="13"/>
  <c r="AB157" i="13"/>
  <c r="W116" i="13"/>
  <c r="W117" i="13"/>
  <c r="W118" i="13"/>
  <c r="W119" i="13"/>
  <c r="W120" i="13"/>
  <c r="W149" i="13"/>
  <c r="Y149" i="13"/>
  <c r="W150" i="13"/>
  <c r="Y150" i="13"/>
  <c r="W151" i="13"/>
  <c r="Y151" i="13"/>
  <c r="W152" i="13"/>
  <c r="Y152" i="13"/>
  <c r="W153" i="13"/>
  <c r="Y116" i="13"/>
  <c r="Y117" i="13"/>
  <c r="Y118" i="13"/>
  <c r="Y119" i="13"/>
  <c r="Y120" i="13"/>
  <c r="Y153" i="13"/>
  <c r="X156" i="13"/>
  <c r="W157" i="13"/>
  <c r="Y157" i="13"/>
  <c r="T157" i="13"/>
  <c r="V157" i="13"/>
  <c r="Q116" i="13"/>
  <c r="Q117" i="13"/>
  <c r="Q118" i="13"/>
  <c r="Q119" i="13"/>
  <c r="Q120" i="13"/>
  <c r="Q149" i="13"/>
  <c r="S149" i="13"/>
  <c r="Q150" i="13"/>
  <c r="S116" i="13"/>
  <c r="S117" i="13"/>
  <c r="S118" i="13"/>
  <c r="S119" i="13"/>
  <c r="S120" i="13"/>
  <c r="S150" i="13"/>
  <c r="Q151" i="13"/>
  <c r="S151" i="13"/>
  <c r="Q152" i="13"/>
  <c r="S152" i="13"/>
  <c r="Q153" i="13"/>
  <c r="S153" i="13"/>
  <c r="R156" i="13"/>
  <c r="Q157" i="13"/>
  <c r="N157" i="13"/>
  <c r="P157" i="13"/>
  <c r="K116" i="13"/>
  <c r="K117" i="13"/>
  <c r="K118" i="13"/>
  <c r="K119" i="13"/>
  <c r="K120" i="13"/>
  <c r="K149" i="13"/>
  <c r="M149" i="13"/>
  <c r="K150" i="13"/>
  <c r="M150" i="13"/>
  <c r="K151" i="13"/>
  <c r="M116" i="13"/>
  <c r="M117" i="13"/>
  <c r="M118" i="13"/>
  <c r="M119" i="13"/>
  <c r="M120" i="13"/>
  <c r="M151" i="13"/>
  <c r="K152" i="13"/>
  <c r="M152" i="13"/>
  <c r="K153" i="13"/>
  <c r="M153" i="13"/>
  <c r="L156" i="13"/>
  <c r="K157" i="13"/>
  <c r="H157" i="13"/>
  <c r="J157" i="13"/>
  <c r="E116" i="13"/>
  <c r="E117" i="13"/>
  <c r="E118" i="13"/>
  <c r="E119" i="13"/>
  <c r="E120" i="13"/>
  <c r="E149" i="13"/>
  <c r="G149" i="13"/>
  <c r="E150" i="13"/>
  <c r="G150" i="13"/>
  <c r="E151" i="13"/>
  <c r="G151" i="13"/>
  <c r="E152" i="13"/>
  <c r="G116" i="13"/>
  <c r="G117" i="13"/>
  <c r="G118" i="13"/>
  <c r="G119" i="13"/>
  <c r="G120" i="13"/>
  <c r="G152" i="13"/>
  <c r="E153" i="13"/>
  <c r="G153" i="13"/>
  <c r="F156" i="13"/>
  <c r="E157" i="13"/>
  <c r="B157" i="13"/>
  <c r="D157" i="13"/>
  <c r="C164" i="13"/>
  <c r="D164" i="13"/>
  <c r="E170" i="13"/>
  <c r="E121" i="13"/>
  <c r="B160" i="13"/>
  <c r="D160" i="13"/>
  <c r="B167" i="13"/>
  <c r="C167" i="13"/>
  <c r="D167" i="13"/>
  <c r="G170" i="13"/>
  <c r="G121" i="13"/>
  <c r="E171" i="13"/>
  <c r="E172" i="13"/>
  <c r="G164" i="13"/>
  <c r="J164" i="13"/>
  <c r="K170" i="13"/>
  <c r="K121" i="13"/>
  <c r="H159" i="13"/>
  <c r="J159" i="13"/>
  <c r="E159" i="13"/>
  <c r="G159" i="13"/>
  <c r="B159" i="13"/>
  <c r="B149" i="13"/>
  <c r="D149" i="13"/>
  <c r="B116" i="13"/>
  <c r="B117" i="13"/>
  <c r="B118" i="13"/>
  <c r="B119" i="13"/>
  <c r="B120" i="13"/>
  <c r="B150" i="13"/>
  <c r="D150" i="13"/>
  <c r="B151" i="13"/>
  <c r="D116" i="13"/>
  <c r="D117" i="13"/>
  <c r="D118" i="13"/>
  <c r="D119" i="13"/>
  <c r="D120" i="13"/>
  <c r="D151" i="13"/>
  <c r="B152" i="13"/>
  <c r="D152" i="13"/>
  <c r="B153" i="13"/>
  <c r="D153" i="13"/>
  <c r="C156" i="13"/>
  <c r="D159" i="13"/>
  <c r="E97" i="13"/>
  <c r="B166" i="13"/>
  <c r="C166" i="13"/>
  <c r="D170" i="13"/>
  <c r="D121" i="13"/>
  <c r="E95" i="13"/>
  <c r="B165" i="13"/>
  <c r="C165" i="13"/>
  <c r="B170" i="13"/>
  <c r="B121" i="13"/>
  <c r="D171" i="13"/>
  <c r="D172" i="13"/>
  <c r="D166" i="13"/>
  <c r="G166" i="13"/>
  <c r="J166" i="13"/>
  <c r="M170" i="13"/>
  <c r="M121" i="13"/>
  <c r="K171" i="13"/>
  <c r="K172" i="13"/>
  <c r="M164" i="13"/>
  <c r="P164" i="13"/>
  <c r="Q170" i="13"/>
  <c r="Q121" i="13"/>
  <c r="N158" i="13"/>
  <c r="P158" i="13"/>
  <c r="K158" i="13"/>
  <c r="M158" i="13"/>
  <c r="H149" i="13"/>
  <c r="J149" i="13"/>
  <c r="H116" i="13"/>
  <c r="H117" i="13"/>
  <c r="H118" i="13"/>
  <c r="H119" i="13"/>
  <c r="H120" i="13"/>
  <c r="H150" i="13"/>
  <c r="J150" i="13"/>
  <c r="H151" i="13"/>
  <c r="J151" i="13"/>
  <c r="H152" i="13"/>
  <c r="J116" i="13"/>
  <c r="J117" i="13"/>
  <c r="J118" i="13"/>
  <c r="J119" i="13"/>
  <c r="J120" i="13"/>
  <c r="J152" i="13"/>
  <c r="H153" i="13"/>
  <c r="J153" i="13"/>
  <c r="I156" i="13"/>
  <c r="H158" i="13"/>
  <c r="E158" i="13"/>
  <c r="G158" i="13"/>
  <c r="B158" i="13"/>
  <c r="B171" i="13"/>
  <c r="B172" i="13"/>
  <c r="D165" i="13"/>
  <c r="G165" i="13"/>
  <c r="H170" i="13"/>
  <c r="H121" i="13"/>
  <c r="E160" i="13"/>
  <c r="G160" i="13"/>
  <c r="G171" i="13"/>
  <c r="G172" i="13"/>
  <c r="G167" i="13"/>
  <c r="J170" i="13"/>
  <c r="J121" i="13"/>
  <c r="H171" i="13"/>
  <c r="H172" i="13"/>
  <c r="J165" i="13"/>
  <c r="M165" i="13"/>
  <c r="P165" i="13"/>
  <c r="S170" i="13"/>
  <c r="S121" i="13"/>
  <c r="Q171" i="13"/>
  <c r="Q172" i="13"/>
  <c r="S164" i="13"/>
  <c r="V164" i="13"/>
  <c r="Y164" i="13"/>
  <c r="AB164" i="13"/>
  <c r="AE164" i="13"/>
  <c r="AU164" i="13"/>
  <c r="AT165" i="13"/>
  <c r="AC158" i="13"/>
  <c r="AE158" i="13"/>
  <c r="Z158" i="13"/>
  <c r="AB158" i="13"/>
  <c r="W158" i="13"/>
  <c r="Y158" i="13"/>
  <c r="T149" i="13"/>
  <c r="V149" i="13"/>
  <c r="T116" i="13"/>
  <c r="T117" i="13"/>
  <c r="T118" i="13"/>
  <c r="T119" i="13"/>
  <c r="T120" i="13"/>
  <c r="T150" i="13"/>
  <c r="V150" i="13"/>
  <c r="T151" i="13"/>
  <c r="V116" i="13"/>
  <c r="V117" i="13"/>
  <c r="V118" i="13"/>
  <c r="V119" i="13"/>
  <c r="V120" i="13"/>
  <c r="V151" i="13"/>
  <c r="T152" i="13"/>
  <c r="V152" i="13"/>
  <c r="T153" i="13"/>
  <c r="V153" i="13"/>
  <c r="U156" i="13"/>
  <c r="T158" i="13"/>
  <c r="V158" i="13"/>
  <c r="Q158" i="13"/>
  <c r="S158" i="13"/>
  <c r="S171" i="13"/>
  <c r="S172" i="13"/>
  <c r="S165" i="13"/>
  <c r="V165" i="13"/>
  <c r="Y165" i="13"/>
  <c r="AB165" i="13"/>
  <c r="AE165" i="13"/>
  <c r="AU165" i="13"/>
  <c r="AT166" i="13"/>
  <c r="AC159" i="13"/>
  <c r="AE159" i="13"/>
  <c r="Z149" i="13"/>
  <c r="AB149" i="13"/>
  <c r="Z150" i="13"/>
  <c r="AB150" i="13"/>
  <c r="Z116" i="13"/>
  <c r="Z117" i="13"/>
  <c r="Z118" i="13"/>
  <c r="Z119" i="13"/>
  <c r="Z120" i="13"/>
  <c r="Z151" i="13"/>
  <c r="AB151" i="13"/>
  <c r="Z152" i="13"/>
  <c r="AB116" i="13"/>
  <c r="AB117" i="13"/>
  <c r="AB118" i="13"/>
  <c r="AB119" i="13"/>
  <c r="AB120" i="13"/>
  <c r="AB152" i="13"/>
  <c r="Z153" i="13"/>
  <c r="AB153" i="13"/>
  <c r="AA156" i="13"/>
  <c r="Z159" i="13"/>
  <c r="AB159" i="13"/>
  <c r="W159" i="13"/>
  <c r="Y159" i="13"/>
  <c r="T159" i="13"/>
  <c r="V159" i="13"/>
  <c r="Q159" i="13"/>
  <c r="S159" i="13"/>
  <c r="N149" i="13"/>
  <c r="P149" i="13"/>
  <c r="N150" i="13"/>
  <c r="P150" i="13"/>
  <c r="N116" i="13"/>
  <c r="N117" i="13"/>
  <c r="N118" i="13"/>
  <c r="N119" i="13"/>
  <c r="N120" i="13"/>
  <c r="N151" i="13"/>
  <c r="P151" i="13"/>
  <c r="N152" i="13"/>
  <c r="P116" i="13"/>
  <c r="P117" i="13"/>
  <c r="P118" i="13"/>
  <c r="P119" i="13"/>
  <c r="P120" i="13"/>
  <c r="P152" i="13"/>
  <c r="N153" i="13"/>
  <c r="P153" i="13"/>
  <c r="O156" i="13"/>
  <c r="N159" i="13"/>
  <c r="K159" i="13"/>
  <c r="M159" i="13"/>
  <c r="M171" i="13"/>
  <c r="M172" i="13"/>
  <c r="M166" i="13"/>
  <c r="N170" i="13"/>
  <c r="N121" i="13"/>
  <c r="K160" i="13"/>
  <c r="M160" i="13"/>
  <c r="H160" i="13"/>
  <c r="J160" i="13"/>
  <c r="J171" i="13"/>
  <c r="J172" i="13"/>
  <c r="J167" i="13"/>
  <c r="M167" i="13"/>
  <c r="P170" i="13"/>
  <c r="P121" i="13"/>
  <c r="N171" i="13"/>
  <c r="N172" i="13"/>
  <c r="P166" i="13"/>
  <c r="S166" i="13"/>
  <c r="V166" i="13"/>
  <c r="Y166" i="13"/>
  <c r="AB166" i="13"/>
  <c r="AE166" i="13"/>
  <c r="AU166" i="13"/>
  <c r="AT167" i="13"/>
  <c r="AC160" i="13"/>
  <c r="AE160" i="13"/>
  <c r="Z160" i="13"/>
  <c r="AB160" i="13"/>
  <c r="W160" i="13"/>
  <c r="Y160" i="13"/>
  <c r="T160" i="13"/>
  <c r="V160" i="13"/>
  <c r="Q160" i="13"/>
  <c r="S160" i="13"/>
  <c r="N160" i="13"/>
  <c r="P160" i="13"/>
  <c r="P171" i="13"/>
  <c r="P172" i="13"/>
  <c r="P167" i="13"/>
  <c r="S167" i="13"/>
  <c r="V167" i="13"/>
  <c r="Y167" i="13"/>
  <c r="AB167" i="13"/>
  <c r="AE167" i="13"/>
  <c r="AU167" i="13"/>
  <c r="E101" i="13"/>
  <c r="B168" i="13"/>
  <c r="AT168" i="13"/>
  <c r="AC161" i="13"/>
  <c r="AE161" i="13"/>
  <c r="Z161" i="13"/>
  <c r="AB161" i="13"/>
  <c r="W161" i="13"/>
  <c r="Y161" i="13"/>
  <c r="T161" i="13"/>
  <c r="V161" i="13"/>
  <c r="Q161" i="13"/>
  <c r="S161" i="13"/>
  <c r="N161" i="13"/>
  <c r="P161" i="13"/>
  <c r="K161" i="13"/>
  <c r="M161" i="13"/>
  <c r="H161" i="13"/>
  <c r="J161" i="13"/>
  <c r="E161" i="13"/>
  <c r="G161" i="13"/>
  <c r="B161" i="13"/>
  <c r="D161" i="13"/>
  <c r="C168" i="13"/>
  <c r="D168" i="13"/>
  <c r="G168" i="13"/>
  <c r="J168" i="13"/>
  <c r="M168" i="13"/>
  <c r="P168" i="13"/>
  <c r="S168" i="13"/>
  <c r="V168" i="13"/>
  <c r="Y168" i="13"/>
  <c r="AB168" i="13"/>
  <c r="AE168" i="13"/>
  <c r="AU168" i="13"/>
  <c r="AX9" i="13"/>
  <c r="X230" i="13"/>
  <c r="Y231" i="13"/>
  <c r="W22" i="13"/>
  <c r="V179" i="13"/>
  <c r="X210" i="13"/>
  <c r="W227" i="13"/>
  <c r="AX7" i="13"/>
  <c r="X227" i="13"/>
  <c r="W231" i="13"/>
  <c r="Y232" i="13"/>
  <c r="Y233" i="13"/>
  <c r="Y230" i="13"/>
  <c r="AB230" i="13"/>
  <c r="AC231" i="13"/>
  <c r="AC219" i="13"/>
  <c r="AC220" i="13"/>
  <c r="AC221" i="13"/>
  <c r="AC222" i="13"/>
  <c r="AE219" i="13"/>
  <c r="AE220" i="13"/>
  <c r="AE221" i="13"/>
  <c r="AE222" i="13"/>
  <c r="Z219" i="13"/>
  <c r="Z220" i="13"/>
  <c r="Z221" i="13"/>
  <c r="Z222" i="13"/>
  <c r="AB219" i="13"/>
  <c r="AB220" i="13"/>
  <c r="AB221" i="13"/>
  <c r="AB222" i="13"/>
  <c r="AE218" i="13"/>
  <c r="AF179" i="13"/>
  <c r="X212" i="13"/>
  <c r="W229" i="13"/>
  <c r="AX6" i="13"/>
  <c r="X229" i="13"/>
  <c r="Y229" i="13"/>
  <c r="AB231" i="13"/>
  <c r="Z22" i="13"/>
  <c r="V180" i="13"/>
  <c r="X211" i="13"/>
  <c r="W228" i="13"/>
  <c r="AX8" i="13"/>
  <c r="X228" i="13"/>
  <c r="Y228" i="13"/>
  <c r="Z231" i="13"/>
  <c r="AB232" i="13"/>
  <c r="AB233" i="13"/>
  <c r="AB229" i="13"/>
  <c r="AE231" i="13"/>
  <c r="AC232" i="13"/>
  <c r="AC233" i="13"/>
  <c r="AE230" i="13"/>
  <c r="AU233" i="13"/>
  <c r="AT233" i="13"/>
  <c r="AC22" i="13"/>
  <c r="AE232" i="13"/>
  <c r="AE233" i="13"/>
  <c r="Z232" i="13"/>
  <c r="Z233" i="13"/>
  <c r="W232" i="13"/>
  <c r="W233" i="13"/>
  <c r="E219" i="13"/>
  <c r="E220" i="13"/>
  <c r="E221" i="13"/>
  <c r="E222" i="13"/>
  <c r="G219" i="13"/>
  <c r="G220" i="13"/>
  <c r="G221" i="13"/>
  <c r="G222" i="13"/>
  <c r="J218" i="13"/>
  <c r="B180" i="13"/>
  <c r="B211" i="13"/>
  <c r="B228" i="13"/>
  <c r="AX5" i="13"/>
  <c r="C228" i="13"/>
  <c r="D228" i="13"/>
  <c r="E231" i="13"/>
  <c r="L179" i="13"/>
  <c r="B212" i="13"/>
  <c r="B229" i="13"/>
  <c r="AX3" i="13"/>
  <c r="C229" i="13"/>
  <c r="D229" i="13"/>
  <c r="G231" i="13"/>
  <c r="E232" i="13"/>
  <c r="E233" i="13"/>
  <c r="G228" i="13"/>
  <c r="J231" i="13"/>
  <c r="J219" i="13"/>
  <c r="J220" i="13"/>
  <c r="J221" i="13"/>
  <c r="J222" i="13"/>
  <c r="H22" i="13"/>
  <c r="B219" i="13"/>
  <c r="B220" i="13"/>
  <c r="B221" i="13"/>
  <c r="B222" i="13"/>
  <c r="D219" i="13"/>
  <c r="D220" i="13"/>
  <c r="D221" i="13"/>
  <c r="D222" i="13"/>
  <c r="H218" i="13"/>
  <c r="B179" i="13"/>
  <c r="B210" i="13"/>
  <c r="B227" i="13"/>
  <c r="AX10" i="13"/>
  <c r="C227" i="13"/>
  <c r="B231" i="13"/>
  <c r="L180" i="13"/>
  <c r="B213" i="13"/>
  <c r="B230" i="13"/>
  <c r="AX4" i="13"/>
  <c r="C230" i="13"/>
  <c r="D231" i="13"/>
  <c r="B232" i="13"/>
  <c r="B233" i="13"/>
  <c r="D227" i="13"/>
  <c r="G227" i="13"/>
  <c r="H231" i="13"/>
  <c r="H219" i="13"/>
  <c r="H220" i="13"/>
  <c r="H221" i="13"/>
  <c r="H222" i="13"/>
  <c r="J232" i="13"/>
  <c r="J233" i="13"/>
  <c r="H232" i="13"/>
  <c r="H233" i="13"/>
  <c r="E22" i="13"/>
  <c r="G232" i="13"/>
  <c r="G233" i="13"/>
  <c r="D232" i="13"/>
  <c r="D233" i="13"/>
  <c r="AE229" i="13"/>
  <c r="AU232" i="13"/>
  <c r="AT232" i="13"/>
  <c r="AB228" i="13"/>
  <c r="AE228" i="13"/>
  <c r="AU231" i="13"/>
  <c r="AT231" i="13"/>
  <c r="Y227" i="13"/>
  <c r="AB227" i="13"/>
  <c r="AE227" i="13"/>
  <c r="AU230" i="13"/>
  <c r="AT230" i="13"/>
  <c r="D230" i="13"/>
  <c r="G230" i="13"/>
  <c r="J230" i="13"/>
  <c r="AU229" i="13"/>
  <c r="AT229" i="13"/>
  <c r="G229" i="13"/>
  <c r="J229" i="13"/>
  <c r="AU228" i="13"/>
  <c r="AT228" i="13"/>
  <c r="J228" i="13"/>
  <c r="AU227" i="13"/>
  <c r="AT227" i="13"/>
  <c r="J227" i="13"/>
  <c r="AU226" i="13"/>
  <c r="AT226" i="13"/>
  <c r="AF223" i="13"/>
  <c r="K223" i="13"/>
  <c r="E100" i="13"/>
  <c r="AL180" i="13"/>
  <c r="AG213" i="13"/>
  <c r="E94" i="13"/>
  <c r="R180" i="13"/>
  <c r="K213" i="13"/>
  <c r="E11" i="13"/>
  <c r="AL179" i="13"/>
  <c r="AG212" i="13"/>
  <c r="E9" i="13"/>
  <c r="R179" i="13"/>
  <c r="K212" i="13"/>
  <c r="E98" i="13"/>
  <c r="AB180" i="13"/>
  <c r="AG211" i="13"/>
  <c r="E96" i="13"/>
  <c r="H180" i="13"/>
  <c r="K211" i="13"/>
  <c r="E13" i="13"/>
  <c r="AB179" i="13"/>
  <c r="AG210" i="13"/>
  <c r="E15" i="13"/>
  <c r="H179" i="13"/>
  <c r="K210" i="13"/>
  <c r="U204" i="13"/>
  <c r="A204" i="13"/>
  <c r="AB203" i="13"/>
  <c r="F203" i="13"/>
  <c r="U199" i="13"/>
  <c r="A199" i="13"/>
  <c r="AF198" i="13"/>
  <c r="J198" i="13"/>
  <c r="U195" i="13"/>
  <c r="A195" i="13"/>
  <c r="AB193" i="13"/>
  <c r="F193" i="13"/>
  <c r="U190" i="13"/>
  <c r="A190" i="13"/>
  <c r="A174" i="13"/>
  <c r="AE170" i="13"/>
  <c r="AE121" i="13"/>
  <c r="AC170" i="13"/>
  <c r="AC121" i="13"/>
  <c r="AE171" i="13"/>
  <c r="AE172" i="13"/>
  <c r="AC171" i="13"/>
  <c r="AC172" i="13"/>
  <c r="AB170" i="13"/>
  <c r="AB121" i="13"/>
  <c r="Z170" i="13"/>
  <c r="Z121" i="13"/>
  <c r="AB171" i="13"/>
  <c r="AB172" i="13"/>
  <c r="Z171" i="13"/>
  <c r="Z172" i="13"/>
  <c r="Y170" i="13"/>
  <c r="Y121" i="13"/>
  <c r="W170" i="13"/>
  <c r="W121" i="13"/>
  <c r="Y171" i="13"/>
  <c r="Y172" i="13"/>
  <c r="W171" i="13"/>
  <c r="W172" i="13"/>
  <c r="V170" i="13"/>
  <c r="V121" i="13"/>
  <c r="T170" i="13"/>
  <c r="T121" i="13"/>
  <c r="V171" i="13"/>
  <c r="V172" i="13"/>
  <c r="T171" i="13"/>
  <c r="T172" i="13"/>
  <c r="AF161" i="13"/>
  <c r="AF160" i="13"/>
  <c r="P159" i="13"/>
  <c r="AF159" i="13"/>
  <c r="D158" i="13"/>
  <c r="J158" i="13"/>
  <c r="AF158" i="13"/>
  <c r="G157" i="13"/>
  <c r="M157" i="13"/>
  <c r="S157" i="13"/>
  <c r="AF157" i="13"/>
  <c r="AF153" i="13"/>
  <c r="AG153" i="13"/>
  <c r="AF152" i="13"/>
  <c r="AG152" i="13"/>
  <c r="AF151" i="13"/>
  <c r="AG151" i="13"/>
  <c r="AF150" i="13"/>
  <c r="AG150" i="13"/>
  <c r="AF149" i="13"/>
  <c r="AG149" i="13"/>
  <c r="B147" i="13"/>
  <c r="D147" i="13"/>
  <c r="E147" i="13"/>
  <c r="G147" i="13"/>
  <c r="H147" i="13"/>
  <c r="J147" i="13"/>
  <c r="K147" i="13"/>
  <c r="M147" i="13"/>
  <c r="N147" i="13"/>
  <c r="P147" i="13"/>
  <c r="Q147" i="13"/>
  <c r="S147" i="13"/>
  <c r="T147" i="13"/>
  <c r="V147" i="13"/>
  <c r="W147" i="13"/>
  <c r="W124" i="13"/>
  <c r="Y124" i="13"/>
  <c r="W125" i="13"/>
  <c r="Y125" i="13"/>
  <c r="W126" i="13"/>
  <c r="Y126" i="13"/>
  <c r="W127" i="13"/>
  <c r="Y127" i="13"/>
  <c r="W128" i="13"/>
  <c r="Y128" i="13"/>
  <c r="W129" i="13"/>
  <c r="Y147" i="13"/>
  <c r="Z147" i="13"/>
  <c r="AB147" i="13"/>
  <c r="AC147" i="13"/>
  <c r="AE147" i="13"/>
  <c r="AF147" i="13"/>
  <c r="B146" i="13"/>
  <c r="D146" i="13"/>
  <c r="E146" i="13"/>
  <c r="E124" i="13"/>
  <c r="G124" i="13"/>
  <c r="E125" i="13"/>
  <c r="G125" i="13"/>
  <c r="E126" i="13"/>
  <c r="G126" i="13"/>
  <c r="E127" i="13"/>
  <c r="G127" i="13"/>
  <c r="E128" i="13"/>
  <c r="G128" i="13"/>
  <c r="E129" i="13"/>
  <c r="G146" i="13"/>
  <c r="H146" i="13"/>
  <c r="H124" i="13"/>
  <c r="J124" i="13"/>
  <c r="H125" i="13"/>
  <c r="J125" i="13"/>
  <c r="H126" i="13"/>
  <c r="J126" i="13"/>
  <c r="H127" i="13"/>
  <c r="J127" i="13"/>
  <c r="H128" i="13"/>
  <c r="J128" i="13"/>
  <c r="H129" i="13"/>
  <c r="J146" i="13"/>
  <c r="K146" i="13"/>
  <c r="M146" i="13"/>
  <c r="N146" i="13"/>
  <c r="N124" i="13"/>
  <c r="P124" i="13"/>
  <c r="N125" i="13"/>
  <c r="P125" i="13"/>
  <c r="N126" i="13"/>
  <c r="P126" i="13"/>
  <c r="N127" i="13"/>
  <c r="P127" i="13"/>
  <c r="N128" i="13"/>
  <c r="P128" i="13"/>
  <c r="N129" i="13"/>
  <c r="P146" i="13"/>
  <c r="Q146" i="13"/>
  <c r="S146" i="13"/>
  <c r="T146" i="13"/>
  <c r="V146" i="13"/>
  <c r="W146" i="13"/>
  <c r="Y146" i="13"/>
  <c r="Z146" i="13"/>
  <c r="Z124" i="13"/>
  <c r="AB124" i="13"/>
  <c r="Z125" i="13"/>
  <c r="AB125" i="13"/>
  <c r="Z126" i="13"/>
  <c r="AB126" i="13"/>
  <c r="Z127" i="13"/>
  <c r="AB127" i="13"/>
  <c r="Z128" i="13"/>
  <c r="AB128" i="13"/>
  <c r="Z129" i="13"/>
  <c r="AB146" i="13"/>
  <c r="AC146" i="13"/>
  <c r="AE146" i="13"/>
  <c r="AF146" i="13"/>
  <c r="B145" i="13"/>
  <c r="B124" i="13"/>
  <c r="D124" i="13"/>
  <c r="B125" i="13"/>
  <c r="D125" i="13"/>
  <c r="B126" i="13"/>
  <c r="D126" i="13"/>
  <c r="B127" i="13"/>
  <c r="D127" i="13"/>
  <c r="B128" i="13"/>
  <c r="D128" i="13"/>
  <c r="B129" i="13"/>
  <c r="D145" i="13"/>
  <c r="E145" i="13"/>
  <c r="G145" i="13"/>
  <c r="H145" i="13"/>
  <c r="J145" i="13"/>
  <c r="K145" i="13"/>
  <c r="K124" i="13"/>
  <c r="M124" i="13"/>
  <c r="K125" i="13"/>
  <c r="M125" i="13"/>
  <c r="K126" i="13"/>
  <c r="M126" i="13"/>
  <c r="K127" i="13"/>
  <c r="M127" i="13"/>
  <c r="K128" i="13"/>
  <c r="M128" i="13"/>
  <c r="K129" i="13"/>
  <c r="M145" i="13"/>
  <c r="N145" i="13"/>
  <c r="P145" i="13"/>
  <c r="Q145" i="13"/>
  <c r="S145" i="13"/>
  <c r="T145" i="13"/>
  <c r="T124" i="13"/>
  <c r="V124" i="13"/>
  <c r="T125" i="13"/>
  <c r="V125" i="13"/>
  <c r="T126" i="13"/>
  <c r="V126" i="13"/>
  <c r="T127" i="13"/>
  <c r="V127" i="13"/>
  <c r="T128" i="13"/>
  <c r="V128" i="13"/>
  <c r="T129" i="13"/>
  <c r="V145" i="13"/>
  <c r="W145" i="13"/>
  <c r="Y145" i="13"/>
  <c r="Z145" i="13"/>
  <c r="AB145" i="13"/>
  <c r="AC145" i="13"/>
  <c r="AE145" i="13"/>
  <c r="AF145" i="13"/>
  <c r="B144" i="13"/>
  <c r="D144" i="13"/>
  <c r="E144" i="13"/>
  <c r="G144" i="13"/>
  <c r="H144" i="13"/>
  <c r="J144" i="13"/>
  <c r="K144" i="13"/>
  <c r="M144" i="13"/>
  <c r="N144" i="13"/>
  <c r="P144" i="13"/>
  <c r="Q144" i="13"/>
  <c r="Q124" i="13"/>
  <c r="S124" i="13"/>
  <c r="Q125" i="13"/>
  <c r="S125" i="13"/>
  <c r="Q126" i="13"/>
  <c r="S126" i="13"/>
  <c r="Q127" i="13"/>
  <c r="S127" i="13"/>
  <c r="Q128" i="13"/>
  <c r="S128" i="13"/>
  <c r="Q129" i="13"/>
  <c r="S144" i="13"/>
  <c r="T144" i="13"/>
  <c r="V144" i="13"/>
  <c r="W144" i="13"/>
  <c r="Y144" i="13"/>
  <c r="Z144" i="13"/>
  <c r="AB144" i="13"/>
  <c r="AC144" i="13"/>
  <c r="AC124" i="13"/>
  <c r="AE124" i="13"/>
  <c r="AC125" i="13"/>
  <c r="AE125" i="13"/>
  <c r="AC126" i="13"/>
  <c r="AE126" i="13"/>
  <c r="AC127" i="13"/>
  <c r="AE127" i="13"/>
  <c r="AC128" i="13"/>
  <c r="AE128" i="13"/>
  <c r="AC129" i="13"/>
  <c r="AE144" i="13"/>
  <c r="AF144" i="13"/>
  <c r="B143" i="13"/>
  <c r="D143" i="13"/>
  <c r="E143" i="13"/>
  <c r="G143" i="13"/>
  <c r="H143" i="13"/>
  <c r="J143" i="13"/>
  <c r="K143" i="13"/>
  <c r="M143" i="13"/>
  <c r="N143" i="13"/>
  <c r="P143" i="13"/>
  <c r="Q143" i="13"/>
  <c r="S143" i="13"/>
  <c r="T143" i="13"/>
  <c r="V143" i="13"/>
  <c r="W143" i="13"/>
  <c r="Y143" i="13"/>
  <c r="Z143" i="13"/>
  <c r="AB143" i="13"/>
  <c r="AC143" i="13"/>
  <c r="AE143" i="13"/>
  <c r="AF143" i="13"/>
  <c r="B141" i="13"/>
  <c r="D141" i="13"/>
  <c r="E141" i="13"/>
  <c r="G141" i="13"/>
  <c r="H141" i="13"/>
  <c r="J141" i="13"/>
  <c r="K141" i="13"/>
  <c r="M141" i="13"/>
  <c r="N141" i="13"/>
  <c r="P141" i="13"/>
  <c r="Q141" i="13"/>
  <c r="S141" i="13"/>
  <c r="T141" i="13"/>
  <c r="V141" i="13"/>
  <c r="W141" i="13"/>
  <c r="W122" i="13"/>
  <c r="Y122" i="13"/>
  <c r="X122" i="13"/>
  <c r="Y141" i="13"/>
  <c r="Z141" i="13"/>
  <c r="AB141" i="13"/>
  <c r="AC141" i="13"/>
  <c r="AE141" i="13"/>
  <c r="AF141" i="13"/>
  <c r="B140" i="13"/>
  <c r="D140" i="13"/>
  <c r="E140" i="13"/>
  <c r="E122" i="13"/>
  <c r="G122" i="13"/>
  <c r="F122" i="13"/>
  <c r="G140" i="13"/>
  <c r="H140" i="13"/>
  <c r="H122" i="13"/>
  <c r="J122" i="13"/>
  <c r="I122" i="13"/>
  <c r="J140" i="13"/>
  <c r="K140" i="13"/>
  <c r="M140" i="13"/>
  <c r="N140" i="13"/>
  <c r="N122" i="13"/>
  <c r="P122" i="13"/>
  <c r="O122" i="13"/>
  <c r="P140" i="13"/>
  <c r="Q140" i="13"/>
  <c r="S140" i="13"/>
  <c r="T140" i="13"/>
  <c r="V140" i="13"/>
  <c r="W140" i="13"/>
  <c r="Y140" i="13"/>
  <c r="Z140" i="13"/>
  <c r="Z122" i="13"/>
  <c r="AB122" i="13"/>
  <c r="AA122" i="13"/>
  <c r="AB140" i="13"/>
  <c r="AC140" i="13"/>
  <c r="AE140" i="13"/>
  <c r="AF140" i="13"/>
  <c r="B139" i="13"/>
  <c r="B122" i="13"/>
  <c r="D122" i="13"/>
  <c r="C122" i="13"/>
  <c r="D139" i="13"/>
  <c r="E139" i="13"/>
  <c r="G139" i="13"/>
  <c r="H139" i="13"/>
  <c r="J139" i="13"/>
  <c r="K139" i="13"/>
  <c r="K122" i="13"/>
  <c r="M122" i="13"/>
  <c r="L122" i="13"/>
  <c r="M139" i="13"/>
  <c r="N139" i="13"/>
  <c r="P139" i="13"/>
  <c r="Q139" i="13"/>
  <c r="S139" i="13"/>
  <c r="T139" i="13"/>
  <c r="T122" i="13"/>
  <c r="V122" i="13"/>
  <c r="U122" i="13"/>
  <c r="V139" i="13"/>
  <c r="W139" i="13"/>
  <c r="Y139" i="13"/>
  <c r="Z139" i="13"/>
  <c r="AB139" i="13"/>
  <c r="AC139" i="13"/>
  <c r="AE139" i="13"/>
  <c r="AF139" i="13"/>
  <c r="B138" i="13"/>
  <c r="D138" i="13"/>
  <c r="E138" i="13"/>
  <c r="G138" i="13"/>
  <c r="H138" i="13"/>
  <c r="J138" i="13"/>
  <c r="K138" i="13"/>
  <c r="M138" i="13"/>
  <c r="N138" i="13"/>
  <c r="P138" i="13"/>
  <c r="Q138" i="13"/>
  <c r="Q122" i="13"/>
  <c r="S122" i="13"/>
  <c r="R122" i="13"/>
  <c r="S138" i="13"/>
  <c r="T138" i="13"/>
  <c r="V138" i="13"/>
  <c r="W138" i="13"/>
  <c r="Y138" i="13"/>
  <c r="Z138" i="13"/>
  <c r="AB138" i="13"/>
  <c r="AC138" i="13"/>
  <c r="AC122" i="13"/>
  <c r="AE122" i="13"/>
  <c r="AD122" i="13"/>
  <c r="AE138" i="13"/>
  <c r="AF138" i="13"/>
  <c r="B137" i="13"/>
  <c r="D137" i="13"/>
  <c r="E137" i="13"/>
  <c r="G137" i="13"/>
  <c r="H137" i="13"/>
  <c r="J137" i="13"/>
  <c r="K137" i="13"/>
  <c r="M137" i="13"/>
  <c r="N137" i="13"/>
  <c r="P137" i="13"/>
  <c r="Q137" i="13"/>
  <c r="S137" i="13"/>
  <c r="T137" i="13"/>
  <c r="V137" i="13"/>
  <c r="W137" i="13"/>
  <c r="Y137" i="13"/>
  <c r="Z137" i="13"/>
  <c r="AB137" i="13"/>
  <c r="AC137" i="13"/>
  <c r="AE137" i="13"/>
  <c r="AF137" i="13"/>
  <c r="B135" i="13"/>
  <c r="D135" i="13"/>
  <c r="E135" i="13"/>
  <c r="G135" i="13"/>
  <c r="H135" i="13"/>
  <c r="J135" i="13"/>
  <c r="K135" i="13"/>
  <c r="M135" i="13"/>
  <c r="N135" i="13"/>
  <c r="P135" i="13"/>
  <c r="Q135" i="13"/>
  <c r="S135" i="13"/>
  <c r="T135" i="13"/>
  <c r="V135" i="13"/>
  <c r="W135" i="13"/>
  <c r="Y135" i="13"/>
  <c r="Z135" i="13"/>
  <c r="AB135" i="13"/>
  <c r="AC135" i="13"/>
  <c r="AE135" i="13"/>
  <c r="AF135" i="13"/>
  <c r="AG135" i="13"/>
  <c r="B134" i="13"/>
  <c r="D134" i="13"/>
  <c r="E134" i="13"/>
  <c r="G134" i="13"/>
  <c r="H134" i="13"/>
  <c r="J134" i="13"/>
  <c r="K134" i="13"/>
  <c r="M134" i="13"/>
  <c r="N134" i="13"/>
  <c r="P134" i="13"/>
  <c r="Q134" i="13"/>
  <c r="S134" i="13"/>
  <c r="T134" i="13"/>
  <c r="V134" i="13"/>
  <c r="W134" i="13"/>
  <c r="Y134" i="13"/>
  <c r="Z134" i="13"/>
  <c r="AB134" i="13"/>
  <c r="AC134" i="13"/>
  <c r="AE134" i="13"/>
  <c r="AF134" i="13"/>
  <c r="AG134" i="13"/>
  <c r="B133" i="13"/>
  <c r="D133" i="13"/>
  <c r="E133" i="13"/>
  <c r="G133" i="13"/>
  <c r="H133" i="13"/>
  <c r="J133" i="13"/>
  <c r="K133" i="13"/>
  <c r="M133" i="13"/>
  <c r="N133" i="13"/>
  <c r="P133" i="13"/>
  <c r="Q133" i="13"/>
  <c r="S133" i="13"/>
  <c r="T133" i="13"/>
  <c r="V133" i="13"/>
  <c r="W133" i="13"/>
  <c r="Y133" i="13"/>
  <c r="Z133" i="13"/>
  <c r="AB133" i="13"/>
  <c r="AC133" i="13"/>
  <c r="AE133" i="13"/>
  <c r="AF133" i="13"/>
  <c r="AG133" i="13"/>
  <c r="B132" i="13"/>
  <c r="D132" i="13"/>
  <c r="E132" i="13"/>
  <c r="G132" i="13"/>
  <c r="H132" i="13"/>
  <c r="J132" i="13"/>
  <c r="K132" i="13"/>
  <c r="M132" i="13"/>
  <c r="N132" i="13"/>
  <c r="P132" i="13"/>
  <c r="Q132" i="13"/>
  <c r="S132" i="13"/>
  <c r="T132" i="13"/>
  <c r="V132" i="13"/>
  <c r="W132" i="13"/>
  <c r="Y132" i="13"/>
  <c r="Z132" i="13"/>
  <c r="AB132" i="13"/>
  <c r="AC132" i="13"/>
  <c r="AE132" i="13"/>
  <c r="AF132" i="13"/>
  <c r="AG132" i="13"/>
  <c r="B131" i="13"/>
  <c r="D131" i="13"/>
  <c r="E131" i="13"/>
  <c r="G131" i="13"/>
  <c r="H131" i="13"/>
  <c r="J131" i="13"/>
  <c r="K131" i="13"/>
  <c r="M131" i="13"/>
  <c r="N131" i="13"/>
  <c r="P131" i="13"/>
  <c r="Q131" i="13"/>
  <c r="S131" i="13"/>
  <c r="T131" i="13"/>
  <c r="V131" i="13"/>
  <c r="W131" i="13"/>
  <c r="Y131" i="13"/>
  <c r="Z131" i="13"/>
  <c r="AB131" i="13"/>
  <c r="AC131" i="13"/>
  <c r="AE131" i="13"/>
  <c r="AF131" i="13"/>
  <c r="AG131" i="13"/>
  <c r="AE115" i="13"/>
  <c r="AC115" i="13"/>
  <c r="AB115" i="13"/>
  <c r="Z115" i="13"/>
  <c r="Y115" i="13"/>
  <c r="W115" i="13"/>
  <c r="V115" i="13"/>
  <c r="T115" i="13"/>
  <c r="S115" i="13"/>
  <c r="Q115" i="13"/>
  <c r="P115" i="13"/>
  <c r="N115" i="13"/>
  <c r="M115" i="13"/>
  <c r="K115" i="13"/>
  <c r="J115" i="13"/>
  <c r="H115" i="13"/>
  <c r="G115" i="13"/>
  <c r="E115" i="13"/>
  <c r="D115" i="13"/>
  <c r="B115" i="13"/>
  <c r="AD114" i="13"/>
  <c r="AA114" i="13"/>
  <c r="X114" i="13"/>
  <c r="U114" i="13"/>
  <c r="R114" i="13"/>
  <c r="O114" i="13"/>
  <c r="L114" i="13"/>
  <c r="I114" i="13"/>
  <c r="F114" i="13"/>
  <c r="A114" i="13"/>
  <c r="AG113" i="13"/>
  <c r="AH113" i="13"/>
  <c r="AI113" i="13"/>
  <c r="AJ113" i="13"/>
  <c r="AK113" i="13"/>
  <c r="AL113" i="13"/>
  <c r="AM113" i="13"/>
  <c r="AN113" i="13"/>
  <c r="AO113" i="13"/>
  <c r="AP113" i="13"/>
  <c r="AQ113" i="13"/>
  <c r="AF113" i="13"/>
  <c r="AD113" i="13"/>
  <c r="AA113" i="13"/>
  <c r="X113" i="13"/>
  <c r="U113" i="13"/>
  <c r="R113" i="13"/>
  <c r="O113" i="13"/>
  <c r="L113" i="13"/>
  <c r="I113" i="13"/>
  <c r="F113" i="13"/>
  <c r="A113" i="13"/>
  <c r="AG112" i="13"/>
  <c r="AH112" i="13"/>
  <c r="AI112" i="13"/>
  <c r="AJ112" i="13"/>
  <c r="AK112" i="13"/>
  <c r="AL112" i="13"/>
  <c r="AM112" i="13"/>
  <c r="AN112" i="13"/>
  <c r="AO112" i="13"/>
  <c r="AP112" i="13"/>
  <c r="AQ112" i="13"/>
  <c r="AF112" i="13"/>
  <c r="AD112" i="13"/>
  <c r="AA112" i="13"/>
  <c r="X112" i="13"/>
  <c r="U112" i="13"/>
  <c r="R112" i="13"/>
  <c r="O112" i="13"/>
  <c r="L112" i="13"/>
  <c r="I112" i="13"/>
  <c r="F112" i="13"/>
  <c r="A112" i="13"/>
  <c r="AG111" i="13"/>
  <c r="AH111" i="13"/>
  <c r="AI111" i="13"/>
  <c r="AJ111" i="13"/>
  <c r="AK111" i="13"/>
  <c r="AL111" i="13"/>
  <c r="AM111" i="13"/>
  <c r="AN111" i="13"/>
  <c r="AO111" i="13"/>
  <c r="AP111" i="13"/>
  <c r="AQ111" i="13"/>
  <c r="AF111" i="13"/>
  <c r="AD111" i="13"/>
  <c r="AA111" i="13"/>
  <c r="X111" i="13"/>
  <c r="U111" i="13"/>
  <c r="R111" i="13"/>
  <c r="O111" i="13"/>
  <c r="L111" i="13"/>
  <c r="I111" i="13"/>
  <c r="F111" i="13"/>
  <c r="A111" i="13"/>
  <c r="AG110" i="13"/>
  <c r="AH110" i="13"/>
  <c r="AI110" i="13"/>
  <c r="AJ110" i="13"/>
  <c r="AK110" i="13"/>
  <c r="AL110" i="13"/>
  <c r="AM110" i="13"/>
  <c r="AN110" i="13"/>
  <c r="AO110" i="13"/>
  <c r="AP110" i="13"/>
  <c r="AQ110" i="13"/>
  <c r="AF110" i="13"/>
  <c r="AD110" i="13"/>
  <c r="AA110" i="13"/>
  <c r="X110" i="13"/>
  <c r="U110" i="13"/>
  <c r="R110" i="13"/>
  <c r="O110" i="13"/>
  <c r="L110" i="13"/>
  <c r="I110" i="13"/>
  <c r="F110" i="13"/>
  <c r="AG109" i="13"/>
  <c r="AH109" i="13"/>
  <c r="AI109" i="13"/>
  <c r="AJ109" i="13"/>
  <c r="AK109" i="13"/>
  <c r="AL109" i="13"/>
  <c r="AM109" i="13"/>
  <c r="AN109" i="13"/>
  <c r="AO109" i="13"/>
  <c r="AP109" i="13"/>
  <c r="AQ109" i="13"/>
  <c r="AF109" i="13"/>
  <c r="AD109" i="13"/>
  <c r="AA109" i="13"/>
  <c r="X109" i="13"/>
  <c r="U109" i="13"/>
  <c r="R109" i="13"/>
  <c r="O109" i="13"/>
  <c r="L109" i="13"/>
  <c r="I109" i="13"/>
  <c r="F109" i="13"/>
  <c r="AC107" i="13"/>
  <c r="Z107" i="13"/>
  <c r="W107" i="13"/>
  <c r="T107" i="13"/>
  <c r="Q107" i="13"/>
  <c r="N107" i="13"/>
  <c r="K107" i="13"/>
  <c r="H107" i="13"/>
  <c r="E107" i="13"/>
  <c r="E102" i="13"/>
  <c r="AC101" i="13"/>
  <c r="Z101" i="13"/>
  <c r="W101" i="13"/>
  <c r="R101" i="13"/>
  <c r="L101" i="13"/>
  <c r="A101" i="13"/>
  <c r="AC99" i="13"/>
  <c r="Z99" i="13"/>
  <c r="W99" i="13"/>
  <c r="R99" i="13"/>
  <c r="L99" i="13"/>
  <c r="A99" i="13"/>
  <c r="AC97" i="13"/>
  <c r="Z97" i="13"/>
  <c r="W97" i="13"/>
  <c r="R97" i="13"/>
  <c r="L97" i="13"/>
  <c r="A97" i="13"/>
  <c r="AC95" i="13"/>
  <c r="Z95" i="13"/>
  <c r="W95" i="13"/>
  <c r="R95" i="13"/>
  <c r="L95" i="13"/>
  <c r="A95" i="13"/>
  <c r="AC93" i="13"/>
  <c r="Z93" i="13"/>
  <c r="W93" i="13"/>
  <c r="R93" i="13"/>
  <c r="L93" i="13"/>
  <c r="A93" i="13"/>
  <c r="R92" i="13"/>
  <c r="L92" i="13"/>
  <c r="K91" i="13"/>
  <c r="A89" i="13"/>
  <c r="AE85" i="13"/>
  <c r="AE36" i="13"/>
  <c r="AC85" i="13"/>
  <c r="AC36" i="13"/>
  <c r="AE86" i="13"/>
  <c r="AE87" i="13"/>
  <c r="AC86" i="13"/>
  <c r="AC87" i="13"/>
  <c r="AB85" i="13"/>
  <c r="AB36" i="13"/>
  <c r="Z85" i="13"/>
  <c r="Z36" i="13"/>
  <c r="AB86" i="13"/>
  <c r="AB87" i="13"/>
  <c r="Z86" i="13"/>
  <c r="Z87" i="13"/>
  <c r="Y85" i="13"/>
  <c r="Y36" i="13"/>
  <c r="W85" i="13"/>
  <c r="W36" i="13"/>
  <c r="Y86" i="13"/>
  <c r="Y87" i="13"/>
  <c r="W86" i="13"/>
  <c r="W87" i="13"/>
  <c r="V85" i="13"/>
  <c r="V36" i="13"/>
  <c r="T85" i="13"/>
  <c r="T36" i="13"/>
  <c r="V86" i="13"/>
  <c r="V87" i="13"/>
  <c r="T86" i="13"/>
  <c r="T87" i="13"/>
  <c r="AF76" i="13"/>
  <c r="AF75" i="13"/>
  <c r="P74" i="13"/>
  <c r="AF74" i="13"/>
  <c r="D73" i="13"/>
  <c r="J73" i="13"/>
  <c r="AF73" i="13"/>
  <c r="G72" i="13"/>
  <c r="M72" i="13"/>
  <c r="S72" i="13"/>
  <c r="AF72" i="13"/>
  <c r="AF68" i="13"/>
  <c r="AG68" i="13"/>
  <c r="AF67" i="13"/>
  <c r="AG67" i="13"/>
  <c r="AF66" i="13"/>
  <c r="AG66" i="13"/>
  <c r="AF65" i="13"/>
  <c r="AG65" i="13"/>
  <c r="AF64" i="13"/>
  <c r="AG64" i="13"/>
  <c r="B62" i="13"/>
  <c r="D62" i="13"/>
  <c r="E62" i="13"/>
  <c r="G62" i="13"/>
  <c r="H62" i="13"/>
  <c r="J62" i="13"/>
  <c r="K62" i="13"/>
  <c r="M62" i="13"/>
  <c r="N62" i="13"/>
  <c r="P62" i="13"/>
  <c r="Q62" i="13"/>
  <c r="S62" i="13"/>
  <c r="T62" i="13"/>
  <c r="V62" i="13"/>
  <c r="W62" i="13"/>
  <c r="W39" i="13"/>
  <c r="Y39" i="13"/>
  <c r="W40" i="13"/>
  <c r="Y40" i="13"/>
  <c r="W41" i="13"/>
  <c r="Y41" i="13"/>
  <c r="W42" i="13"/>
  <c r="Y42" i="13"/>
  <c r="W43" i="13"/>
  <c r="Y43" i="13"/>
  <c r="W44" i="13"/>
  <c r="Y62" i="13"/>
  <c r="Z62" i="13"/>
  <c r="AB62" i="13"/>
  <c r="AC62" i="13"/>
  <c r="AE62" i="13"/>
  <c r="AF62" i="13"/>
  <c r="B61" i="13"/>
  <c r="D61" i="13"/>
  <c r="E61" i="13"/>
  <c r="E39" i="13"/>
  <c r="G39" i="13"/>
  <c r="E40" i="13"/>
  <c r="G40" i="13"/>
  <c r="E41" i="13"/>
  <c r="G41" i="13"/>
  <c r="E42" i="13"/>
  <c r="G42" i="13"/>
  <c r="E43" i="13"/>
  <c r="G43" i="13"/>
  <c r="E44" i="13"/>
  <c r="G61" i="13"/>
  <c r="H61" i="13"/>
  <c r="H39" i="13"/>
  <c r="J39" i="13"/>
  <c r="H40" i="13"/>
  <c r="J40" i="13"/>
  <c r="H41" i="13"/>
  <c r="J41" i="13"/>
  <c r="H42" i="13"/>
  <c r="J42" i="13"/>
  <c r="H43" i="13"/>
  <c r="J43" i="13"/>
  <c r="H44" i="13"/>
  <c r="J61" i="13"/>
  <c r="K61" i="13"/>
  <c r="M61" i="13"/>
  <c r="N61" i="13"/>
  <c r="N39" i="13"/>
  <c r="P39" i="13"/>
  <c r="N40" i="13"/>
  <c r="P40" i="13"/>
  <c r="N41" i="13"/>
  <c r="P41" i="13"/>
  <c r="N42" i="13"/>
  <c r="P42" i="13"/>
  <c r="N43" i="13"/>
  <c r="P43" i="13"/>
  <c r="N44" i="13"/>
  <c r="P61" i="13"/>
  <c r="Q61" i="13"/>
  <c r="S61" i="13"/>
  <c r="T61" i="13"/>
  <c r="V61" i="13"/>
  <c r="W61" i="13"/>
  <c r="Y61" i="13"/>
  <c r="Z61" i="13"/>
  <c r="Z39" i="13"/>
  <c r="AB39" i="13"/>
  <c r="Z40" i="13"/>
  <c r="AB40" i="13"/>
  <c r="Z41" i="13"/>
  <c r="AB41" i="13"/>
  <c r="Z42" i="13"/>
  <c r="AB42" i="13"/>
  <c r="Z43" i="13"/>
  <c r="AB43" i="13"/>
  <c r="Z44" i="13"/>
  <c r="AB61" i="13"/>
  <c r="AC61" i="13"/>
  <c r="AE61" i="13"/>
  <c r="AF61" i="13"/>
  <c r="B60" i="13"/>
  <c r="B39" i="13"/>
  <c r="D39" i="13"/>
  <c r="B40" i="13"/>
  <c r="D40" i="13"/>
  <c r="B41" i="13"/>
  <c r="D41" i="13"/>
  <c r="B42" i="13"/>
  <c r="D42" i="13"/>
  <c r="B43" i="13"/>
  <c r="D43" i="13"/>
  <c r="B44" i="13"/>
  <c r="D60" i="13"/>
  <c r="E60" i="13"/>
  <c r="G60" i="13"/>
  <c r="H60" i="13"/>
  <c r="J60" i="13"/>
  <c r="K60" i="13"/>
  <c r="K39" i="13"/>
  <c r="M39" i="13"/>
  <c r="K40" i="13"/>
  <c r="M40" i="13"/>
  <c r="K41" i="13"/>
  <c r="M41" i="13"/>
  <c r="K42" i="13"/>
  <c r="M42" i="13"/>
  <c r="K43" i="13"/>
  <c r="M43" i="13"/>
  <c r="K44" i="13"/>
  <c r="M60" i="13"/>
  <c r="N60" i="13"/>
  <c r="P60" i="13"/>
  <c r="Q60" i="13"/>
  <c r="S60" i="13"/>
  <c r="T60" i="13"/>
  <c r="T39" i="13"/>
  <c r="V39" i="13"/>
  <c r="T40" i="13"/>
  <c r="V40" i="13"/>
  <c r="T41" i="13"/>
  <c r="V41" i="13"/>
  <c r="T42" i="13"/>
  <c r="V42" i="13"/>
  <c r="T43" i="13"/>
  <c r="V43" i="13"/>
  <c r="T44" i="13"/>
  <c r="V60" i="13"/>
  <c r="W60" i="13"/>
  <c r="Y60" i="13"/>
  <c r="Z60" i="13"/>
  <c r="AB60" i="13"/>
  <c r="AC60" i="13"/>
  <c r="AE60" i="13"/>
  <c r="AF60" i="13"/>
  <c r="B59" i="13"/>
  <c r="D59" i="13"/>
  <c r="E59" i="13"/>
  <c r="G59" i="13"/>
  <c r="H59" i="13"/>
  <c r="J59" i="13"/>
  <c r="K59" i="13"/>
  <c r="M59" i="13"/>
  <c r="N59" i="13"/>
  <c r="P59" i="13"/>
  <c r="Q59" i="13"/>
  <c r="Q39" i="13"/>
  <c r="S39" i="13"/>
  <c r="Q40" i="13"/>
  <c r="S40" i="13"/>
  <c r="Q41" i="13"/>
  <c r="S41" i="13"/>
  <c r="Q42" i="13"/>
  <c r="S42" i="13"/>
  <c r="Q43" i="13"/>
  <c r="S43" i="13"/>
  <c r="Q44" i="13"/>
  <c r="S59" i="13"/>
  <c r="T59" i="13"/>
  <c r="V59" i="13"/>
  <c r="W59" i="13"/>
  <c r="Y59" i="13"/>
  <c r="Z59" i="13"/>
  <c r="AB59" i="13"/>
  <c r="AC59" i="13"/>
  <c r="AC39" i="13"/>
  <c r="AE39" i="13"/>
  <c r="AC40" i="13"/>
  <c r="AE40" i="13"/>
  <c r="AC41" i="13"/>
  <c r="AE41" i="13"/>
  <c r="AC42" i="13"/>
  <c r="AE42" i="13"/>
  <c r="AC43" i="13"/>
  <c r="AE43" i="13"/>
  <c r="AC44" i="13"/>
  <c r="AE59" i="13"/>
  <c r="AF59" i="13"/>
  <c r="B58" i="13"/>
  <c r="D58" i="13"/>
  <c r="E58" i="13"/>
  <c r="G58" i="13"/>
  <c r="H58" i="13"/>
  <c r="J58" i="13"/>
  <c r="K58" i="13"/>
  <c r="M58" i="13"/>
  <c r="N58" i="13"/>
  <c r="P58" i="13"/>
  <c r="Q58" i="13"/>
  <c r="S58" i="13"/>
  <c r="T58" i="13"/>
  <c r="V58" i="13"/>
  <c r="W58" i="13"/>
  <c r="Y58" i="13"/>
  <c r="Z58" i="13"/>
  <c r="AB58" i="13"/>
  <c r="AC58" i="13"/>
  <c r="AE58" i="13"/>
  <c r="AF58" i="13"/>
  <c r="B56" i="13"/>
  <c r="D56" i="13"/>
  <c r="E56" i="13"/>
  <c r="G56" i="13"/>
  <c r="H56" i="13"/>
  <c r="J56" i="13"/>
  <c r="K56" i="13"/>
  <c r="M56" i="13"/>
  <c r="N56" i="13"/>
  <c r="P56" i="13"/>
  <c r="Q56" i="13"/>
  <c r="S56" i="13"/>
  <c r="T56" i="13"/>
  <c r="V56" i="13"/>
  <c r="W56" i="13"/>
  <c r="W37" i="13"/>
  <c r="Y37" i="13"/>
  <c r="X37" i="13"/>
  <c r="Y56" i="13"/>
  <c r="Z56" i="13"/>
  <c r="AB56" i="13"/>
  <c r="AC56" i="13"/>
  <c r="AE56" i="13"/>
  <c r="AF56" i="13"/>
  <c r="B55" i="13"/>
  <c r="D55" i="13"/>
  <c r="E55" i="13"/>
  <c r="E37" i="13"/>
  <c r="G37" i="13"/>
  <c r="F37" i="13"/>
  <c r="G55" i="13"/>
  <c r="H55" i="13"/>
  <c r="H37" i="13"/>
  <c r="J37" i="13"/>
  <c r="I37" i="13"/>
  <c r="J55" i="13"/>
  <c r="K55" i="13"/>
  <c r="M55" i="13"/>
  <c r="N55" i="13"/>
  <c r="N37" i="13"/>
  <c r="P37" i="13"/>
  <c r="O37" i="13"/>
  <c r="P55" i="13"/>
  <c r="Q55" i="13"/>
  <c r="S55" i="13"/>
  <c r="T55" i="13"/>
  <c r="V55" i="13"/>
  <c r="W55" i="13"/>
  <c r="Y55" i="13"/>
  <c r="Z55" i="13"/>
  <c r="Z37" i="13"/>
  <c r="AB37" i="13"/>
  <c r="AA37" i="13"/>
  <c r="AB55" i="13"/>
  <c r="AC55" i="13"/>
  <c r="AE55" i="13"/>
  <c r="AF55" i="13"/>
  <c r="B54" i="13"/>
  <c r="B37" i="13"/>
  <c r="D37" i="13"/>
  <c r="C37" i="13"/>
  <c r="D54" i="13"/>
  <c r="E54" i="13"/>
  <c r="G54" i="13"/>
  <c r="H54" i="13"/>
  <c r="J54" i="13"/>
  <c r="K54" i="13"/>
  <c r="K37" i="13"/>
  <c r="M37" i="13"/>
  <c r="L37" i="13"/>
  <c r="M54" i="13"/>
  <c r="N54" i="13"/>
  <c r="P54" i="13"/>
  <c r="Q54" i="13"/>
  <c r="S54" i="13"/>
  <c r="T54" i="13"/>
  <c r="T37" i="13"/>
  <c r="V37" i="13"/>
  <c r="U37" i="13"/>
  <c r="V54" i="13"/>
  <c r="W54" i="13"/>
  <c r="Y54" i="13"/>
  <c r="Z54" i="13"/>
  <c r="AB54" i="13"/>
  <c r="AC54" i="13"/>
  <c r="AE54" i="13"/>
  <c r="AF54" i="13"/>
  <c r="B53" i="13"/>
  <c r="D53" i="13"/>
  <c r="E53" i="13"/>
  <c r="G53" i="13"/>
  <c r="H53" i="13"/>
  <c r="J53" i="13"/>
  <c r="K53" i="13"/>
  <c r="M53" i="13"/>
  <c r="N53" i="13"/>
  <c r="P53" i="13"/>
  <c r="Q53" i="13"/>
  <c r="Q37" i="13"/>
  <c r="S37" i="13"/>
  <c r="R37" i="13"/>
  <c r="S53" i="13"/>
  <c r="T53" i="13"/>
  <c r="V53" i="13"/>
  <c r="W53" i="13"/>
  <c r="Y53" i="13"/>
  <c r="Z53" i="13"/>
  <c r="AB53" i="13"/>
  <c r="AC53" i="13"/>
  <c r="AC37" i="13"/>
  <c r="AE37" i="13"/>
  <c r="AD37" i="13"/>
  <c r="AE53" i="13"/>
  <c r="AF53" i="13"/>
  <c r="B52" i="13"/>
  <c r="D52" i="13"/>
  <c r="E52" i="13"/>
  <c r="G52" i="13"/>
  <c r="H52" i="13"/>
  <c r="J52" i="13"/>
  <c r="K52" i="13"/>
  <c r="M52" i="13"/>
  <c r="N52" i="13"/>
  <c r="P52" i="13"/>
  <c r="Q52" i="13"/>
  <c r="S52" i="13"/>
  <c r="T52" i="13"/>
  <c r="V52" i="13"/>
  <c r="W52" i="13"/>
  <c r="Y52" i="13"/>
  <c r="Z52" i="13"/>
  <c r="AB52" i="13"/>
  <c r="AC52" i="13"/>
  <c r="AE52" i="13"/>
  <c r="AF52" i="13"/>
  <c r="B50" i="13"/>
  <c r="D50" i="13"/>
  <c r="E50" i="13"/>
  <c r="G50" i="13"/>
  <c r="H50" i="13"/>
  <c r="J50" i="13"/>
  <c r="K50" i="13"/>
  <c r="M50" i="13"/>
  <c r="N50" i="13"/>
  <c r="P50" i="13"/>
  <c r="Q50" i="13"/>
  <c r="S50" i="13"/>
  <c r="T50" i="13"/>
  <c r="V50" i="13"/>
  <c r="W50" i="13"/>
  <c r="Y50" i="13"/>
  <c r="Z50" i="13"/>
  <c r="AB50" i="13"/>
  <c r="AC50" i="13"/>
  <c r="AE50" i="13"/>
  <c r="AF50" i="13"/>
  <c r="AG50" i="13"/>
  <c r="B49" i="13"/>
  <c r="D49" i="13"/>
  <c r="E49" i="13"/>
  <c r="G49" i="13"/>
  <c r="H49" i="13"/>
  <c r="J49" i="13"/>
  <c r="K49" i="13"/>
  <c r="M49" i="13"/>
  <c r="N49" i="13"/>
  <c r="P49" i="13"/>
  <c r="Q49" i="13"/>
  <c r="S49" i="13"/>
  <c r="T49" i="13"/>
  <c r="V49" i="13"/>
  <c r="W49" i="13"/>
  <c r="Y49" i="13"/>
  <c r="Z49" i="13"/>
  <c r="AB49" i="13"/>
  <c r="AC49" i="13"/>
  <c r="AE49" i="13"/>
  <c r="AF49" i="13"/>
  <c r="AG49" i="13"/>
  <c r="B48" i="13"/>
  <c r="D48" i="13"/>
  <c r="E48" i="13"/>
  <c r="G48" i="13"/>
  <c r="H48" i="13"/>
  <c r="J48" i="13"/>
  <c r="K48" i="13"/>
  <c r="M48" i="13"/>
  <c r="N48" i="13"/>
  <c r="P48" i="13"/>
  <c r="Q48" i="13"/>
  <c r="S48" i="13"/>
  <c r="T48" i="13"/>
  <c r="V48" i="13"/>
  <c r="W48" i="13"/>
  <c r="Y48" i="13"/>
  <c r="Z48" i="13"/>
  <c r="AB48" i="13"/>
  <c r="AC48" i="13"/>
  <c r="AE48" i="13"/>
  <c r="AF48" i="13"/>
  <c r="AG48" i="13"/>
  <c r="B47" i="13"/>
  <c r="D47" i="13"/>
  <c r="E47" i="13"/>
  <c r="G47" i="13"/>
  <c r="H47" i="13"/>
  <c r="J47" i="13"/>
  <c r="K47" i="13"/>
  <c r="M47" i="13"/>
  <c r="N47" i="13"/>
  <c r="P47" i="13"/>
  <c r="Q47" i="13"/>
  <c r="S47" i="13"/>
  <c r="T47" i="13"/>
  <c r="V47" i="13"/>
  <c r="W47" i="13"/>
  <c r="Y47" i="13"/>
  <c r="Z47" i="13"/>
  <c r="AB47" i="13"/>
  <c r="AC47" i="13"/>
  <c r="AE47" i="13"/>
  <c r="AF47" i="13"/>
  <c r="AG47" i="13"/>
  <c r="B46" i="13"/>
  <c r="D46" i="13"/>
  <c r="E46" i="13"/>
  <c r="G46" i="13"/>
  <c r="H46" i="13"/>
  <c r="J46" i="13"/>
  <c r="K46" i="13"/>
  <c r="M46" i="13"/>
  <c r="N46" i="13"/>
  <c r="P46" i="13"/>
  <c r="Q46" i="13"/>
  <c r="S46" i="13"/>
  <c r="T46" i="13"/>
  <c r="V46" i="13"/>
  <c r="W46" i="13"/>
  <c r="Y46" i="13"/>
  <c r="Z46" i="13"/>
  <c r="AB46" i="13"/>
  <c r="AC46" i="13"/>
  <c r="AE46" i="13"/>
  <c r="AF46" i="13"/>
  <c r="AG46" i="13"/>
  <c r="AE30" i="13"/>
  <c r="AC30" i="13"/>
  <c r="AB30" i="13"/>
  <c r="Z30" i="13"/>
  <c r="Y30" i="13"/>
  <c r="W30" i="13"/>
  <c r="V30" i="13"/>
  <c r="T30" i="13"/>
  <c r="S30" i="13"/>
  <c r="Q30" i="13"/>
  <c r="P30" i="13"/>
  <c r="N30" i="13"/>
  <c r="M30" i="13"/>
  <c r="K30" i="13"/>
  <c r="J30" i="13"/>
  <c r="H30" i="13"/>
  <c r="G30" i="13"/>
  <c r="E30" i="13"/>
  <c r="D30" i="13"/>
  <c r="B30" i="13"/>
  <c r="AD29" i="13"/>
  <c r="AA29" i="13"/>
  <c r="X29" i="13"/>
  <c r="U29" i="13"/>
  <c r="R29" i="13"/>
  <c r="O29" i="13"/>
  <c r="L29" i="13"/>
  <c r="I29" i="13"/>
  <c r="F29" i="13"/>
  <c r="A29" i="13"/>
  <c r="AG28" i="13"/>
  <c r="AH28" i="13"/>
  <c r="AI28" i="13"/>
  <c r="AJ28" i="13"/>
  <c r="AK28" i="13"/>
  <c r="AL28" i="13"/>
  <c r="AM28" i="13"/>
  <c r="AN28" i="13"/>
  <c r="AO28" i="13"/>
  <c r="AP28" i="13"/>
  <c r="AQ28" i="13"/>
  <c r="AF28" i="13"/>
  <c r="AD28" i="13"/>
  <c r="AA28" i="13"/>
  <c r="X28" i="13"/>
  <c r="U28" i="13"/>
  <c r="R28" i="13"/>
  <c r="O28" i="13"/>
  <c r="L28" i="13"/>
  <c r="I28" i="13"/>
  <c r="F28" i="13"/>
  <c r="A28" i="13"/>
  <c r="AG27" i="13"/>
  <c r="AH27" i="13"/>
  <c r="AI27" i="13"/>
  <c r="AJ27" i="13"/>
  <c r="AK27" i="13"/>
  <c r="AL27" i="13"/>
  <c r="AM27" i="13"/>
  <c r="AN27" i="13"/>
  <c r="AO27" i="13"/>
  <c r="AP27" i="13"/>
  <c r="AQ27" i="13"/>
  <c r="AF27" i="13"/>
  <c r="AD27" i="13"/>
  <c r="AA27" i="13"/>
  <c r="X27" i="13"/>
  <c r="U27" i="13"/>
  <c r="R27" i="13"/>
  <c r="O27" i="13"/>
  <c r="L27" i="13"/>
  <c r="I27" i="13"/>
  <c r="F27" i="13"/>
  <c r="A27" i="13"/>
  <c r="AG26" i="13"/>
  <c r="AH26" i="13"/>
  <c r="AI26" i="13"/>
  <c r="AJ26" i="13"/>
  <c r="AK26" i="13"/>
  <c r="AL26" i="13"/>
  <c r="AM26" i="13"/>
  <c r="AN26" i="13"/>
  <c r="AO26" i="13"/>
  <c r="AP26" i="13"/>
  <c r="AQ26" i="13"/>
  <c r="AF26" i="13"/>
  <c r="AD26" i="13"/>
  <c r="AA26" i="13"/>
  <c r="X26" i="13"/>
  <c r="U26" i="13"/>
  <c r="R26" i="13"/>
  <c r="O26" i="13"/>
  <c r="L26" i="13"/>
  <c r="I26" i="13"/>
  <c r="F26" i="13"/>
  <c r="A26" i="13"/>
  <c r="AG25" i="13"/>
  <c r="AH25" i="13"/>
  <c r="AI25" i="13"/>
  <c r="AJ25" i="13"/>
  <c r="AK25" i="13"/>
  <c r="AL25" i="13"/>
  <c r="AM25" i="13"/>
  <c r="AN25" i="13"/>
  <c r="AO25" i="13"/>
  <c r="AP25" i="13"/>
  <c r="AQ25" i="13"/>
  <c r="AF25" i="13"/>
  <c r="AD25" i="13"/>
  <c r="AA25" i="13"/>
  <c r="X25" i="13"/>
  <c r="U25" i="13"/>
  <c r="R25" i="13"/>
  <c r="O25" i="13"/>
  <c r="L25" i="13"/>
  <c r="I25" i="13"/>
  <c r="F25" i="13"/>
  <c r="AG24" i="13"/>
  <c r="AH24" i="13"/>
  <c r="AI24" i="13"/>
  <c r="AJ24" i="13"/>
  <c r="AK24" i="13"/>
  <c r="AL24" i="13"/>
  <c r="AM24" i="13"/>
  <c r="AN24" i="13"/>
  <c r="AO24" i="13"/>
  <c r="AP24" i="13"/>
  <c r="AQ24" i="13"/>
  <c r="AF24" i="13"/>
  <c r="AD24" i="13"/>
  <c r="AA24" i="13"/>
  <c r="X24" i="13"/>
  <c r="U24" i="13"/>
  <c r="R24" i="13"/>
  <c r="O24" i="13"/>
  <c r="L24" i="13"/>
  <c r="I24" i="13"/>
  <c r="F24" i="13"/>
  <c r="T22" i="13"/>
  <c r="Q22" i="13"/>
  <c r="N22" i="13"/>
  <c r="K22" i="13"/>
  <c r="E17" i="13"/>
  <c r="AC16" i="13"/>
  <c r="Z16" i="13"/>
  <c r="W16" i="13"/>
  <c r="R16" i="13"/>
  <c r="L16" i="13"/>
  <c r="A16" i="13"/>
  <c r="AC14" i="13"/>
  <c r="Z14" i="13"/>
  <c r="W14" i="13"/>
  <c r="R14" i="13"/>
  <c r="L14" i="13"/>
  <c r="A14" i="13"/>
  <c r="AC12" i="13"/>
  <c r="Z12" i="13"/>
  <c r="W12" i="13"/>
  <c r="R12" i="13"/>
  <c r="L12" i="13"/>
  <c r="A12" i="13"/>
  <c r="AY10" i="13"/>
  <c r="AC10" i="13"/>
  <c r="Z10" i="13"/>
  <c r="W10" i="13"/>
  <c r="R10" i="13"/>
  <c r="L10" i="13"/>
  <c r="A10" i="13"/>
  <c r="AY9" i="13"/>
  <c r="AY8" i="13"/>
  <c r="AC8" i="13"/>
  <c r="Z8" i="13"/>
  <c r="W8" i="13"/>
  <c r="R8" i="13"/>
  <c r="L8" i="13"/>
  <c r="A8" i="13"/>
  <c r="AY7" i="13"/>
  <c r="R7" i="13"/>
  <c r="L7" i="13"/>
  <c r="AY6" i="13"/>
  <c r="K6" i="13"/>
  <c r="AY5" i="13"/>
  <c r="AY4" i="13"/>
  <c r="AY3" i="13"/>
  <c r="F382" i="10"/>
  <c r="E382" i="10"/>
  <c r="E378" i="10"/>
  <c r="C378" i="10"/>
  <c r="D378" i="10"/>
  <c r="D379" i="10"/>
  <c r="D380" i="10"/>
  <c r="D381" i="10"/>
  <c r="D382" i="10"/>
  <c r="E381" i="10"/>
  <c r="C382" i="10"/>
  <c r="F381" i="10"/>
  <c r="E380" i="10"/>
  <c r="E379" i="10"/>
  <c r="C379" i="10"/>
  <c r="C380" i="10"/>
  <c r="C381" i="10"/>
  <c r="F380" i="10"/>
  <c r="F379" i="10"/>
  <c r="F378" i="10"/>
  <c r="K382" i="10"/>
  <c r="K381" i="10"/>
  <c r="K380" i="10"/>
  <c r="K379" i="10"/>
  <c r="K378" i="10"/>
  <c r="AW12" i="11"/>
  <c r="AW11" i="11"/>
  <c r="AW10" i="11"/>
  <c r="AW9" i="11"/>
  <c r="AW8" i="11"/>
  <c r="AW7" i="11"/>
  <c r="AW6" i="11"/>
  <c r="AW5" i="11"/>
  <c r="AW4" i="11"/>
  <c r="AW3" i="11"/>
  <c r="AW12" i="12"/>
  <c r="K312" i="10"/>
  <c r="AW11" i="12"/>
  <c r="K274" i="10"/>
  <c r="AW10" i="12"/>
  <c r="K280" i="10"/>
  <c r="AW9" i="12"/>
  <c r="AW8" i="12"/>
  <c r="K271" i="10"/>
  <c r="AW7" i="12"/>
  <c r="AW6" i="12"/>
  <c r="K276" i="10"/>
  <c r="AW5" i="12"/>
  <c r="AW4" i="12"/>
  <c r="K269" i="10"/>
  <c r="AW3" i="12"/>
  <c r="W219" i="12"/>
  <c r="W220" i="12"/>
  <c r="W221" i="12"/>
  <c r="W222" i="12"/>
  <c r="Y219" i="12"/>
  <c r="Y220" i="12"/>
  <c r="Y221" i="12"/>
  <c r="Y222" i="12"/>
  <c r="AC218" i="12"/>
  <c r="Z219" i="12"/>
  <c r="Z220" i="12"/>
  <c r="Z221" i="12"/>
  <c r="Z222" i="12"/>
  <c r="AB219" i="12"/>
  <c r="AB220" i="12"/>
  <c r="AB221" i="12"/>
  <c r="AB222" i="12"/>
  <c r="AE218" i="12"/>
  <c r="E101" i="12"/>
  <c r="AF180" i="12"/>
  <c r="X213" i="12"/>
  <c r="W230" i="12"/>
  <c r="E8" i="12"/>
  <c r="B79" i="12"/>
  <c r="AT79" i="12"/>
  <c r="E10" i="12"/>
  <c r="B80" i="12"/>
  <c r="AT80" i="12"/>
  <c r="E12" i="12"/>
  <c r="B81" i="12"/>
  <c r="AT81" i="12"/>
  <c r="E14" i="12"/>
  <c r="B82" i="12"/>
  <c r="AT82" i="12"/>
  <c r="AC31" i="12"/>
  <c r="AC32" i="12"/>
  <c r="AC33" i="12"/>
  <c r="AC34" i="12"/>
  <c r="AC35" i="12"/>
  <c r="AC64" i="12"/>
  <c r="AE64" i="12"/>
  <c r="AC65" i="12"/>
  <c r="AE31" i="12"/>
  <c r="AE32" i="12"/>
  <c r="AE33" i="12"/>
  <c r="AE34" i="12"/>
  <c r="AE35" i="12"/>
  <c r="AE65" i="12"/>
  <c r="AC66" i="12"/>
  <c r="AE66" i="12"/>
  <c r="AC67" i="12"/>
  <c r="AE67" i="12"/>
  <c r="AC68" i="12"/>
  <c r="AE68" i="12"/>
  <c r="AD71" i="12"/>
  <c r="AC72" i="12"/>
  <c r="Z72" i="12"/>
  <c r="AB72" i="12"/>
  <c r="W31" i="12"/>
  <c r="W32" i="12"/>
  <c r="W33" i="12"/>
  <c r="W34" i="12"/>
  <c r="W35" i="12"/>
  <c r="W64" i="12"/>
  <c r="Y64" i="12"/>
  <c r="W65" i="12"/>
  <c r="Y65" i="12"/>
  <c r="W66" i="12"/>
  <c r="Y66" i="12"/>
  <c r="W67" i="12"/>
  <c r="Y67" i="12"/>
  <c r="W68" i="12"/>
  <c r="Y31" i="12"/>
  <c r="Y32" i="12"/>
  <c r="Y33" i="12"/>
  <c r="Y34" i="12"/>
  <c r="Y35" i="12"/>
  <c r="Y68" i="12"/>
  <c r="X71" i="12"/>
  <c r="W72" i="12"/>
  <c r="T72" i="12"/>
  <c r="V72" i="12"/>
  <c r="Q72" i="12"/>
  <c r="S72" i="12"/>
  <c r="N31" i="12"/>
  <c r="N32" i="12"/>
  <c r="N33" i="12"/>
  <c r="N34" i="12"/>
  <c r="N35" i="12"/>
  <c r="N64" i="12"/>
  <c r="P64" i="12"/>
  <c r="N65" i="12"/>
  <c r="P65" i="12"/>
  <c r="N66" i="12"/>
  <c r="P31" i="12"/>
  <c r="P32" i="12"/>
  <c r="P33" i="12"/>
  <c r="P34" i="12"/>
  <c r="P35" i="12"/>
  <c r="P66" i="12"/>
  <c r="N67" i="12"/>
  <c r="P67" i="12"/>
  <c r="N68" i="12"/>
  <c r="P68" i="12"/>
  <c r="O71" i="12"/>
  <c r="N72" i="12"/>
  <c r="K72" i="12"/>
  <c r="M72" i="12"/>
  <c r="H72" i="12"/>
  <c r="J72" i="12"/>
  <c r="E31" i="12"/>
  <c r="E32" i="12"/>
  <c r="E33" i="12"/>
  <c r="E34" i="12"/>
  <c r="E35" i="12"/>
  <c r="E64" i="12"/>
  <c r="G64" i="12"/>
  <c r="E65" i="12"/>
  <c r="G65" i="12"/>
  <c r="E66" i="12"/>
  <c r="G66" i="12"/>
  <c r="E67" i="12"/>
  <c r="G31" i="12"/>
  <c r="G32" i="12"/>
  <c r="G33" i="12"/>
  <c r="G34" i="12"/>
  <c r="G35" i="12"/>
  <c r="G67" i="12"/>
  <c r="E68" i="12"/>
  <c r="G68" i="12"/>
  <c r="F71" i="12"/>
  <c r="E72" i="12"/>
  <c r="B72" i="12"/>
  <c r="D72" i="12"/>
  <c r="C79" i="12"/>
  <c r="D79" i="12"/>
  <c r="E85" i="12"/>
  <c r="E36" i="12"/>
  <c r="B75" i="12"/>
  <c r="D75" i="12"/>
  <c r="C82" i="12"/>
  <c r="D82" i="12"/>
  <c r="G85" i="12"/>
  <c r="G36" i="12"/>
  <c r="E86" i="12"/>
  <c r="E87" i="12"/>
  <c r="G79" i="12"/>
  <c r="J79" i="12"/>
  <c r="M79" i="12"/>
  <c r="N85" i="12"/>
  <c r="N36" i="12"/>
  <c r="K74" i="12"/>
  <c r="M74" i="12"/>
  <c r="H64" i="12"/>
  <c r="J64" i="12"/>
  <c r="H65" i="12"/>
  <c r="J65" i="12"/>
  <c r="H31" i="12"/>
  <c r="H32" i="12"/>
  <c r="H33" i="12"/>
  <c r="H34" i="12"/>
  <c r="H35" i="12"/>
  <c r="H66" i="12"/>
  <c r="J66" i="12"/>
  <c r="H67" i="12"/>
  <c r="J67" i="12"/>
  <c r="H68" i="12"/>
  <c r="J31" i="12"/>
  <c r="J32" i="12"/>
  <c r="J33" i="12"/>
  <c r="J34" i="12"/>
  <c r="J35" i="12"/>
  <c r="J68" i="12"/>
  <c r="I71" i="12"/>
  <c r="H74" i="12"/>
  <c r="E74" i="12"/>
  <c r="G74" i="12"/>
  <c r="B74" i="12"/>
  <c r="D74" i="12"/>
  <c r="C81" i="12"/>
  <c r="D81" i="12"/>
  <c r="G81" i="12"/>
  <c r="H85" i="12"/>
  <c r="H36" i="12"/>
  <c r="E76" i="12"/>
  <c r="G76" i="12"/>
  <c r="B76" i="12"/>
  <c r="B64" i="12"/>
  <c r="D64" i="12"/>
  <c r="B31" i="12"/>
  <c r="B32" i="12"/>
  <c r="B33" i="12"/>
  <c r="B34" i="12"/>
  <c r="B35" i="12"/>
  <c r="B65" i="12"/>
  <c r="D65" i="12"/>
  <c r="B66" i="12"/>
  <c r="D66" i="12"/>
  <c r="B67" i="12"/>
  <c r="D67" i="12"/>
  <c r="B68" i="12"/>
  <c r="D31" i="12"/>
  <c r="D32" i="12"/>
  <c r="D33" i="12"/>
  <c r="D34" i="12"/>
  <c r="D35" i="12"/>
  <c r="D68" i="12"/>
  <c r="C71" i="12"/>
  <c r="D76" i="12"/>
  <c r="E16" i="12"/>
  <c r="B83" i="12"/>
  <c r="C83" i="12"/>
  <c r="D85" i="12"/>
  <c r="D36" i="12"/>
  <c r="C80" i="12"/>
  <c r="B85" i="12"/>
  <c r="B36" i="12"/>
  <c r="D86" i="12"/>
  <c r="D87" i="12"/>
  <c r="D83" i="12"/>
  <c r="G83" i="12"/>
  <c r="J85" i="12"/>
  <c r="J36" i="12"/>
  <c r="H86" i="12"/>
  <c r="H87" i="12"/>
  <c r="J81" i="12"/>
  <c r="M81" i="12"/>
  <c r="P85" i="12"/>
  <c r="P36" i="12"/>
  <c r="N86" i="12"/>
  <c r="N87" i="12"/>
  <c r="P79" i="12"/>
  <c r="S79" i="12"/>
  <c r="V79" i="12"/>
  <c r="W85" i="12"/>
  <c r="W36" i="12"/>
  <c r="T76" i="12"/>
  <c r="V76" i="12"/>
  <c r="Q76" i="12"/>
  <c r="Q64" i="12"/>
  <c r="S64" i="12"/>
  <c r="Q65" i="12"/>
  <c r="S65" i="12"/>
  <c r="Q66" i="12"/>
  <c r="S66" i="12"/>
  <c r="Q31" i="12"/>
  <c r="Q32" i="12"/>
  <c r="Q33" i="12"/>
  <c r="Q34" i="12"/>
  <c r="Q35" i="12"/>
  <c r="Q67" i="12"/>
  <c r="S67" i="12"/>
  <c r="Q68" i="12"/>
  <c r="S31" i="12"/>
  <c r="S32" i="12"/>
  <c r="S33" i="12"/>
  <c r="S34" i="12"/>
  <c r="S35" i="12"/>
  <c r="S68" i="12"/>
  <c r="R71" i="12"/>
  <c r="S76" i="12"/>
  <c r="N76" i="12"/>
  <c r="P76" i="12"/>
  <c r="K76" i="12"/>
  <c r="M76" i="12"/>
  <c r="H76" i="12"/>
  <c r="J76" i="12"/>
  <c r="J86" i="12"/>
  <c r="J87" i="12"/>
  <c r="J83" i="12"/>
  <c r="M83" i="12"/>
  <c r="P83" i="12"/>
  <c r="S85" i="12"/>
  <c r="S36" i="12"/>
  <c r="N75" i="12"/>
  <c r="P75" i="12"/>
  <c r="K75" i="12"/>
  <c r="K64" i="12"/>
  <c r="M64" i="12"/>
  <c r="K31" i="12"/>
  <c r="K32" i="12"/>
  <c r="K33" i="12"/>
  <c r="K34" i="12"/>
  <c r="K35" i="12"/>
  <c r="K65" i="12"/>
  <c r="M65" i="12"/>
  <c r="K66" i="12"/>
  <c r="M66" i="12"/>
  <c r="K67" i="12"/>
  <c r="M31" i="12"/>
  <c r="M32" i="12"/>
  <c r="M33" i="12"/>
  <c r="M34" i="12"/>
  <c r="M35" i="12"/>
  <c r="M67" i="12"/>
  <c r="K68" i="12"/>
  <c r="M68" i="12"/>
  <c r="L71" i="12"/>
  <c r="M75" i="12"/>
  <c r="H75" i="12"/>
  <c r="J75" i="12"/>
  <c r="E75" i="12"/>
  <c r="G75" i="12"/>
  <c r="G86" i="12"/>
  <c r="G87" i="12"/>
  <c r="G82" i="12"/>
  <c r="J82" i="12"/>
  <c r="M85" i="12"/>
  <c r="M36" i="12"/>
  <c r="H73" i="12"/>
  <c r="J73" i="12"/>
  <c r="E73" i="12"/>
  <c r="G73" i="12"/>
  <c r="B73" i="12"/>
  <c r="B86" i="12"/>
  <c r="B87" i="12"/>
  <c r="D80" i="12"/>
  <c r="G80" i="12"/>
  <c r="J80" i="12"/>
  <c r="K85" i="12"/>
  <c r="K36" i="12"/>
  <c r="M86" i="12"/>
  <c r="M87" i="12"/>
  <c r="M82" i="12"/>
  <c r="P82" i="12"/>
  <c r="Q85" i="12"/>
  <c r="Q36" i="12"/>
  <c r="S86" i="12"/>
  <c r="S87" i="12"/>
  <c r="S83" i="12"/>
  <c r="V83" i="12"/>
  <c r="Y85" i="12"/>
  <c r="Y36" i="12"/>
  <c r="W86" i="12"/>
  <c r="W87" i="12"/>
  <c r="Y79" i="12"/>
  <c r="AB79" i="12"/>
  <c r="AC85" i="12"/>
  <c r="AC36" i="12"/>
  <c r="Z73" i="12"/>
  <c r="AB73" i="12"/>
  <c r="W73" i="12"/>
  <c r="Y73" i="12"/>
  <c r="T64" i="12"/>
  <c r="V64" i="12"/>
  <c r="T31" i="12"/>
  <c r="T32" i="12"/>
  <c r="T33" i="12"/>
  <c r="T34" i="12"/>
  <c r="T35" i="12"/>
  <c r="T65" i="12"/>
  <c r="V65" i="12"/>
  <c r="T66" i="12"/>
  <c r="V31" i="12"/>
  <c r="V32" i="12"/>
  <c r="V33" i="12"/>
  <c r="V34" i="12"/>
  <c r="V35" i="12"/>
  <c r="V66" i="12"/>
  <c r="T67" i="12"/>
  <c r="V67" i="12"/>
  <c r="T68" i="12"/>
  <c r="V68" i="12"/>
  <c r="U71" i="12"/>
  <c r="T73" i="12"/>
  <c r="Q73" i="12"/>
  <c r="S73" i="12"/>
  <c r="N73" i="12"/>
  <c r="P73" i="12"/>
  <c r="K73" i="12"/>
  <c r="K86" i="12"/>
  <c r="K87" i="12"/>
  <c r="M80" i="12"/>
  <c r="P80" i="12"/>
  <c r="S80" i="12"/>
  <c r="T85" i="12"/>
  <c r="T36" i="12"/>
  <c r="Q74" i="12"/>
  <c r="S74" i="12"/>
  <c r="N74" i="12"/>
  <c r="P74" i="12"/>
  <c r="P86" i="12"/>
  <c r="P87" i="12"/>
  <c r="P81" i="12"/>
  <c r="S81" i="12"/>
  <c r="V85" i="12"/>
  <c r="V36" i="12"/>
  <c r="T86" i="12"/>
  <c r="T87" i="12"/>
  <c r="V80" i="12"/>
  <c r="Y80" i="12"/>
  <c r="AB80" i="12"/>
  <c r="AE85" i="12"/>
  <c r="AE36" i="12"/>
  <c r="AC86" i="12"/>
  <c r="AC87" i="12"/>
  <c r="AE79" i="12"/>
  <c r="AU79" i="12"/>
  <c r="AC73" i="12"/>
  <c r="AE73" i="12"/>
  <c r="AE86" i="12"/>
  <c r="AE87" i="12"/>
  <c r="AE80" i="12"/>
  <c r="AU80" i="12"/>
  <c r="AC74" i="12"/>
  <c r="AE74" i="12"/>
  <c r="Z64" i="12"/>
  <c r="AB64" i="12"/>
  <c r="Z65" i="12"/>
  <c r="AB65" i="12"/>
  <c r="Z31" i="12"/>
  <c r="Z32" i="12"/>
  <c r="Z33" i="12"/>
  <c r="Z34" i="12"/>
  <c r="Z35" i="12"/>
  <c r="Z66" i="12"/>
  <c r="AB66" i="12"/>
  <c r="Z67" i="12"/>
  <c r="AB31" i="12"/>
  <c r="AB32" i="12"/>
  <c r="AB33" i="12"/>
  <c r="AB34" i="12"/>
  <c r="AB35" i="12"/>
  <c r="AB67" i="12"/>
  <c r="Z68" i="12"/>
  <c r="AB68" i="12"/>
  <c r="AA71" i="12"/>
  <c r="Z74" i="12"/>
  <c r="W74" i="12"/>
  <c r="Y74" i="12"/>
  <c r="T74" i="12"/>
  <c r="V74" i="12"/>
  <c r="V86" i="12"/>
  <c r="V87" i="12"/>
  <c r="V81" i="12"/>
  <c r="Y81" i="12"/>
  <c r="Z85" i="12"/>
  <c r="Z36" i="12"/>
  <c r="W75" i="12"/>
  <c r="Y75" i="12"/>
  <c r="T75" i="12"/>
  <c r="V75" i="12"/>
  <c r="Q75" i="12"/>
  <c r="Q86" i="12"/>
  <c r="Q87" i="12"/>
  <c r="S82" i="12"/>
  <c r="V82" i="12"/>
  <c r="Y82" i="12"/>
  <c r="AB85" i="12"/>
  <c r="AB36" i="12"/>
  <c r="Z86" i="12"/>
  <c r="Z87" i="12"/>
  <c r="AB81" i="12"/>
  <c r="AE81" i="12"/>
  <c r="AU81" i="12"/>
  <c r="AC75" i="12"/>
  <c r="AE75" i="12"/>
  <c r="Z75" i="12"/>
  <c r="AB75" i="12"/>
  <c r="AB86" i="12"/>
  <c r="AB87" i="12"/>
  <c r="AB82" i="12"/>
  <c r="AE82" i="12"/>
  <c r="AU82" i="12"/>
  <c r="AT83" i="12"/>
  <c r="AC76" i="12"/>
  <c r="AE76" i="12"/>
  <c r="Z76" i="12"/>
  <c r="AB76" i="12"/>
  <c r="W76" i="12"/>
  <c r="Y76" i="12"/>
  <c r="Y86" i="12"/>
  <c r="Y87" i="12"/>
  <c r="Y83" i="12"/>
  <c r="AB83" i="12"/>
  <c r="AE83" i="12"/>
  <c r="AU83" i="12"/>
  <c r="E93" i="12"/>
  <c r="B164" i="12"/>
  <c r="AT164" i="12"/>
  <c r="AC116" i="12"/>
  <c r="AC117" i="12"/>
  <c r="AC118" i="12"/>
  <c r="AC119" i="12"/>
  <c r="AC120" i="12"/>
  <c r="AC149" i="12"/>
  <c r="AE149" i="12"/>
  <c r="AC150" i="12"/>
  <c r="AE116" i="12"/>
  <c r="AE117" i="12"/>
  <c r="AE118" i="12"/>
  <c r="AE119" i="12"/>
  <c r="AE120" i="12"/>
  <c r="AE150" i="12"/>
  <c r="AC151" i="12"/>
  <c r="AE151" i="12"/>
  <c r="AC152" i="12"/>
  <c r="AE152" i="12"/>
  <c r="AC153" i="12"/>
  <c r="AE153" i="12"/>
  <c r="AD156" i="12"/>
  <c r="AC157" i="12"/>
  <c r="Z157" i="12"/>
  <c r="AB157" i="12"/>
  <c r="W116" i="12"/>
  <c r="W117" i="12"/>
  <c r="W118" i="12"/>
  <c r="W119" i="12"/>
  <c r="W120" i="12"/>
  <c r="W149" i="12"/>
  <c r="Y149" i="12"/>
  <c r="W150" i="12"/>
  <c r="Y150" i="12"/>
  <c r="W151" i="12"/>
  <c r="Y151" i="12"/>
  <c r="W152" i="12"/>
  <c r="Y152" i="12"/>
  <c r="W153" i="12"/>
  <c r="Y116" i="12"/>
  <c r="Y117" i="12"/>
  <c r="Y118" i="12"/>
  <c r="Y119" i="12"/>
  <c r="Y120" i="12"/>
  <c r="Y153" i="12"/>
  <c r="X156" i="12"/>
  <c r="W157" i="12"/>
  <c r="T157" i="12"/>
  <c r="V157" i="12"/>
  <c r="Q157" i="12"/>
  <c r="S157" i="12"/>
  <c r="N116" i="12"/>
  <c r="N117" i="12"/>
  <c r="N118" i="12"/>
  <c r="N119" i="12"/>
  <c r="N120" i="12"/>
  <c r="N149" i="12"/>
  <c r="P149" i="12"/>
  <c r="N150" i="12"/>
  <c r="P150" i="12"/>
  <c r="N151" i="12"/>
  <c r="P116" i="12"/>
  <c r="P117" i="12"/>
  <c r="P118" i="12"/>
  <c r="P119" i="12"/>
  <c r="P120" i="12"/>
  <c r="P151" i="12"/>
  <c r="N152" i="12"/>
  <c r="P152" i="12"/>
  <c r="N153" i="12"/>
  <c r="P153" i="12"/>
  <c r="O156" i="12"/>
  <c r="N157" i="12"/>
  <c r="K157" i="12"/>
  <c r="M157" i="12"/>
  <c r="H157" i="12"/>
  <c r="J157" i="12"/>
  <c r="E116" i="12"/>
  <c r="E117" i="12"/>
  <c r="E118" i="12"/>
  <c r="E119" i="12"/>
  <c r="E120" i="12"/>
  <c r="E149" i="12"/>
  <c r="G149" i="12"/>
  <c r="E150" i="12"/>
  <c r="G150" i="12"/>
  <c r="E151" i="12"/>
  <c r="G151" i="12"/>
  <c r="E152" i="12"/>
  <c r="G116" i="12"/>
  <c r="G117" i="12"/>
  <c r="G118" i="12"/>
  <c r="G119" i="12"/>
  <c r="G120" i="12"/>
  <c r="G152" i="12"/>
  <c r="E153" i="12"/>
  <c r="G153" i="12"/>
  <c r="F156" i="12"/>
  <c r="E157" i="12"/>
  <c r="B157" i="12"/>
  <c r="D157" i="12"/>
  <c r="C164" i="12"/>
  <c r="D164" i="12"/>
  <c r="E170" i="12"/>
  <c r="E121" i="12"/>
  <c r="B160" i="12"/>
  <c r="D160" i="12"/>
  <c r="E99" i="12"/>
  <c r="B167" i="12"/>
  <c r="C167" i="12"/>
  <c r="D167" i="12"/>
  <c r="G170" i="12"/>
  <c r="G121" i="12"/>
  <c r="E171" i="12"/>
  <c r="E172" i="12"/>
  <c r="G164" i="12"/>
  <c r="J164" i="12"/>
  <c r="M164" i="12"/>
  <c r="N170" i="12"/>
  <c r="N121" i="12"/>
  <c r="K159" i="12"/>
  <c r="M159" i="12"/>
  <c r="H149" i="12"/>
  <c r="J149" i="12"/>
  <c r="H150" i="12"/>
  <c r="J150" i="12"/>
  <c r="H116" i="12"/>
  <c r="H117" i="12"/>
  <c r="H118" i="12"/>
  <c r="H119" i="12"/>
  <c r="H120" i="12"/>
  <c r="H151" i="12"/>
  <c r="J151" i="12"/>
  <c r="H152" i="12"/>
  <c r="J152" i="12"/>
  <c r="H153" i="12"/>
  <c r="J116" i="12"/>
  <c r="J117" i="12"/>
  <c r="J118" i="12"/>
  <c r="J119" i="12"/>
  <c r="J120" i="12"/>
  <c r="J153" i="12"/>
  <c r="I156" i="12"/>
  <c r="H159" i="12"/>
  <c r="E159" i="12"/>
  <c r="G159" i="12"/>
  <c r="B159" i="12"/>
  <c r="D159" i="12"/>
  <c r="E97" i="12"/>
  <c r="B166" i="12"/>
  <c r="C166" i="12"/>
  <c r="D166" i="12"/>
  <c r="G166" i="12"/>
  <c r="H170" i="12"/>
  <c r="H121" i="12"/>
  <c r="E161" i="12"/>
  <c r="G161" i="12"/>
  <c r="B161" i="12"/>
  <c r="B149" i="12"/>
  <c r="D149" i="12"/>
  <c r="B116" i="12"/>
  <c r="B117" i="12"/>
  <c r="B118" i="12"/>
  <c r="B119" i="12"/>
  <c r="B120" i="12"/>
  <c r="B150" i="12"/>
  <c r="D150" i="12"/>
  <c r="B151" i="12"/>
  <c r="D151" i="12"/>
  <c r="B152" i="12"/>
  <c r="D152" i="12"/>
  <c r="B153" i="12"/>
  <c r="D116" i="12"/>
  <c r="D117" i="12"/>
  <c r="D118" i="12"/>
  <c r="D119" i="12"/>
  <c r="D120" i="12"/>
  <c r="D153" i="12"/>
  <c r="C156" i="12"/>
  <c r="D161" i="12"/>
  <c r="B168" i="12"/>
  <c r="C168" i="12"/>
  <c r="D170" i="12"/>
  <c r="D121" i="12"/>
  <c r="E95" i="12"/>
  <c r="B165" i="12"/>
  <c r="C165" i="12"/>
  <c r="B170" i="12"/>
  <c r="B121" i="12"/>
  <c r="D171" i="12"/>
  <c r="D172" i="12"/>
  <c r="D168" i="12"/>
  <c r="G168" i="12"/>
  <c r="J170" i="12"/>
  <c r="J121" i="12"/>
  <c r="H171" i="12"/>
  <c r="H172" i="12"/>
  <c r="J166" i="12"/>
  <c r="M166" i="12"/>
  <c r="P170" i="12"/>
  <c r="P121" i="12"/>
  <c r="N171" i="12"/>
  <c r="N172" i="12"/>
  <c r="P164" i="12"/>
  <c r="S164" i="12"/>
  <c r="V164" i="12"/>
  <c r="W170" i="12"/>
  <c r="W121" i="12"/>
  <c r="T161" i="12"/>
  <c r="V161" i="12"/>
  <c r="Q161" i="12"/>
  <c r="Q149" i="12"/>
  <c r="S149" i="12"/>
  <c r="Q150" i="12"/>
  <c r="S150" i="12"/>
  <c r="Q151" i="12"/>
  <c r="S151" i="12"/>
  <c r="Q116" i="12"/>
  <c r="Q117" i="12"/>
  <c r="Q118" i="12"/>
  <c r="Q119" i="12"/>
  <c r="Q120" i="12"/>
  <c r="Q152" i="12"/>
  <c r="S152" i="12"/>
  <c r="Q153" i="12"/>
  <c r="S116" i="12"/>
  <c r="S117" i="12"/>
  <c r="S118" i="12"/>
  <c r="S119" i="12"/>
  <c r="S120" i="12"/>
  <c r="S153" i="12"/>
  <c r="R156" i="12"/>
  <c r="S161" i="12"/>
  <c r="N161" i="12"/>
  <c r="P161" i="12"/>
  <c r="K161" i="12"/>
  <c r="M161" i="12"/>
  <c r="H161" i="12"/>
  <c r="J161" i="12"/>
  <c r="J171" i="12"/>
  <c r="J172" i="12"/>
  <c r="J168" i="12"/>
  <c r="M168" i="12"/>
  <c r="P168" i="12"/>
  <c r="S170" i="12"/>
  <c r="S121" i="12"/>
  <c r="N160" i="12"/>
  <c r="P160" i="12"/>
  <c r="K160" i="12"/>
  <c r="K149" i="12"/>
  <c r="M149" i="12"/>
  <c r="K116" i="12"/>
  <c r="K117" i="12"/>
  <c r="K118" i="12"/>
  <c r="K119" i="12"/>
  <c r="K120" i="12"/>
  <c r="K150" i="12"/>
  <c r="M150" i="12"/>
  <c r="K151" i="12"/>
  <c r="M151" i="12"/>
  <c r="K152" i="12"/>
  <c r="M116" i="12"/>
  <c r="M117" i="12"/>
  <c r="M118" i="12"/>
  <c r="M119" i="12"/>
  <c r="M120" i="12"/>
  <c r="M152" i="12"/>
  <c r="K153" i="12"/>
  <c r="M153" i="12"/>
  <c r="L156" i="12"/>
  <c r="M160" i="12"/>
  <c r="H160" i="12"/>
  <c r="J160" i="12"/>
  <c r="E160" i="12"/>
  <c r="G160" i="12"/>
  <c r="G171" i="12"/>
  <c r="G172" i="12"/>
  <c r="G167" i="12"/>
  <c r="J167" i="12"/>
  <c r="M170" i="12"/>
  <c r="M121" i="12"/>
  <c r="H158" i="12"/>
  <c r="J158" i="12"/>
  <c r="E158" i="12"/>
  <c r="G158" i="12"/>
  <c r="B158" i="12"/>
  <c r="B171" i="12"/>
  <c r="B172" i="12"/>
  <c r="D165" i="12"/>
  <c r="G165" i="12"/>
  <c r="J165" i="12"/>
  <c r="K170" i="12"/>
  <c r="K121" i="12"/>
  <c r="M171" i="12"/>
  <c r="M172" i="12"/>
  <c r="M167" i="12"/>
  <c r="P167" i="12"/>
  <c r="Q170" i="12"/>
  <c r="Q121" i="12"/>
  <c r="S171" i="12"/>
  <c r="S172" i="12"/>
  <c r="S168" i="12"/>
  <c r="V168" i="12"/>
  <c r="Y170" i="12"/>
  <c r="Y121" i="12"/>
  <c r="W171" i="12"/>
  <c r="W172" i="12"/>
  <c r="Y164" i="12"/>
  <c r="AB164" i="12"/>
  <c r="AC170" i="12"/>
  <c r="AC121" i="12"/>
  <c r="Z158" i="12"/>
  <c r="AB158" i="12"/>
  <c r="W158" i="12"/>
  <c r="Y158" i="12"/>
  <c r="T149" i="12"/>
  <c r="V149" i="12"/>
  <c r="T116" i="12"/>
  <c r="T117" i="12"/>
  <c r="T118" i="12"/>
  <c r="T119" i="12"/>
  <c r="T120" i="12"/>
  <c r="T150" i="12"/>
  <c r="V150" i="12"/>
  <c r="T151" i="12"/>
  <c r="V116" i="12"/>
  <c r="V117" i="12"/>
  <c r="V118" i="12"/>
  <c r="V119" i="12"/>
  <c r="V120" i="12"/>
  <c r="V151" i="12"/>
  <c r="T152" i="12"/>
  <c r="V152" i="12"/>
  <c r="T153" i="12"/>
  <c r="V153" i="12"/>
  <c r="U156" i="12"/>
  <c r="T158" i="12"/>
  <c r="Q158" i="12"/>
  <c r="S158" i="12"/>
  <c r="N158" i="12"/>
  <c r="P158" i="12"/>
  <c r="K158" i="12"/>
  <c r="K171" i="12"/>
  <c r="K172" i="12"/>
  <c r="M165" i="12"/>
  <c r="P165" i="12"/>
  <c r="S165" i="12"/>
  <c r="T170" i="12"/>
  <c r="T121" i="12"/>
  <c r="Q159" i="12"/>
  <c r="S159" i="12"/>
  <c r="N159" i="12"/>
  <c r="P159" i="12"/>
  <c r="P171" i="12"/>
  <c r="P172" i="12"/>
  <c r="P166" i="12"/>
  <c r="S166" i="12"/>
  <c r="V170" i="12"/>
  <c r="V121" i="12"/>
  <c r="T171" i="12"/>
  <c r="T172" i="12"/>
  <c r="V165" i="12"/>
  <c r="Y165" i="12"/>
  <c r="AB165" i="12"/>
  <c r="AE170" i="12"/>
  <c r="AE121" i="12"/>
  <c r="AC171" i="12"/>
  <c r="AC172" i="12"/>
  <c r="AE164" i="12"/>
  <c r="AU164" i="12"/>
  <c r="AT165" i="12"/>
  <c r="AC158" i="12"/>
  <c r="AE158" i="12"/>
  <c r="AE171" i="12"/>
  <c r="AE172" i="12"/>
  <c r="AE165" i="12"/>
  <c r="AU165" i="12"/>
  <c r="AT166" i="12"/>
  <c r="AC159" i="12"/>
  <c r="AE159" i="12"/>
  <c r="Z149" i="12"/>
  <c r="AB149" i="12"/>
  <c r="Z150" i="12"/>
  <c r="AB150" i="12"/>
  <c r="Z116" i="12"/>
  <c r="Z117" i="12"/>
  <c r="Z118" i="12"/>
  <c r="Z119" i="12"/>
  <c r="Z120" i="12"/>
  <c r="Z151" i="12"/>
  <c r="AB151" i="12"/>
  <c r="Z152" i="12"/>
  <c r="AB116" i="12"/>
  <c r="AB117" i="12"/>
  <c r="AB118" i="12"/>
  <c r="AB119" i="12"/>
  <c r="AB120" i="12"/>
  <c r="AB152" i="12"/>
  <c r="Z153" i="12"/>
  <c r="AB153" i="12"/>
  <c r="AA156" i="12"/>
  <c r="Z159" i="12"/>
  <c r="W159" i="12"/>
  <c r="Y159" i="12"/>
  <c r="T159" i="12"/>
  <c r="V159" i="12"/>
  <c r="V171" i="12"/>
  <c r="V172" i="12"/>
  <c r="V166" i="12"/>
  <c r="Y166" i="12"/>
  <c r="Z170" i="12"/>
  <c r="Z121" i="12"/>
  <c r="W160" i="12"/>
  <c r="Y160" i="12"/>
  <c r="T160" i="12"/>
  <c r="V160" i="12"/>
  <c r="Q160" i="12"/>
  <c r="Q171" i="12"/>
  <c r="Q172" i="12"/>
  <c r="S167" i="12"/>
  <c r="V167" i="12"/>
  <c r="Y167" i="12"/>
  <c r="AB170" i="12"/>
  <c r="AB121" i="12"/>
  <c r="Z171" i="12"/>
  <c r="Z172" i="12"/>
  <c r="AB166" i="12"/>
  <c r="AE166" i="12"/>
  <c r="AU166" i="12"/>
  <c r="AT167" i="12"/>
  <c r="AC160" i="12"/>
  <c r="AE160" i="12"/>
  <c r="Z160" i="12"/>
  <c r="AB160" i="12"/>
  <c r="AB171" i="12"/>
  <c r="AB172" i="12"/>
  <c r="AB167" i="12"/>
  <c r="AE167" i="12"/>
  <c r="AU167" i="12"/>
  <c r="AT168" i="12"/>
  <c r="AC161" i="12"/>
  <c r="AE161" i="12"/>
  <c r="Z161" i="12"/>
  <c r="AB161" i="12"/>
  <c r="W161" i="12"/>
  <c r="Y161" i="12"/>
  <c r="Y171" i="12"/>
  <c r="Y172" i="12"/>
  <c r="Y168" i="12"/>
  <c r="AB168" i="12"/>
  <c r="AE168" i="12"/>
  <c r="AU168" i="12"/>
  <c r="AX12" i="12"/>
  <c r="X230" i="12"/>
  <c r="Y231" i="12"/>
  <c r="V179" i="12"/>
  <c r="X210" i="12"/>
  <c r="W227" i="12"/>
  <c r="AX6" i="12"/>
  <c r="X227" i="12"/>
  <c r="W231" i="12"/>
  <c r="Y232" i="12"/>
  <c r="Y233" i="12"/>
  <c r="Y230" i="12"/>
  <c r="AB230" i="12"/>
  <c r="AE230" i="12"/>
  <c r="AU233" i="12"/>
  <c r="AT233" i="12"/>
  <c r="V180" i="12"/>
  <c r="X211" i="12"/>
  <c r="W228" i="12"/>
  <c r="AX9" i="12"/>
  <c r="X228" i="12"/>
  <c r="Y228" i="12"/>
  <c r="Z231" i="12"/>
  <c r="AF179" i="12"/>
  <c r="X212" i="12"/>
  <c r="W229" i="12"/>
  <c r="AX11" i="12"/>
  <c r="X229" i="12"/>
  <c r="Y229" i="12"/>
  <c r="AB231" i="12"/>
  <c r="Z232" i="12"/>
  <c r="Z233" i="12"/>
  <c r="AB228" i="12"/>
  <c r="AE231" i="12"/>
  <c r="AE219" i="12"/>
  <c r="AE220" i="12"/>
  <c r="AE221" i="12"/>
  <c r="AE222" i="12"/>
  <c r="W232" i="12"/>
  <c r="W233" i="12"/>
  <c r="Y227" i="12"/>
  <c r="AB227" i="12"/>
  <c r="AC231" i="12"/>
  <c r="AC219" i="12"/>
  <c r="AC220" i="12"/>
  <c r="AC221" i="12"/>
  <c r="AC222" i="12"/>
  <c r="AE232" i="12"/>
  <c r="AE233" i="12"/>
  <c r="AC232" i="12"/>
  <c r="AC233" i="12"/>
  <c r="AB232" i="12"/>
  <c r="AB233" i="12"/>
  <c r="E219" i="12"/>
  <c r="E220" i="12"/>
  <c r="E221" i="12"/>
  <c r="E222" i="12"/>
  <c r="G219" i="12"/>
  <c r="G220" i="12"/>
  <c r="G221" i="12"/>
  <c r="G222" i="12"/>
  <c r="J218" i="12"/>
  <c r="B180" i="12"/>
  <c r="B211" i="12"/>
  <c r="B228" i="12"/>
  <c r="AX4" i="12"/>
  <c r="C228" i="12"/>
  <c r="D228" i="12"/>
  <c r="E231" i="12"/>
  <c r="L179" i="12"/>
  <c r="B212" i="12"/>
  <c r="B229" i="12"/>
  <c r="AX7" i="12"/>
  <c r="C229" i="12"/>
  <c r="D229" i="12"/>
  <c r="G231" i="12"/>
  <c r="E232" i="12"/>
  <c r="E233" i="12"/>
  <c r="G228" i="12"/>
  <c r="J231" i="12"/>
  <c r="J219" i="12"/>
  <c r="J220" i="12"/>
  <c r="J221" i="12"/>
  <c r="J222" i="12"/>
  <c r="B219" i="12"/>
  <c r="B220" i="12"/>
  <c r="B221" i="12"/>
  <c r="B222" i="12"/>
  <c r="D219" i="12"/>
  <c r="D220" i="12"/>
  <c r="D221" i="12"/>
  <c r="D222" i="12"/>
  <c r="H218" i="12"/>
  <c r="L180" i="12"/>
  <c r="B213" i="12"/>
  <c r="B230" i="12"/>
  <c r="AX8" i="12"/>
  <c r="C230" i="12"/>
  <c r="D231" i="12"/>
  <c r="B179" i="12"/>
  <c r="B210" i="12"/>
  <c r="B227" i="12"/>
  <c r="AX3" i="12"/>
  <c r="C227" i="12"/>
  <c r="B231" i="12"/>
  <c r="D232" i="12"/>
  <c r="D233" i="12"/>
  <c r="D230" i="12"/>
  <c r="G230" i="12"/>
  <c r="H231" i="12"/>
  <c r="H219" i="12"/>
  <c r="H220" i="12"/>
  <c r="H221" i="12"/>
  <c r="H222" i="12"/>
  <c r="J232" i="12"/>
  <c r="J233" i="12"/>
  <c r="H232" i="12"/>
  <c r="H233" i="12"/>
  <c r="G232" i="12"/>
  <c r="G233" i="12"/>
  <c r="B232" i="12"/>
  <c r="B233" i="12"/>
  <c r="AB229" i="12"/>
  <c r="AE229" i="12"/>
  <c r="AU232" i="12"/>
  <c r="AT232" i="12"/>
  <c r="AE228" i="12"/>
  <c r="AU231" i="12"/>
  <c r="AT231" i="12"/>
  <c r="AE227" i="12"/>
  <c r="AU230" i="12"/>
  <c r="AT230" i="12"/>
  <c r="J230" i="12"/>
  <c r="AU229" i="12"/>
  <c r="AT229" i="12"/>
  <c r="G229" i="12"/>
  <c r="J229" i="12"/>
  <c r="AU228" i="12"/>
  <c r="AT228" i="12"/>
  <c r="J228" i="12"/>
  <c r="AU227" i="12"/>
  <c r="AT227" i="12"/>
  <c r="D227" i="12"/>
  <c r="G227" i="12"/>
  <c r="J227" i="12"/>
  <c r="AU226" i="12"/>
  <c r="AT226" i="12"/>
  <c r="AF223" i="12"/>
  <c r="K223" i="12"/>
  <c r="E102" i="12"/>
  <c r="AL180" i="12"/>
  <c r="AG213" i="12"/>
  <c r="E98" i="12"/>
  <c r="R180" i="12"/>
  <c r="K213" i="12"/>
  <c r="E17" i="12"/>
  <c r="AL179" i="12"/>
  <c r="AG212" i="12"/>
  <c r="E13" i="12"/>
  <c r="R179" i="12"/>
  <c r="K212" i="12"/>
  <c r="E100" i="12"/>
  <c r="AB180" i="12"/>
  <c r="AG211" i="12"/>
  <c r="E94" i="12"/>
  <c r="H180" i="12"/>
  <c r="K211" i="12"/>
  <c r="E11" i="12"/>
  <c r="AB179" i="12"/>
  <c r="AG210" i="12"/>
  <c r="E9" i="12"/>
  <c r="H179" i="12"/>
  <c r="K210" i="12"/>
  <c r="U204" i="12"/>
  <c r="A204" i="12"/>
  <c r="AB203" i="12"/>
  <c r="F203" i="12"/>
  <c r="U199" i="12"/>
  <c r="A199" i="12"/>
  <c r="AF198" i="12"/>
  <c r="J198" i="12"/>
  <c r="U195" i="12"/>
  <c r="A195" i="12"/>
  <c r="AB193" i="12"/>
  <c r="T193" i="12"/>
  <c r="F193" i="12"/>
  <c r="A193" i="12"/>
  <c r="U190" i="12"/>
  <c r="A190" i="12"/>
  <c r="A174" i="12"/>
  <c r="AF161" i="12"/>
  <c r="S160" i="12"/>
  <c r="AF160" i="12"/>
  <c r="J159" i="12"/>
  <c r="AB159" i="12"/>
  <c r="AF159" i="12"/>
  <c r="D158" i="12"/>
  <c r="M158" i="12"/>
  <c r="V158" i="12"/>
  <c r="AF158" i="12"/>
  <c r="G157" i="12"/>
  <c r="P157" i="12"/>
  <c r="Y157" i="12"/>
  <c r="AE157" i="12"/>
  <c r="AF157" i="12"/>
  <c r="AF153" i="12"/>
  <c r="AG153" i="12"/>
  <c r="AF152" i="12"/>
  <c r="AG152" i="12"/>
  <c r="AF151" i="12"/>
  <c r="AG151" i="12"/>
  <c r="AF150" i="12"/>
  <c r="AG150" i="12"/>
  <c r="AF149" i="12"/>
  <c r="AG149" i="12"/>
  <c r="B147" i="12"/>
  <c r="B124" i="12"/>
  <c r="D124" i="12"/>
  <c r="B125" i="12"/>
  <c r="D125" i="12"/>
  <c r="B126" i="12"/>
  <c r="D126" i="12"/>
  <c r="B127" i="12"/>
  <c r="D127" i="12"/>
  <c r="B128" i="12"/>
  <c r="D128" i="12"/>
  <c r="B129" i="12"/>
  <c r="D147" i="12"/>
  <c r="E147" i="12"/>
  <c r="G147" i="12"/>
  <c r="H147" i="12"/>
  <c r="H124" i="12"/>
  <c r="J124" i="12"/>
  <c r="H125" i="12"/>
  <c r="J125" i="12"/>
  <c r="H126" i="12"/>
  <c r="J126" i="12"/>
  <c r="H127" i="12"/>
  <c r="J127" i="12"/>
  <c r="H128" i="12"/>
  <c r="J128" i="12"/>
  <c r="H129" i="12"/>
  <c r="J147" i="12"/>
  <c r="K147" i="12"/>
  <c r="M147" i="12"/>
  <c r="N147" i="12"/>
  <c r="P147" i="12"/>
  <c r="Q147" i="12"/>
  <c r="Q124" i="12"/>
  <c r="S124" i="12"/>
  <c r="Q125" i="12"/>
  <c r="S125" i="12"/>
  <c r="Q126" i="12"/>
  <c r="S126" i="12"/>
  <c r="Q127" i="12"/>
  <c r="S127" i="12"/>
  <c r="Q128" i="12"/>
  <c r="S128" i="12"/>
  <c r="Q129" i="12"/>
  <c r="S147" i="12"/>
  <c r="T147" i="12"/>
  <c r="V147" i="12"/>
  <c r="W147" i="12"/>
  <c r="W124" i="12"/>
  <c r="Y124" i="12"/>
  <c r="W125" i="12"/>
  <c r="Y125" i="12"/>
  <c r="W126" i="12"/>
  <c r="Y126" i="12"/>
  <c r="W127" i="12"/>
  <c r="Y127" i="12"/>
  <c r="W128" i="12"/>
  <c r="Y128" i="12"/>
  <c r="W129" i="12"/>
  <c r="Y147" i="12"/>
  <c r="Z147" i="12"/>
  <c r="AB147" i="12"/>
  <c r="AC147" i="12"/>
  <c r="AE147" i="12"/>
  <c r="AF147" i="12"/>
  <c r="B146" i="12"/>
  <c r="D146" i="12"/>
  <c r="E146" i="12"/>
  <c r="E124" i="12"/>
  <c r="G124" i="12"/>
  <c r="E125" i="12"/>
  <c r="G125" i="12"/>
  <c r="E126" i="12"/>
  <c r="G126" i="12"/>
  <c r="E127" i="12"/>
  <c r="G127" i="12"/>
  <c r="E128" i="12"/>
  <c r="G128" i="12"/>
  <c r="E129" i="12"/>
  <c r="G146" i="12"/>
  <c r="H146" i="12"/>
  <c r="J146" i="12"/>
  <c r="K146" i="12"/>
  <c r="K124" i="12"/>
  <c r="M124" i="12"/>
  <c r="K125" i="12"/>
  <c r="M125" i="12"/>
  <c r="K126" i="12"/>
  <c r="M126" i="12"/>
  <c r="K127" i="12"/>
  <c r="M127" i="12"/>
  <c r="K128" i="12"/>
  <c r="M128" i="12"/>
  <c r="K129" i="12"/>
  <c r="M146" i="12"/>
  <c r="N146" i="12"/>
  <c r="P146" i="12"/>
  <c r="Q146" i="12"/>
  <c r="S146" i="12"/>
  <c r="T146" i="12"/>
  <c r="V146" i="12"/>
  <c r="W146" i="12"/>
  <c r="Y146" i="12"/>
  <c r="Z146" i="12"/>
  <c r="Z124" i="12"/>
  <c r="AB124" i="12"/>
  <c r="Z125" i="12"/>
  <c r="AB125" i="12"/>
  <c r="Z126" i="12"/>
  <c r="AB126" i="12"/>
  <c r="Z127" i="12"/>
  <c r="AB127" i="12"/>
  <c r="Z128" i="12"/>
  <c r="AB128" i="12"/>
  <c r="Z129" i="12"/>
  <c r="AB146" i="12"/>
  <c r="AC146" i="12"/>
  <c r="AE146" i="12"/>
  <c r="AF146" i="12"/>
  <c r="B145" i="12"/>
  <c r="D145" i="12"/>
  <c r="E145" i="12"/>
  <c r="G145" i="12"/>
  <c r="H145" i="12"/>
  <c r="J145" i="12"/>
  <c r="K145" i="12"/>
  <c r="M145" i="12"/>
  <c r="N145" i="12"/>
  <c r="N124" i="12"/>
  <c r="P124" i="12"/>
  <c r="N125" i="12"/>
  <c r="P125" i="12"/>
  <c r="N126" i="12"/>
  <c r="P126" i="12"/>
  <c r="N127" i="12"/>
  <c r="P127" i="12"/>
  <c r="N128" i="12"/>
  <c r="P128" i="12"/>
  <c r="N129" i="12"/>
  <c r="P145" i="12"/>
  <c r="Q145" i="12"/>
  <c r="S145" i="12"/>
  <c r="T145" i="12"/>
  <c r="T124" i="12"/>
  <c r="V124" i="12"/>
  <c r="T125" i="12"/>
  <c r="V125" i="12"/>
  <c r="T126" i="12"/>
  <c r="V126" i="12"/>
  <c r="T127" i="12"/>
  <c r="V127" i="12"/>
  <c r="T128" i="12"/>
  <c r="V128" i="12"/>
  <c r="T129" i="12"/>
  <c r="V145" i="12"/>
  <c r="W145" i="12"/>
  <c r="Y145" i="12"/>
  <c r="Z145" i="12"/>
  <c r="AB145" i="12"/>
  <c r="AC145" i="12"/>
  <c r="AE145" i="12"/>
  <c r="AF145" i="12"/>
  <c r="B144" i="12"/>
  <c r="D144" i="12"/>
  <c r="E144" i="12"/>
  <c r="G144" i="12"/>
  <c r="H144" i="12"/>
  <c r="J144" i="12"/>
  <c r="K144" i="12"/>
  <c r="M144" i="12"/>
  <c r="N144" i="12"/>
  <c r="P144" i="12"/>
  <c r="Q144" i="12"/>
  <c r="S144" i="12"/>
  <c r="T144" i="12"/>
  <c r="V144" i="12"/>
  <c r="W144" i="12"/>
  <c r="Y144" i="12"/>
  <c r="Z144" i="12"/>
  <c r="AB144" i="12"/>
  <c r="AC144" i="12"/>
  <c r="AC124" i="12"/>
  <c r="AE124" i="12"/>
  <c r="AC125" i="12"/>
  <c r="AE125" i="12"/>
  <c r="AC126" i="12"/>
  <c r="AE126" i="12"/>
  <c r="AC127" i="12"/>
  <c r="AE127" i="12"/>
  <c r="AC128" i="12"/>
  <c r="AE128" i="12"/>
  <c r="AC129" i="12"/>
  <c r="AE144" i="12"/>
  <c r="AF144" i="12"/>
  <c r="B143" i="12"/>
  <c r="D143" i="12"/>
  <c r="E143" i="12"/>
  <c r="G143" i="12"/>
  <c r="H143" i="12"/>
  <c r="J143" i="12"/>
  <c r="K143" i="12"/>
  <c r="M143" i="12"/>
  <c r="N143" i="12"/>
  <c r="P143" i="12"/>
  <c r="Q143" i="12"/>
  <c r="S143" i="12"/>
  <c r="T143" i="12"/>
  <c r="V143" i="12"/>
  <c r="W143" i="12"/>
  <c r="Y143" i="12"/>
  <c r="Z143" i="12"/>
  <c r="AB143" i="12"/>
  <c r="AC143" i="12"/>
  <c r="AE143" i="12"/>
  <c r="AF143" i="12"/>
  <c r="B141" i="12"/>
  <c r="B122" i="12"/>
  <c r="D122" i="12"/>
  <c r="C122" i="12"/>
  <c r="D141" i="12"/>
  <c r="E141" i="12"/>
  <c r="G141" i="12"/>
  <c r="H141" i="12"/>
  <c r="H122" i="12"/>
  <c r="J122" i="12"/>
  <c r="I122" i="12"/>
  <c r="J141" i="12"/>
  <c r="K141" i="12"/>
  <c r="M141" i="12"/>
  <c r="N141" i="12"/>
  <c r="P141" i="12"/>
  <c r="Q141" i="12"/>
  <c r="Q122" i="12"/>
  <c r="S122" i="12"/>
  <c r="R122" i="12"/>
  <c r="S141" i="12"/>
  <c r="T141" i="12"/>
  <c r="V141" i="12"/>
  <c r="W141" i="12"/>
  <c r="W122" i="12"/>
  <c r="Y122" i="12"/>
  <c r="X122" i="12"/>
  <c r="Y141" i="12"/>
  <c r="Z141" i="12"/>
  <c r="AB141" i="12"/>
  <c r="AC141" i="12"/>
  <c r="AE141" i="12"/>
  <c r="AF141" i="12"/>
  <c r="B140" i="12"/>
  <c r="D140" i="12"/>
  <c r="E140" i="12"/>
  <c r="E122" i="12"/>
  <c r="G122" i="12"/>
  <c r="F122" i="12"/>
  <c r="G140" i="12"/>
  <c r="H140" i="12"/>
  <c r="J140" i="12"/>
  <c r="K140" i="12"/>
  <c r="K122" i="12"/>
  <c r="M122" i="12"/>
  <c r="L122" i="12"/>
  <c r="M140" i="12"/>
  <c r="N140" i="12"/>
  <c r="P140" i="12"/>
  <c r="Q140" i="12"/>
  <c r="S140" i="12"/>
  <c r="T140" i="12"/>
  <c r="V140" i="12"/>
  <c r="W140" i="12"/>
  <c r="Y140" i="12"/>
  <c r="Z140" i="12"/>
  <c r="Z122" i="12"/>
  <c r="AB122" i="12"/>
  <c r="AA122" i="12"/>
  <c r="AB140" i="12"/>
  <c r="AC140" i="12"/>
  <c r="AE140" i="12"/>
  <c r="AF140" i="12"/>
  <c r="B139" i="12"/>
  <c r="D139" i="12"/>
  <c r="E139" i="12"/>
  <c r="G139" i="12"/>
  <c r="H139" i="12"/>
  <c r="J139" i="12"/>
  <c r="K139" i="12"/>
  <c r="M139" i="12"/>
  <c r="N139" i="12"/>
  <c r="N122" i="12"/>
  <c r="P122" i="12"/>
  <c r="O122" i="12"/>
  <c r="P139" i="12"/>
  <c r="Q139" i="12"/>
  <c r="S139" i="12"/>
  <c r="T139" i="12"/>
  <c r="T122" i="12"/>
  <c r="V122" i="12"/>
  <c r="U122" i="12"/>
  <c r="V139" i="12"/>
  <c r="W139" i="12"/>
  <c r="Y139" i="12"/>
  <c r="Z139" i="12"/>
  <c r="AB139" i="12"/>
  <c r="AC139" i="12"/>
  <c r="AE139" i="12"/>
  <c r="AF139" i="12"/>
  <c r="B138" i="12"/>
  <c r="D138" i="12"/>
  <c r="E138" i="12"/>
  <c r="G138" i="12"/>
  <c r="H138" i="12"/>
  <c r="J138" i="12"/>
  <c r="K138" i="12"/>
  <c r="M138" i="12"/>
  <c r="N138" i="12"/>
  <c r="P138" i="12"/>
  <c r="Q138" i="12"/>
  <c r="S138" i="12"/>
  <c r="T138" i="12"/>
  <c r="V138" i="12"/>
  <c r="W138" i="12"/>
  <c r="Y138" i="12"/>
  <c r="Z138" i="12"/>
  <c r="AB138" i="12"/>
  <c r="AC138" i="12"/>
  <c r="AC122" i="12"/>
  <c r="AE122" i="12"/>
  <c r="AD122" i="12"/>
  <c r="AE138" i="12"/>
  <c r="AF138" i="12"/>
  <c r="B137" i="12"/>
  <c r="D137" i="12"/>
  <c r="E137" i="12"/>
  <c r="G137" i="12"/>
  <c r="H137" i="12"/>
  <c r="J137" i="12"/>
  <c r="K137" i="12"/>
  <c r="M137" i="12"/>
  <c r="N137" i="12"/>
  <c r="P137" i="12"/>
  <c r="Q137" i="12"/>
  <c r="S137" i="12"/>
  <c r="T137" i="12"/>
  <c r="V137" i="12"/>
  <c r="W137" i="12"/>
  <c r="Y137" i="12"/>
  <c r="Z137" i="12"/>
  <c r="AB137" i="12"/>
  <c r="AC137" i="12"/>
  <c r="AE137" i="12"/>
  <c r="AF137" i="12"/>
  <c r="B135" i="12"/>
  <c r="D135" i="12"/>
  <c r="E135" i="12"/>
  <c r="G135" i="12"/>
  <c r="H135" i="12"/>
  <c r="J135" i="12"/>
  <c r="K135" i="12"/>
  <c r="M135" i="12"/>
  <c r="N135" i="12"/>
  <c r="P135" i="12"/>
  <c r="Q135" i="12"/>
  <c r="S135" i="12"/>
  <c r="T135" i="12"/>
  <c r="V135" i="12"/>
  <c r="W135" i="12"/>
  <c r="Y135" i="12"/>
  <c r="Z135" i="12"/>
  <c r="AB135" i="12"/>
  <c r="AC135" i="12"/>
  <c r="AE135" i="12"/>
  <c r="AF135" i="12"/>
  <c r="AG135" i="12"/>
  <c r="B134" i="12"/>
  <c r="D134" i="12"/>
  <c r="E134" i="12"/>
  <c r="G134" i="12"/>
  <c r="H134" i="12"/>
  <c r="J134" i="12"/>
  <c r="K134" i="12"/>
  <c r="M134" i="12"/>
  <c r="N134" i="12"/>
  <c r="P134" i="12"/>
  <c r="Q134" i="12"/>
  <c r="S134" i="12"/>
  <c r="T134" i="12"/>
  <c r="V134" i="12"/>
  <c r="W134" i="12"/>
  <c r="Y134" i="12"/>
  <c r="Z134" i="12"/>
  <c r="AB134" i="12"/>
  <c r="AC134" i="12"/>
  <c r="AE134" i="12"/>
  <c r="AF134" i="12"/>
  <c r="AG134" i="12"/>
  <c r="B133" i="12"/>
  <c r="D133" i="12"/>
  <c r="E133" i="12"/>
  <c r="G133" i="12"/>
  <c r="H133" i="12"/>
  <c r="J133" i="12"/>
  <c r="K133" i="12"/>
  <c r="M133" i="12"/>
  <c r="N133" i="12"/>
  <c r="P133" i="12"/>
  <c r="Q133" i="12"/>
  <c r="S133" i="12"/>
  <c r="T133" i="12"/>
  <c r="V133" i="12"/>
  <c r="W133" i="12"/>
  <c r="Y133" i="12"/>
  <c r="Z133" i="12"/>
  <c r="AB133" i="12"/>
  <c r="AC133" i="12"/>
  <c r="AE133" i="12"/>
  <c r="AF133" i="12"/>
  <c r="AG133" i="12"/>
  <c r="B132" i="12"/>
  <c r="D132" i="12"/>
  <c r="E132" i="12"/>
  <c r="G132" i="12"/>
  <c r="H132" i="12"/>
  <c r="J132" i="12"/>
  <c r="K132" i="12"/>
  <c r="M132" i="12"/>
  <c r="N132" i="12"/>
  <c r="P132" i="12"/>
  <c r="Q132" i="12"/>
  <c r="S132" i="12"/>
  <c r="T132" i="12"/>
  <c r="V132" i="12"/>
  <c r="W132" i="12"/>
  <c r="Y132" i="12"/>
  <c r="Z132" i="12"/>
  <c r="AB132" i="12"/>
  <c r="AC132" i="12"/>
  <c r="AE132" i="12"/>
  <c r="AF132" i="12"/>
  <c r="AG132" i="12"/>
  <c r="B131" i="12"/>
  <c r="D131" i="12"/>
  <c r="E131" i="12"/>
  <c r="G131" i="12"/>
  <c r="H131" i="12"/>
  <c r="J131" i="12"/>
  <c r="K131" i="12"/>
  <c r="M131" i="12"/>
  <c r="N131" i="12"/>
  <c r="P131" i="12"/>
  <c r="Q131" i="12"/>
  <c r="S131" i="12"/>
  <c r="T131" i="12"/>
  <c r="V131" i="12"/>
  <c r="W131" i="12"/>
  <c r="Y131" i="12"/>
  <c r="Z131" i="12"/>
  <c r="AB131" i="12"/>
  <c r="AC131" i="12"/>
  <c r="AE131" i="12"/>
  <c r="AF131" i="12"/>
  <c r="AG131" i="12"/>
  <c r="AE115" i="12"/>
  <c r="AC115" i="12"/>
  <c r="AB115" i="12"/>
  <c r="Z115" i="12"/>
  <c r="Y115" i="12"/>
  <c r="W115" i="12"/>
  <c r="V115" i="12"/>
  <c r="T115" i="12"/>
  <c r="S115" i="12"/>
  <c r="Q115" i="12"/>
  <c r="P115" i="12"/>
  <c r="N115" i="12"/>
  <c r="M115" i="12"/>
  <c r="K115" i="12"/>
  <c r="J115" i="12"/>
  <c r="H115" i="12"/>
  <c r="G115" i="12"/>
  <c r="E115" i="12"/>
  <c r="D115" i="12"/>
  <c r="B115" i="12"/>
  <c r="AD114" i="12"/>
  <c r="AA114" i="12"/>
  <c r="X114" i="12"/>
  <c r="U114" i="12"/>
  <c r="R114" i="12"/>
  <c r="O114" i="12"/>
  <c r="L114" i="12"/>
  <c r="I114" i="12"/>
  <c r="F114" i="12"/>
  <c r="A114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F113" i="12"/>
  <c r="AD113" i="12"/>
  <c r="AA113" i="12"/>
  <c r="X113" i="12"/>
  <c r="U113" i="12"/>
  <c r="R113" i="12"/>
  <c r="O113" i="12"/>
  <c r="L113" i="12"/>
  <c r="I113" i="12"/>
  <c r="F113" i="12"/>
  <c r="A113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F112" i="12"/>
  <c r="AD112" i="12"/>
  <c r="AA112" i="12"/>
  <c r="X112" i="12"/>
  <c r="U112" i="12"/>
  <c r="R112" i="12"/>
  <c r="O112" i="12"/>
  <c r="L112" i="12"/>
  <c r="I112" i="12"/>
  <c r="F112" i="12"/>
  <c r="A112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F111" i="12"/>
  <c r="AD111" i="12"/>
  <c r="AA111" i="12"/>
  <c r="X111" i="12"/>
  <c r="U111" i="12"/>
  <c r="R111" i="12"/>
  <c r="O111" i="12"/>
  <c r="L111" i="12"/>
  <c r="I111" i="12"/>
  <c r="F111" i="12"/>
  <c r="A111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F110" i="12"/>
  <c r="AD110" i="12"/>
  <c r="AA110" i="12"/>
  <c r="X110" i="12"/>
  <c r="U110" i="12"/>
  <c r="R110" i="12"/>
  <c r="O110" i="12"/>
  <c r="L110" i="12"/>
  <c r="I110" i="12"/>
  <c r="F110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F109" i="12"/>
  <c r="AD109" i="12"/>
  <c r="AA109" i="12"/>
  <c r="X109" i="12"/>
  <c r="U109" i="12"/>
  <c r="R109" i="12"/>
  <c r="O109" i="12"/>
  <c r="L109" i="12"/>
  <c r="I109" i="12"/>
  <c r="F109" i="12"/>
  <c r="AC107" i="12"/>
  <c r="Z107" i="12"/>
  <c r="W107" i="12"/>
  <c r="T107" i="12"/>
  <c r="Q107" i="12"/>
  <c r="N107" i="12"/>
  <c r="K107" i="12"/>
  <c r="H107" i="12"/>
  <c r="E107" i="12"/>
  <c r="AC101" i="12"/>
  <c r="Z101" i="12"/>
  <c r="W101" i="12"/>
  <c r="R101" i="12"/>
  <c r="L101" i="12"/>
  <c r="A101" i="12"/>
  <c r="AC99" i="12"/>
  <c r="Z99" i="12"/>
  <c r="W99" i="12"/>
  <c r="R99" i="12"/>
  <c r="L99" i="12"/>
  <c r="A99" i="12"/>
  <c r="AC97" i="12"/>
  <c r="Z97" i="12"/>
  <c r="W97" i="12"/>
  <c r="R97" i="12"/>
  <c r="L97" i="12"/>
  <c r="A97" i="12"/>
  <c r="E96" i="12"/>
  <c r="AC95" i="12"/>
  <c r="Z95" i="12"/>
  <c r="W95" i="12"/>
  <c r="R95" i="12"/>
  <c r="L95" i="12"/>
  <c r="A95" i="12"/>
  <c r="AC93" i="12"/>
  <c r="Z93" i="12"/>
  <c r="W93" i="12"/>
  <c r="R93" i="12"/>
  <c r="L93" i="12"/>
  <c r="A93" i="12"/>
  <c r="R92" i="12"/>
  <c r="L92" i="12"/>
  <c r="K91" i="12"/>
  <c r="A89" i="12"/>
  <c r="AF76" i="12"/>
  <c r="S75" i="12"/>
  <c r="AF75" i="12"/>
  <c r="J74" i="12"/>
  <c r="AB74" i="12"/>
  <c r="AF74" i="12"/>
  <c r="D73" i="12"/>
  <c r="M73" i="12"/>
  <c r="V73" i="12"/>
  <c r="AF73" i="12"/>
  <c r="G72" i="12"/>
  <c r="P72" i="12"/>
  <c r="Y72" i="12"/>
  <c r="AE72" i="12"/>
  <c r="AF72" i="12"/>
  <c r="AF68" i="12"/>
  <c r="AG68" i="12"/>
  <c r="AF67" i="12"/>
  <c r="AG67" i="12"/>
  <c r="AF66" i="12"/>
  <c r="AG66" i="12"/>
  <c r="AF65" i="12"/>
  <c r="AG65" i="12"/>
  <c r="AF64" i="12"/>
  <c r="AG64" i="12"/>
  <c r="B62" i="12"/>
  <c r="B39" i="12"/>
  <c r="D39" i="12"/>
  <c r="B40" i="12"/>
  <c r="D40" i="12"/>
  <c r="B41" i="12"/>
  <c r="D41" i="12"/>
  <c r="B42" i="12"/>
  <c r="D42" i="12"/>
  <c r="B43" i="12"/>
  <c r="D43" i="12"/>
  <c r="B44" i="12"/>
  <c r="D62" i="12"/>
  <c r="E62" i="12"/>
  <c r="G62" i="12"/>
  <c r="H62" i="12"/>
  <c r="H39" i="12"/>
  <c r="J39" i="12"/>
  <c r="H40" i="12"/>
  <c r="J40" i="12"/>
  <c r="H41" i="12"/>
  <c r="J41" i="12"/>
  <c r="H42" i="12"/>
  <c r="J42" i="12"/>
  <c r="H43" i="12"/>
  <c r="J43" i="12"/>
  <c r="H44" i="12"/>
  <c r="J62" i="12"/>
  <c r="K62" i="12"/>
  <c r="M62" i="12"/>
  <c r="N62" i="12"/>
  <c r="P62" i="12"/>
  <c r="Q62" i="12"/>
  <c r="Q39" i="12"/>
  <c r="S39" i="12"/>
  <c r="Q40" i="12"/>
  <c r="S40" i="12"/>
  <c r="Q41" i="12"/>
  <c r="S41" i="12"/>
  <c r="Q42" i="12"/>
  <c r="S42" i="12"/>
  <c r="Q43" i="12"/>
  <c r="S43" i="12"/>
  <c r="Q44" i="12"/>
  <c r="S62" i="12"/>
  <c r="T62" i="12"/>
  <c r="V62" i="12"/>
  <c r="W62" i="12"/>
  <c r="W39" i="12"/>
  <c r="Y39" i="12"/>
  <c r="W40" i="12"/>
  <c r="Y40" i="12"/>
  <c r="W41" i="12"/>
  <c r="Y41" i="12"/>
  <c r="W42" i="12"/>
  <c r="Y42" i="12"/>
  <c r="W43" i="12"/>
  <c r="Y43" i="12"/>
  <c r="W44" i="12"/>
  <c r="Y62" i="12"/>
  <c r="Z62" i="12"/>
  <c r="AB62" i="12"/>
  <c r="AC62" i="12"/>
  <c r="AE62" i="12"/>
  <c r="AF62" i="12"/>
  <c r="B61" i="12"/>
  <c r="D61" i="12"/>
  <c r="E61" i="12"/>
  <c r="E39" i="12"/>
  <c r="G39" i="12"/>
  <c r="E40" i="12"/>
  <c r="G40" i="12"/>
  <c r="E41" i="12"/>
  <c r="G41" i="12"/>
  <c r="E42" i="12"/>
  <c r="G42" i="12"/>
  <c r="E43" i="12"/>
  <c r="G43" i="12"/>
  <c r="E44" i="12"/>
  <c r="G61" i="12"/>
  <c r="H61" i="12"/>
  <c r="J61" i="12"/>
  <c r="K61" i="12"/>
  <c r="K39" i="12"/>
  <c r="M39" i="12"/>
  <c r="K40" i="12"/>
  <c r="M40" i="12"/>
  <c r="K41" i="12"/>
  <c r="M41" i="12"/>
  <c r="K42" i="12"/>
  <c r="M42" i="12"/>
  <c r="K43" i="12"/>
  <c r="M43" i="12"/>
  <c r="K44" i="12"/>
  <c r="M61" i="12"/>
  <c r="N61" i="12"/>
  <c r="P61" i="12"/>
  <c r="Q61" i="12"/>
  <c r="S61" i="12"/>
  <c r="T61" i="12"/>
  <c r="V61" i="12"/>
  <c r="W61" i="12"/>
  <c r="Y61" i="12"/>
  <c r="Z61" i="12"/>
  <c r="Z39" i="12"/>
  <c r="AB39" i="12"/>
  <c r="Z40" i="12"/>
  <c r="AB40" i="12"/>
  <c r="Z41" i="12"/>
  <c r="AB41" i="12"/>
  <c r="Z42" i="12"/>
  <c r="AB42" i="12"/>
  <c r="Z43" i="12"/>
  <c r="AB43" i="12"/>
  <c r="Z44" i="12"/>
  <c r="AB61" i="12"/>
  <c r="AC61" i="12"/>
  <c r="AE61" i="12"/>
  <c r="AF61" i="12"/>
  <c r="B60" i="12"/>
  <c r="D60" i="12"/>
  <c r="E60" i="12"/>
  <c r="G60" i="12"/>
  <c r="H60" i="12"/>
  <c r="J60" i="12"/>
  <c r="K60" i="12"/>
  <c r="M60" i="12"/>
  <c r="N60" i="12"/>
  <c r="N39" i="12"/>
  <c r="P39" i="12"/>
  <c r="N40" i="12"/>
  <c r="P40" i="12"/>
  <c r="N41" i="12"/>
  <c r="P41" i="12"/>
  <c r="N42" i="12"/>
  <c r="P42" i="12"/>
  <c r="N43" i="12"/>
  <c r="P43" i="12"/>
  <c r="N44" i="12"/>
  <c r="P60" i="12"/>
  <c r="Q60" i="12"/>
  <c r="S60" i="12"/>
  <c r="T60" i="12"/>
  <c r="T39" i="12"/>
  <c r="V39" i="12"/>
  <c r="T40" i="12"/>
  <c r="V40" i="12"/>
  <c r="T41" i="12"/>
  <c r="V41" i="12"/>
  <c r="T42" i="12"/>
  <c r="V42" i="12"/>
  <c r="T43" i="12"/>
  <c r="V43" i="12"/>
  <c r="T44" i="12"/>
  <c r="V60" i="12"/>
  <c r="W60" i="12"/>
  <c r="Y60" i="12"/>
  <c r="Z60" i="12"/>
  <c r="AB60" i="12"/>
  <c r="AC60" i="12"/>
  <c r="AE60" i="12"/>
  <c r="AF60" i="12"/>
  <c r="B59" i="12"/>
  <c r="D59" i="12"/>
  <c r="E59" i="12"/>
  <c r="G59" i="12"/>
  <c r="H59" i="12"/>
  <c r="J59" i="12"/>
  <c r="K59" i="12"/>
  <c r="M59" i="12"/>
  <c r="N59" i="12"/>
  <c r="P59" i="12"/>
  <c r="Q59" i="12"/>
  <c r="S59" i="12"/>
  <c r="T59" i="12"/>
  <c r="V59" i="12"/>
  <c r="W59" i="12"/>
  <c r="Y59" i="12"/>
  <c r="Z59" i="12"/>
  <c r="AB59" i="12"/>
  <c r="AC59" i="12"/>
  <c r="AC39" i="12"/>
  <c r="AE39" i="12"/>
  <c r="AC40" i="12"/>
  <c r="AE40" i="12"/>
  <c r="AC41" i="12"/>
  <c r="AE41" i="12"/>
  <c r="AC42" i="12"/>
  <c r="AE42" i="12"/>
  <c r="AC43" i="12"/>
  <c r="AE43" i="12"/>
  <c r="AC44" i="12"/>
  <c r="AE59" i="12"/>
  <c r="AF59" i="12"/>
  <c r="B58" i="12"/>
  <c r="D58" i="12"/>
  <c r="E58" i="12"/>
  <c r="G58" i="12"/>
  <c r="H58" i="12"/>
  <c r="J58" i="12"/>
  <c r="K58" i="12"/>
  <c r="M58" i="12"/>
  <c r="N58" i="12"/>
  <c r="P58" i="12"/>
  <c r="Q58" i="12"/>
  <c r="S58" i="12"/>
  <c r="T58" i="12"/>
  <c r="V58" i="12"/>
  <c r="W58" i="12"/>
  <c r="Y58" i="12"/>
  <c r="Z58" i="12"/>
  <c r="AB58" i="12"/>
  <c r="AC58" i="12"/>
  <c r="AE58" i="12"/>
  <c r="AF58" i="12"/>
  <c r="B56" i="12"/>
  <c r="B37" i="12"/>
  <c r="D37" i="12"/>
  <c r="C37" i="12"/>
  <c r="D56" i="12"/>
  <c r="E56" i="12"/>
  <c r="G56" i="12"/>
  <c r="H56" i="12"/>
  <c r="H37" i="12"/>
  <c r="J37" i="12"/>
  <c r="I37" i="12"/>
  <c r="J56" i="12"/>
  <c r="K56" i="12"/>
  <c r="M56" i="12"/>
  <c r="N56" i="12"/>
  <c r="P56" i="12"/>
  <c r="Q56" i="12"/>
  <c r="Q37" i="12"/>
  <c r="S37" i="12"/>
  <c r="R37" i="12"/>
  <c r="S56" i="12"/>
  <c r="T56" i="12"/>
  <c r="V56" i="12"/>
  <c r="W56" i="12"/>
  <c r="W37" i="12"/>
  <c r="Y37" i="12"/>
  <c r="X37" i="12"/>
  <c r="Y56" i="12"/>
  <c r="Z56" i="12"/>
  <c r="AB56" i="12"/>
  <c r="AC56" i="12"/>
  <c r="AE56" i="12"/>
  <c r="AF56" i="12"/>
  <c r="B55" i="12"/>
  <c r="D55" i="12"/>
  <c r="E55" i="12"/>
  <c r="E37" i="12"/>
  <c r="G37" i="12"/>
  <c r="F37" i="12"/>
  <c r="G55" i="12"/>
  <c r="H55" i="12"/>
  <c r="J55" i="12"/>
  <c r="K55" i="12"/>
  <c r="K37" i="12"/>
  <c r="M37" i="12"/>
  <c r="L37" i="12"/>
  <c r="M55" i="12"/>
  <c r="N55" i="12"/>
  <c r="P55" i="12"/>
  <c r="Q55" i="12"/>
  <c r="S55" i="12"/>
  <c r="T55" i="12"/>
  <c r="V55" i="12"/>
  <c r="W55" i="12"/>
  <c r="Y55" i="12"/>
  <c r="Z55" i="12"/>
  <c r="Z37" i="12"/>
  <c r="AB37" i="12"/>
  <c r="AA37" i="12"/>
  <c r="AB55" i="12"/>
  <c r="AC55" i="12"/>
  <c r="AE55" i="12"/>
  <c r="AF55" i="12"/>
  <c r="B54" i="12"/>
  <c r="D54" i="12"/>
  <c r="E54" i="12"/>
  <c r="G54" i="12"/>
  <c r="H54" i="12"/>
  <c r="J54" i="12"/>
  <c r="K54" i="12"/>
  <c r="M54" i="12"/>
  <c r="N54" i="12"/>
  <c r="N37" i="12"/>
  <c r="P37" i="12"/>
  <c r="O37" i="12"/>
  <c r="P54" i="12"/>
  <c r="Q54" i="12"/>
  <c r="S54" i="12"/>
  <c r="T54" i="12"/>
  <c r="T37" i="12"/>
  <c r="V37" i="12"/>
  <c r="U37" i="12"/>
  <c r="V54" i="12"/>
  <c r="W54" i="12"/>
  <c r="Y54" i="12"/>
  <c r="Z54" i="12"/>
  <c r="AB54" i="12"/>
  <c r="AC54" i="12"/>
  <c r="AE54" i="12"/>
  <c r="AF54" i="12"/>
  <c r="B53" i="12"/>
  <c r="D53" i="12"/>
  <c r="E53" i="12"/>
  <c r="G53" i="12"/>
  <c r="H53" i="12"/>
  <c r="J53" i="12"/>
  <c r="K53" i="12"/>
  <c r="M53" i="12"/>
  <c r="N53" i="12"/>
  <c r="P53" i="12"/>
  <c r="Q53" i="12"/>
  <c r="S53" i="12"/>
  <c r="T53" i="12"/>
  <c r="V53" i="12"/>
  <c r="W53" i="12"/>
  <c r="Y53" i="12"/>
  <c r="Z53" i="12"/>
  <c r="AB53" i="12"/>
  <c r="AC53" i="12"/>
  <c r="AC37" i="12"/>
  <c r="AE37" i="12"/>
  <c r="AD37" i="12"/>
  <c r="AE53" i="12"/>
  <c r="AF53" i="12"/>
  <c r="B52" i="12"/>
  <c r="D52" i="12"/>
  <c r="E52" i="12"/>
  <c r="G52" i="12"/>
  <c r="H52" i="12"/>
  <c r="J52" i="12"/>
  <c r="K52" i="12"/>
  <c r="M52" i="12"/>
  <c r="N52" i="12"/>
  <c r="P52" i="12"/>
  <c r="Q52" i="12"/>
  <c r="S52" i="12"/>
  <c r="T52" i="12"/>
  <c r="V52" i="12"/>
  <c r="W52" i="12"/>
  <c r="Y52" i="12"/>
  <c r="Z52" i="12"/>
  <c r="AB52" i="12"/>
  <c r="AC52" i="12"/>
  <c r="AE52" i="12"/>
  <c r="AF52" i="12"/>
  <c r="B50" i="12"/>
  <c r="D50" i="12"/>
  <c r="E50" i="12"/>
  <c r="G50" i="12"/>
  <c r="H50" i="12"/>
  <c r="J50" i="12"/>
  <c r="K50" i="12"/>
  <c r="M50" i="12"/>
  <c r="N50" i="12"/>
  <c r="P50" i="12"/>
  <c r="Q50" i="12"/>
  <c r="S50" i="12"/>
  <c r="T50" i="12"/>
  <c r="V50" i="12"/>
  <c r="W50" i="12"/>
  <c r="Y50" i="12"/>
  <c r="Z50" i="12"/>
  <c r="AB50" i="12"/>
  <c r="AC50" i="12"/>
  <c r="AE50" i="12"/>
  <c r="AF50" i="12"/>
  <c r="AG50" i="12"/>
  <c r="B49" i="12"/>
  <c r="D49" i="12"/>
  <c r="E49" i="12"/>
  <c r="G49" i="12"/>
  <c r="H49" i="12"/>
  <c r="J49" i="12"/>
  <c r="K49" i="12"/>
  <c r="M49" i="12"/>
  <c r="N49" i="12"/>
  <c r="P49" i="12"/>
  <c r="Q49" i="12"/>
  <c r="S49" i="12"/>
  <c r="T49" i="12"/>
  <c r="V49" i="12"/>
  <c r="W49" i="12"/>
  <c r="Y49" i="12"/>
  <c r="Z49" i="12"/>
  <c r="AB49" i="12"/>
  <c r="AC49" i="12"/>
  <c r="AE49" i="12"/>
  <c r="AF49" i="12"/>
  <c r="AG49" i="12"/>
  <c r="B48" i="12"/>
  <c r="D48" i="12"/>
  <c r="E48" i="12"/>
  <c r="G48" i="12"/>
  <c r="H48" i="12"/>
  <c r="J48" i="12"/>
  <c r="K48" i="12"/>
  <c r="M48" i="12"/>
  <c r="N48" i="12"/>
  <c r="P48" i="12"/>
  <c r="Q48" i="12"/>
  <c r="S48" i="12"/>
  <c r="T48" i="12"/>
  <c r="V48" i="12"/>
  <c r="W48" i="12"/>
  <c r="Y48" i="12"/>
  <c r="Z48" i="12"/>
  <c r="AB48" i="12"/>
  <c r="AC48" i="12"/>
  <c r="AE48" i="12"/>
  <c r="AF48" i="12"/>
  <c r="AG48" i="12"/>
  <c r="B47" i="12"/>
  <c r="D47" i="12"/>
  <c r="E47" i="12"/>
  <c r="G47" i="12"/>
  <c r="H47" i="12"/>
  <c r="J47" i="12"/>
  <c r="K47" i="12"/>
  <c r="M47" i="12"/>
  <c r="N47" i="12"/>
  <c r="P47" i="12"/>
  <c r="Q47" i="12"/>
  <c r="S47" i="12"/>
  <c r="T47" i="12"/>
  <c r="V47" i="12"/>
  <c r="W47" i="12"/>
  <c r="Y47" i="12"/>
  <c r="Z47" i="12"/>
  <c r="AB47" i="12"/>
  <c r="AC47" i="12"/>
  <c r="AE47" i="12"/>
  <c r="AF47" i="12"/>
  <c r="AG47" i="12"/>
  <c r="B46" i="12"/>
  <c r="D46" i="12"/>
  <c r="E46" i="12"/>
  <c r="G46" i="12"/>
  <c r="H46" i="12"/>
  <c r="J46" i="12"/>
  <c r="K46" i="12"/>
  <c r="M46" i="12"/>
  <c r="N46" i="12"/>
  <c r="P46" i="12"/>
  <c r="Q46" i="12"/>
  <c r="S46" i="12"/>
  <c r="T46" i="12"/>
  <c r="V46" i="12"/>
  <c r="W46" i="12"/>
  <c r="Y46" i="12"/>
  <c r="Z46" i="12"/>
  <c r="AB46" i="12"/>
  <c r="AC46" i="12"/>
  <c r="AE46" i="12"/>
  <c r="AF46" i="12"/>
  <c r="AG46" i="12"/>
  <c r="AE30" i="12"/>
  <c r="AC30" i="12"/>
  <c r="AB30" i="12"/>
  <c r="Z30" i="12"/>
  <c r="Y30" i="12"/>
  <c r="W30" i="12"/>
  <c r="V30" i="12"/>
  <c r="T30" i="12"/>
  <c r="S30" i="12"/>
  <c r="Q30" i="12"/>
  <c r="P30" i="12"/>
  <c r="N30" i="12"/>
  <c r="M30" i="12"/>
  <c r="K30" i="12"/>
  <c r="J30" i="12"/>
  <c r="H30" i="12"/>
  <c r="G30" i="12"/>
  <c r="E30" i="12"/>
  <c r="D30" i="12"/>
  <c r="B30" i="12"/>
  <c r="AD29" i="12"/>
  <c r="AA29" i="12"/>
  <c r="X29" i="12"/>
  <c r="U29" i="12"/>
  <c r="R29" i="12"/>
  <c r="O29" i="12"/>
  <c r="L29" i="12"/>
  <c r="I29" i="12"/>
  <c r="F29" i="12"/>
  <c r="A29" i="12"/>
  <c r="AG28" i="12"/>
  <c r="AH28" i="12"/>
  <c r="AI28" i="12"/>
  <c r="AJ28" i="12"/>
  <c r="AK28" i="12"/>
  <c r="AL28" i="12"/>
  <c r="AM28" i="12"/>
  <c r="AN28" i="12"/>
  <c r="AO28" i="12"/>
  <c r="AP28" i="12"/>
  <c r="AQ28" i="12"/>
  <c r="AF28" i="12"/>
  <c r="AD28" i="12"/>
  <c r="AA28" i="12"/>
  <c r="X28" i="12"/>
  <c r="U28" i="12"/>
  <c r="R28" i="12"/>
  <c r="O28" i="12"/>
  <c r="L28" i="12"/>
  <c r="I28" i="12"/>
  <c r="F28" i="12"/>
  <c r="A28" i="12"/>
  <c r="AG27" i="12"/>
  <c r="AH27" i="12"/>
  <c r="AI27" i="12"/>
  <c r="AJ27" i="12"/>
  <c r="AK27" i="12"/>
  <c r="AL27" i="12"/>
  <c r="AM27" i="12"/>
  <c r="AN27" i="12"/>
  <c r="AO27" i="12"/>
  <c r="AP27" i="12"/>
  <c r="AQ27" i="12"/>
  <c r="AF27" i="12"/>
  <c r="AD27" i="12"/>
  <c r="AA27" i="12"/>
  <c r="X27" i="12"/>
  <c r="U27" i="12"/>
  <c r="R27" i="12"/>
  <c r="O27" i="12"/>
  <c r="L27" i="12"/>
  <c r="I27" i="12"/>
  <c r="F27" i="12"/>
  <c r="A27" i="12"/>
  <c r="AG26" i="12"/>
  <c r="AH26" i="12"/>
  <c r="AI26" i="12"/>
  <c r="AJ26" i="12"/>
  <c r="AK26" i="12"/>
  <c r="AL26" i="12"/>
  <c r="AM26" i="12"/>
  <c r="AN26" i="12"/>
  <c r="AO26" i="12"/>
  <c r="AP26" i="12"/>
  <c r="AQ26" i="12"/>
  <c r="AF26" i="12"/>
  <c r="AD26" i="12"/>
  <c r="AA26" i="12"/>
  <c r="X26" i="12"/>
  <c r="U26" i="12"/>
  <c r="R26" i="12"/>
  <c r="O26" i="12"/>
  <c r="L26" i="12"/>
  <c r="I26" i="12"/>
  <c r="F26" i="12"/>
  <c r="A26" i="12"/>
  <c r="AG25" i="12"/>
  <c r="AH25" i="12"/>
  <c r="AI25" i="12"/>
  <c r="AJ25" i="12"/>
  <c r="AK25" i="12"/>
  <c r="AL25" i="12"/>
  <c r="AM25" i="12"/>
  <c r="AN25" i="12"/>
  <c r="AO25" i="12"/>
  <c r="AP25" i="12"/>
  <c r="AQ25" i="12"/>
  <c r="AF25" i="12"/>
  <c r="AD25" i="12"/>
  <c r="AA25" i="12"/>
  <c r="X25" i="12"/>
  <c r="U25" i="12"/>
  <c r="R25" i="12"/>
  <c r="O25" i="12"/>
  <c r="L25" i="12"/>
  <c r="I25" i="12"/>
  <c r="F25" i="12"/>
  <c r="AG24" i="12"/>
  <c r="AH24" i="12"/>
  <c r="AI24" i="12"/>
  <c r="AJ24" i="12"/>
  <c r="AK24" i="12"/>
  <c r="AL24" i="12"/>
  <c r="AM24" i="12"/>
  <c r="AN24" i="12"/>
  <c r="AO24" i="12"/>
  <c r="AP24" i="12"/>
  <c r="AQ24" i="12"/>
  <c r="AF24" i="12"/>
  <c r="AD24" i="12"/>
  <c r="AA24" i="12"/>
  <c r="X24" i="12"/>
  <c r="U24" i="12"/>
  <c r="R24" i="12"/>
  <c r="O24" i="12"/>
  <c r="L24" i="12"/>
  <c r="I24" i="12"/>
  <c r="F24" i="12"/>
  <c r="AC22" i="12"/>
  <c r="Z22" i="12"/>
  <c r="W22" i="12"/>
  <c r="T22" i="12"/>
  <c r="Q22" i="12"/>
  <c r="N22" i="12"/>
  <c r="K22" i="12"/>
  <c r="H22" i="12"/>
  <c r="E22" i="12"/>
  <c r="AC16" i="12"/>
  <c r="Z16" i="12"/>
  <c r="W16" i="12"/>
  <c r="R16" i="12"/>
  <c r="L16" i="12"/>
  <c r="A16" i="12"/>
  <c r="E15" i="12"/>
  <c r="AC14" i="12"/>
  <c r="Z14" i="12"/>
  <c r="W14" i="12"/>
  <c r="R14" i="12"/>
  <c r="L14" i="12"/>
  <c r="A14" i="12"/>
  <c r="AY12" i="12"/>
  <c r="AC12" i="12"/>
  <c r="Z12" i="12"/>
  <c r="W12" i="12"/>
  <c r="R12" i="12"/>
  <c r="L12" i="12"/>
  <c r="A12" i="12"/>
  <c r="AY11" i="12"/>
  <c r="AX10" i="12"/>
  <c r="AY10" i="12"/>
  <c r="AC10" i="12"/>
  <c r="Z10" i="12"/>
  <c r="W10" i="12"/>
  <c r="R10" i="12"/>
  <c r="L10" i="12"/>
  <c r="A10" i="12"/>
  <c r="AY9" i="12"/>
  <c r="AY8" i="12"/>
  <c r="AC8" i="12"/>
  <c r="Z8" i="12"/>
  <c r="W8" i="12"/>
  <c r="R8" i="12"/>
  <c r="L8" i="12"/>
  <c r="A8" i="12"/>
  <c r="AY7" i="12"/>
  <c r="R7" i="12"/>
  <c r="L7" i="12"/>
  <c r="AY6" i="12"/>
  <c r="K6" i="12"/>
  <c r="AX5" i="12"/>
  <c r="AY5" i="12"/>
  <c r="AY4" i="12"/>
  <c r="AY3" i="12"/>
  <c r="W219" i="11"/>
  <c r="W220" i="11"/>
  <c r="W221" i="11"/>
  <c r="W222" i="11"/>
  <c r="Y219" i="11"/>
  <c r="Y220" i="11"/>
  <c r="Y221" i="11"/>
  <c r="Y222" i="11"/>
  <c r="AC218" i="11"/>
  <c r="Z219" i="11"/>
  <c r="Z220" i="11"/>
  <c r="Z221" i="11"/>
  <c r="Z222" i="11"/>
  <c r="AB219" i="11"/>
  <c r="AB220" i="11"/>
  <c r="AB221" i="11"/>
  <c r="AB222" i="11"/>
  <c r="AE218" i="11"/>
  <c r="E97" i="11"/>
  <c r="AF180" i="11"/>
  <c r="X213" i="11"/>
  <c r="W230" i="11"/>
  <c r="E8" i="11"/>
  <c r="B79" i="11"/>
  <c r="AT79" i="11"/>
  <c r="E10" i="11"/>
  <c r="B80" i="11"/>
  <c r="AT80" i="11"/>
  <c r="E12" i="11"/>
  <c r="B81" i="11"/>
  <c r="AT81" i="11"/>
  <c r="E14" i="11"/>
  <c r="B82" i="11"/>
  <c r="AT82" i="11"/>
  <c r="AC31" i="11"/>
  <c r="AC32" i="11"/>
  <c r="AC33" i="11"/>
  <c r="AC34" i="11"/>
  <c r="AC35" i="11"/>
  <c r="AC64" i="11"/>
  <c r="AE64" i="11"/>
  <c r="AC65" i="11"/>
  <c r="AE31" i="11"/>
  <c r="AE32" i="11"/>
  <c r="AE33" i="11"/>
  <c r="AE34" i="11"/>
  <c r="AE35" i="11"/>
  <c r="AE65" i="11"/>
  <c r="AC66" i="11"/>
  <c r="AE66" i="11"/>
  <c r="AC67" i="11"/>
  <c r="AE67" i="11"/>
  <c r="AC68" i="11"/>
  <c r="AE68" i="11"/>
  <c r="AD71" i="11"/>
  <c r="AC72" i="11"/>
  <c r="Z72" i="11"/>
  <c r="AB72" i="11"/>
  <c r="W31" i="11"/>
  <c r="W32" i="11"/>
  <c r="W33" i="11"/>
  <c r="W34" i="11"/>
  <c r="W35" i="11"/>
  <c r="W64" i="11"/>
  <c r="Y64" i="11"/>
  <c r="W65" i="11"/>
  <c r="Y65" i="11"/>
  <c r="W66" i="11"/>
  <c r="Y66" i="11"/>
  <c r="W67" i="11"/>
  <c r="Y67" i="11"/>
  <c r="W68" i="11"/>
  <c r="Y31" i="11"/>
  <c r="Y32" i="11"/>
  <c r="Y33" i="11"/>
  <c r="Y34" i="11"/>
  <c r="Y35" i="11"/>
  <c r="Y68" i="11"/>
  <c r="X71" i="11"/>
  <c r="W72" i="11"/>
  <c r="T72" i="11"/>
  <c r="V72" i="11"/>
  <c r="Q72" i="11"/>
  <c r="S72" i="11"/>
  <c r="N31" i="11"/>
  <c r="N32" i="11"/>
  <c r="N33" i="11"/>
  <c r="N34" i="11"/>
  <c r="N35" i="11"/>
  <c r="N64" i="11"/>
  <c r="P64" i="11"/>
  <c r="N65" i="11"/>
  <c r="P65" i="11"/>
  <c r="N66" i="11"/>
  <c r="P31" i="11"/>
  <c r="P32" i="11"/>
  <c r="P33" i="11"/>
  <c r="P34" i="11"/>
  <c r="P35" i="11"/>
  <c r="P66" i="11"/>
  <c r="N67" i="11"/>
  <c r="P67" i="11"/>
  <c r="N68" i="11"/>
  <c r="P68" i="11"/>
  <c r="O71" i="11"/>
  <c r="N72" i="11"/>
  <c r="K72" i="11"/>
  <c r="M72" i="11"/>
  <c r="H72" i="11"/>
  <c r="J72" i="11"/>
  <c r="E31" i="11"/>
  <c r="E32" i="11"/>
  <c r="E33" i="11"/>
  <c r="E34" i="11"/>
  <c r="E35" i="11"/>
  <c r="E64" i="11"/>
  <c r="G64" i="11"/>
  <c r="E65" i="11"/>
  <c r="G65" i="11"/>
  <c r="E66" i="11"/>
  <c r="G66" i="11"/>
  <c r="E67" i="11"/>
  <c r="G31" i="11"/>
  <c r="G32" i="11"/>
  <c r="G33" i="11"/>
  <c r="G34" i="11"/>
  <c r="G35" i="11"/>
  <c r="G67" i="11"/>
  <c r="E68" i="11"/>
  <c r="G68" i="11"/>
  <c r="F71" i="11"/>
  <c r="E72" i="11"/>
  <c r="B72" i="11"/>
  <c r="D72" i="11"/>
  <c r="C79" i="11"/>
  <c r="D79" i="11"/>
  <c r="E85" i="11"/>
  <c r="E36" i="11"/>
  <c r="B75" i="11"/>
  <c r="D75" i="11"/>
  <c r="C82" i="11"/>
  <c r="D82" i="11"/>
  <c r="G85" i="11"/>
  <c r="G36" i="11"/>
  <c r="E86" i="11"/>
  <c r="E87" i="11"/>
  <c r="G79" i="11"/>
  <c r="J79" i="11"/>
  <c r="M79" i="11"/>
  <c r="N85" i="11"/>
  <c r="N36" i="11"/>
  <c r="K74" i="11"/>
  <c r="M74" i="11"/>
  <c r="H64" i="11"/>
  <c r="J64" i="11"/>
  <c r="H65" i="11"/>
  <c r="J65" i="11"/>
  <c r="H31" i="11"/>
  <c r="H32" i="11"/>
  <c r="H33" i="11"/>
  <c r="H34" i="11"/>
  <c r="H35" i="11"/>
  <c r="H66" i="11"/>
  <c r="J66" i="11"/>
  <c r="H67" i="11"/>
  <c r="J67" i="11"/>
  <c r="H68" i="11"/>
  <c r="J31" i="11"/>
  <c r="J32" i="11"/>
  <c r="J33" i="11"/>
  <c r="J34" i="11"/>
  <c r="J35" i="11"/>
  <c r="J68" i="11"/>
  <c r="I71" i="11"/>
  <c r="H74" i="11"/>
  <c r="E74" i="11"/>
  <c r="G74" i="11"/>
  <c r="B74" i="11"/>
  <c r="D74" i="11"/>
  <c r="C81" i="11"/>
  <c r="D81" i="11"/>
  <c r="G81" i="11"/>
  <c r="H85" i="11"/>
  <c r="H36" i="11"/>
  <c r="E76" i="11"/>
  <c r="G76" i="11"/>
  <c r="B76" i="11"/>
  <c r="B64" i="11"/>
  <c r="D64" i="11"/>
  <c r="B31" i="11"/>
  <c r="B32" i="11"/>
  <c r="B33" i="11"/>
  <c r="B34" i="11"/>
  <c r="B35" i="11"/>
  <c r="B65" i="11"/>
  <c r="D65" i="11"/>
  <c r="B66" i="11"/>
  <c r="D66" i="11"/>
  <c r="B67" i="11"/>
  <c r="D67" i="11"/>
  <c r="B68" i="11"/>
  <c r="D31" i="11"/>
  <c r="D32" i="11"/>
  <c r="D33" i="11"/>
  <c r="D34" i="11"/>
  <c r="D35" i="11"/>
  <c r="D68" i="11"/>
  <c r="C71" i="11"/>
  <c r="D76" i="11"/>
  <c r="E16" i="11"/>
  <c r="B83" i="11"/>
  <c r="C83" i="11"/>
  <c r="D85" i="11"/>
  <c r="D36" i="11"/>
  <c r="C80" i="11"/>
  <c r="B85" i="11"/>
  <c r="B36" i="11"/>
  <c r="D86" i="11"/>
  <c r="D87" i="11"/>
  <c r="D83" i="11"/>
  <c r="G83" i="11"/>
  <c r="J85" i="11"/>
  <c r="J36" i="11"/>
  <c r="H86" i="11"/>
  <c r="H87" i="11"/>
  <c r="J81" i="11"/>
  <c r="M81" i="11"/>
  <c r="P85" i="11"/>
  <c r="P36" i="11"/>
  <c r="N86" i="11"/>
  <c r="N87" i="11"/>
  <c r="P79" i="11"/>
  <c r="S79" i="11"/>
  <c r="V79" i="11"/>
  <c r="W85" i="11"/>
  <c r="W36" i="11"/>
  <c r="T76" i="11"/>
  <c r="V76" i="11"/>
  <c r="Q76" i="11"/>
  <c r="Q64" i="11"/>
  <c r="S64" i="11"/>
  <c r="Q65" i="11"/>
  <c r="S65" i="11"/>
  <c r="Q66" i="11"/>
  <c r="S66" i="11"/>
  <c r="Q31" i="11"/>
  <c r="Q32" i="11"/>
  <c r="Q33" i="11"/>
  <c r="Q34" i="11"/>
  <c r="Q35" i="11"/>
  <c r="Q67" i="11"/>
  <c r="S67" i="11"/>
  <c r="Q68" i="11"/>
  <c r="S31" i="11"/>
  <c r="S32" i="11"/>
  <c r="S33" i="11"/>
  <c r="S34" i="11"/>
  <c r="S35" i="11"/>
  <c r="S68" i="11"/>
  <c r="R71" i="11"/>
  <c r="S76" i="11"/>
  <c r="N76" i="11"/>
  <c r="P76" i="11"/>
  <c r="K76" i="11"/>
  <c r="M76" i="11"/>
  <c r="H76" i="11"/>
  <c r="J76" i="11"/>
  <c r="J86" i="11"/>
  <c r="J87" i="11"/>
  <c r="J83" i="11"/>
  <c r="M83" i="11"/>
  <c r="P83" i="11"/>
  <c r="S85" i="11"/>
  <c r="S36" i="11"/>
  <c r="N75" i="11"/>
  <c r="P75" i="11"/>
  <c r="K75" i="11"/>
  <c r="K64" i="11"/>
  <c r="M64" i="11"/>
  <c r="K31" i="11"/>
  <c r="K32" i="11"/>
  <c r="K33" i="11"/>
  <c r="K34" i="11"/>
  <c r="K35" i="11"/>
  <c r="K65" i="11"/>
  <c r="M65" i="11"/>
  <c r="K66" i="11"/>
  <c r="M66" i="11"/>
  <c r="K67" i="11"/>
  <c r="M31" i="11"/>
  <c r="M32" i="11"/>
  <c r="M33" i="11"/>
  <c r="M34" i="11"/>
  <c r="M35" i="11"/>
  <c r="M67" i="11"/>
  <c r="K68" i="11"/>
  <c r="M68" i="11"/>
  <c r="L71" i="11"/>
  <c r="M75" i="11"/>
  <c r="H75" i="11"/>
  <c r="J75" i="11"/>
  <c r="E75" i="11"/>
  <c r="G75" i="11"/>
  <c r="G86" i="11"/>
  <c r="G87" i="11"/>
  <c r="G82" i="11"/>
  <c r="J82" i="11"/>
  <c r="M85" i="11"/>
  <c r="M36" i="11"/>
  <c r="H73" i="11"/>
  <c r="J73" i="11"/>
  <c r="E73" i="11"/>
  <c r="G73" i="11"/>
  <c r="B73" i="11"/>
  <c r="B86" i="11"/>
  <c r="B87" i="11"/>
  <c r="D80" i="11"/>
  <c r="G80" i="11"/>
  <c r="J80" i="11"/>
  <c r="K85" i="11"/>
  <c r="K36" i="11"/>
  <c r="M86" i="11"/>
  <c r="M87" i="11"/>
  <c r="M82" i="11"/>
  <c r="P82" i="11"/>
  <c r="Q85" i="11"/>
  <c r="Q36" i="11"/>
  <c r="S86" i="11"/>
  <c r="S87" i="11"/>
  <c r="S83" i="11"/>
  <c r="V83" i="11"/>
  <c r="Y85" i="11"/>
  <c r="Y36" i="11"/>
  <c r="W86" i="11"/>
  <c r="W87" i="11"/>
  <c r="Y79" i="11"/>
  <c r="AB79" i="11"/>
  <c r="AC85" i="11"/>
  <c r="AC36" i="11"/>
  <c r="Z73" i="11"/>
  <c r="AB73" i="11"/>
  <c r="W73" i="11"/>
  <c r="Y73" i="11"/>
  <c r="T64" i="11"/>
  <c r="V64" i="11"/>
  <c r="T31" i="11"/>
  <c r="T32" i="11"/>
  <c r="T33" i="11"/>
  <c r="T34" i="11"/>
  <c r="T35" i="11"/>
  <c r="T65" i="11"/>
  <c r="V65" i="11"/>
  <c r="T66" i="11"/>
  <c r="V31" i="11"/>
  <c r="V32" i="11"/>
  <c r="V33" i="11"/>
  <c r="V34" i="11"/>
  <c r="V35" i="11"/>
  <c r="V66" i="11"/>
  <c r="T67" i="11"/>
  <c r="V67" i="11"/>
  <c r="T68" i="11"/>
  <c r="V68" i="11"/>
  <c r="U71" i="11"/>
  <c r="T73" i="11"/>
  <c r="Q73" i="11"/>
  <c r="S73" i="11"/>
  <c r="N73" i="11"/>
  <c r="P73" i="11"/>
  <c r="K73" i="11"/>
  <c r="K86" i="11"/>
  <c r="K87" i="11"/>
  <c r="M80" i="11"/>
  <c r="P80" i="11"/>
  <c r="S80" i="11"/>
  <c r="T85" i="11"/>
  <c r="T36" i="11"/>
  <c r="Q74" i="11"/>
  <c r="S74" i="11"/>
  <c r="N74" i="11"/>
  <c r="P74" i="11"/>
  <c r="P86" i="11"/>
  <c r="P87" i="11"/>
  <c r="P81" i="11"/>
  <c r="S81" i="11"/>
  <c r="V85" i="11"/>
  <c r="V36" i="11"/>
  <c r="T86" i="11"/>
  <c r="T87" i="11"/>
  <c r="V80" i="11"/>
  <c r="Y80" i="11"/>
  <c r="AB80" i="11"/>
  <c r="AE85" i="11"/>
  <c r="AE36" i="11"/>
  <c r="AC86" i="11"/>
  <c r="AC87" i="11"/>
  <c r="AE79" i="11"/>
  <c r="AU79" i="11"/>
  <c r="AC73" i="11"/>
  <c r="AE73" i="11"/>
  <c r="AE86" i="11"/>
  <c r="AE87" i="11"/>
  <c r="AE80" i="11"/>
  <c r="AU80" i="11"/>
  <c r="AC74" i="11"/>
  <c r="AE74" i="11"/>
  <c r="Z64" i="11"/>
  <c r="AB64" i="11"/>
  <c r="Z65" i="11"/>
  <c r="AB65" i="11"/>
  <c r="Z31" i="11"/>
  <c r="Z32" i="11"/>
  <c r="Z33" i="11"/>
  <c r="Z34" i="11"/>
  <c r="Z35" i="11"/>
  <c r="Z66" i="11"/>
  <c r="AB66" i="11"/>
  <c r="Z67" i="11"/>
  <c r="AB31" i="11"/>
  <c r="AB32" i="11"/>
  <c r="AB33" i="11"/>
  <c r="AB34" i="11"/>
  <c r="AB35" i="11"/>
  <c r="AB67" i="11"/>
  <c r="Z68" i="11"/>
  <c r="AB68" i="11"/>
  <c r="AA71" i="11"/>
  <c r="Z74" i="11"/>
  <c r="W74" i="11"/>
  <c r="Y74" i="11"/>
  <c r="T74" i="11"/>
  <c r="V74" i="11"/>
  <c r="V86" i="11"/>
  <c r="V87" i="11"/>
  <c r="V81" i="11"/>
  <c r="Y81" i="11"/>
  <c r="Z85" i="11"/>
  <c r="Z36" i="11"/>
  <c r="W75" i="11"/>
  <c r="Y75" i="11"/>
  <c r="T75" i="11"/>
  <c r="V75" i="11"/>
  <c r="Q75" i="11"/>
  <c r="Q86" i="11"/>
  <c r="Q87" i="11"/>
  <c r="S82" i="11"/>
  <c r="V82" i="11"/>
  <c r="Y82" i="11"/>
  <c r="AB85" i="11"/>
  <c r="AB36" i="11"/>
  <c r="Z86" i="11"/>
  <c r="Z87" i="11"/>
  <c r="AB81" i="11"/>
  <c r="AE81" i="11"/>
  <c r="AU81" i="11"/>
  <c r="AC75" i="11"/>
  <c r="AE75" i="11"/>
  <c r="Z75" i="11"/>
  <c r="AB75" i="11"/>
  <c r="AB86" i="11"/>
  <c r="AB87" i="11"/>
  <c r="AB82" i="11"/>
  <c r="AE82" i="11"/>
  <c r="AU82" i="11"/>
  <c r="AT83" i="11"/>
  <c r="AC76" i="11"/>
  <c r="AE76" i="11"/>
  <c r="Z76" i="11"/>
  <c r="AB76" i="11"/>
  <c r="W76" i="11"/>
  <c r="Y76" i="11"/>
  <c r="Y86" i="11"/>
  <c r="Y87" i="11"/>
  <c r="Y83" i="11"/>
  <c r="AB83" i="11"/>
  <c r="AE83" i="11"/>
  <c r="AU83" i="11"/>
  <c r="E93" i="11"/>
  <c r="B164" i="11"/>
  <c r="AT164" i="11"/>
  <c r="AC116" i="11"/>
  <c r="AC117" i="11"/>
  <c r="AC118" i="11"/>
  <c r="AC119" i="11"/>
  <c r="AC120" i="11"/>
  <c r="AC149" i="11"/>
  <c r="AE149" i="11"/>
  <c r="AC150" i="11"/>
  <c r="AE116" i="11"/>
  <c r="AE117" i="11"/>
  <c r="AE118" i="11"/>
  <c r="AE119" i="11"/>
  <c r="AE120" i="11"/>
  <c r="AE150" i="11"/>
  <c r="AC151" i="11"/>
  <c r="AE151" i="11"/>
  <c r="AC152" i="11"/>
  <c r="AE152" i="11"/>
  <c r="AC153" i="11"/>
  <c r="AE153" i="11"/>
  <c r="AD156" i="11"/>
  <c r="AC157" i="11"/>
  <c r="Z157" i="11"/>
  <c r="AB157" i="11"/>
  <c r="W116" i="11"/>
  <c r="W117" i="11"/>
  <c r="W118" i="11"/>
  <c r="W119" i="11"/>
  <c r="W120" i="11"/>
  <c r="W149" i="11"/>
  <c r="Y149" i="11"/>
  <c r="W150" i="11"/>
  <c r="Y150" i="11"/>
  <c r="W151" i="11"/>
  <c r="Y151" i="11"/>
  <c r="W152" i="11"/>
  <c r="Y152" i="11"/>
  <c r="W153" i="11"/>
  <c r="Y116" i="11"/>
  <c r="Y117" i="11"/>
  <c r="Y118" i="11"/>
  <c r="Y119" i="11"/>
  <c r="Y120" i="11"/>
  <c r="Y153" i="11"/>
  <c r="X156" i="11"/>
  <c r="W157" i="11"/>
  <c r="T157" i="11"/>
  <c r="V157" i="11"/>
  <c r="Q157" i="11"/>
  <c r="S157" i="11"/>
  <c r="N116" i="11"/>
  <c r="N117" i="11"/>
  <c r="N118" i="11"/>
  <c r="N119" i="11"/>
  <c r="N120" i="11"/>
  <c r="N149" i="11"/>
  <c r="P149" i="11"/>
  <c r="N150" i="11"/>
  <c r="P150" i="11"/>
  <c r="N151" i="11"/>
  <c r="P116" i="11"/>
  <c r="P117" i="11"/>
  <c r="P118" i="11"/>
  <c r="P119" i="11"/>
  <c r="P120" i="11"/>
  <c r="P151" i="11"/>
  <c r="N152" i="11"/>
  <c r="P152" i="11"/>
  <c r="N153" i="11"/>
  <c r="P153" i="11"/>
  <c r="O156" i="11"/>
  <c r="N157" i="11"/>
  <c r="K157" i="11"/>
  <c r="M157" i="11"/>
  <c r="H157" i="11"/>
  <c r="J157" i="11"/>
  <c r="E116" i="11"/>
  <c r="E117" i="11"/>
  <c r="E118" i="11"/>
  <c r="E119" i="11"/>
  <c r="E120" i="11"/>
  <c r="E149" i="11"/>
  <c r="G149" i="11"/>
  <c r="E150" i="11"/>
  <c r="G150" i="11"/>
  <c r="E151" i="11"/>
  <c r="G151" i="11"/>
  <c r="E152" i="11"/>
  <c r="G116" i="11"/>
  <c r="G117" i="11"/>
  <c r="G118" i="11"/>
  <c r="G119" i="11"/>
  <c r="G120" i="11"/>
  <c r="G152" i="11"/>
  <c r="E153" i="11"/>
  <c r="G153" i="11"/>
  <c r="F156" i="11"/>
  <c r="E157" i="11"/>
  <c r="B157" i="11"/>
  <c r="D157" i="11"/>
  <c r="C164" i="11"/>
  <c r="D164" i="11"/>
  <c r="E170" i="11"/>
  <c r="E121" i="11"/>
  <c r="B160" i="11"/>
  <c r="D160" i="11"/>
  <c r="E99" i="11"/>
  <c r="B167" i="11"/>
  <c r="C167" i="11"/>
  <c r="D167" i="11"/>
  <c r="G170" i="11"/>
  <c r="G121" i="11"/>
  <c r="E171" i="11"/>
  <c r="E172" i="11"/>
  <c r="G164" i="11"/>
  <c r="J164" i="11"/>
  <c r="M164" i="11"/>
  <c r="N170" i="11"/>
  <c r="N121" i="11"/>
  <c r="K159" i="11"/>
  <c r="M159" i="11"/>
  <c r="H149" i="11"/>
  <c r="J149" i="11"/>
  <c r="H150" i="11"/>
  <c r="J150" i="11"/>
  <c r="H116" i="11"/>
  <c r="H117" i="11"/>
  <c r="H118" i="11"/>
  <c r="H119" i="11"/>
  <c r="H120" i="11"/>
  <c r="H151" i="11"/>
  <c r="J151" i="11"/>
  <c r="H152" i="11"/>
  <c r="J152" i="11"/>
  <c r="H153" i="11"/>
  <c r="J116" i="11"/>
  <c r="J117" i="11"/>
  <c r="J118" i="11"/>
  <c r="J119" i="11"/>
  <c r="J120" i="11"/>
  <c r="J153" i="11"/>
  <c r="I156" i="11"/>
  <c r="H159" i="11"/>
  <c r="E159" i="11"/>
  <c r="G159" i="11"/>
  <c r="B159" i="11"/>
  <c r="D159" i="11"/>
  <c r="B166" i="11"/>
  <c r="C166" i="11"/>
  <c r="D166" i="11"/>
  <c r="G166" i="11"/>
  <c r="H170" i="11"/>
  <c r="H121" i="11"/>
  <c r="E161" i="11"/>
  <c r="G161" i="11"/>
  <c r="B161" i="11"/>
  <c r="B149" i="11"/>
  <c r="D149" i="11"/>
  <c r="B116" i="11"/>
  <c r="B117" i="11"/>
  <c r="B118" i="11"/>
  <c r="B119" i="11"/>
  <c r="B120" i="11"/>
  <c r="B150" i="11"/>
  <c r="D150" i="11"/>
  <c r="B151" i="11"/>
  <c r="D151" i="11"/>
  <c r="B152" i="11"/>
  <c r="D152" i="11"/>
  <c r="B153" i="11"/>
  <c r="D116" i="11"/>
  <c r="D117" i="11"/>
  <c r="D118" i="11"/>
  <c r="D119" i="11"/>
  <c r="D120" i="11"/>
  <c r="D153" i="11"/>
  <c r="C156" i="11"/>
  <c r="D161" i="11"/>
  <c r="E101" i="11"/>
  <c r="B168" i="11"/>
  <c r="C168" i="11"/>
  <c r="D170" i="11"/>
  <c r="D121" i="11"/>
  <c r="E95" i="11"/>
  <c r="B165" i="11"/>
  <c r="C165" i="11"/>
  <c r="B170" i="11"/>
  <c r="B121" i="11"/>
  <c r="D171" i="11"/>
  <c r="D172" i="11"/>
  <c r="D168" i="11"/>
  <c r="G168" i="11"/>
  <c r="J170" i="11"/>
  <c r="J121" i="11"/>
  <c r="H171" i="11"/>
  <c r="H172" i="11"/>
  <c r="J166" i="11"/>
  <c r="M166" i="11"/>
  <c r="P170" i="11"/>
  <c r="P121" i="11"/>
  <c r="N171" i="11"/>
  <c r="N172" i="11"/>
  <c r="P164" i="11"/>
  <c r="S164" i="11"/>
  <c r="V164" i="11"/>
  <c r="W170" i="11"/>
  <c r="W121" i="11"/>
  <c r="T161" i="11"/>
  <c r="V161" i="11"/>
  <c r="Q161" i="11"/>
  <c r="Q149" i="11"/>
  <c r="S149" i="11"/>
  <c r="Q150" i="11"/>
  <c r="S150" i="11"/>
  <c r="Q151" i="11"/>
  <c r="S151" i="11"/>
  <c r="Q116" i="11"/>
  <c r="Q117" i="11"/>
  <c r="Q118" i="11"/>
  <c r="Q119" i="11"/>
  <c r="Q120" i="11"/>
  <c r="Q152" i="11"/>
  <c r="S152" i="11"/>
  <c r="Q153" i="11"/>
  <c r="S116" i="11"/>
  <c r="S117" i="11"/>
  <c r="S118" i="11"/>
  <c r="S119" i="11"/>
  <c r="S120" i="11"/>
  <c r="S153" i="11"/>
  <c r="R156" i="11"/>
  <c r="S161" i="11"/>
  <c r="N161" i="11"/>
  <c r="P161" i="11"/>
  <c r="K161" i="11"/>
  <c r="M161" i="11"/>
  <c r="H161" i="11"/>
  <c r="J161" i="11"/>
  <c r="J171" i="11"/>
  <c r="J172" i="11"/>
  <c r="J168" i="11"/>
  <c r="M168" i="11"/>
  <c r="P168" i="11"/>
  <c r="S170" i="11"/>
  <c r="S121" i="11"/>
  <c r="N160" i="11"/>
  <c r="P160" i="11"/>
  <c r="K160" i="11"/>
  <c r="K149" i="11"/>
  <c r="M149" i="11"/>
  <c r="K116" i="11"/>
  <c r="K117" i="11"/>
  <c r="K118" i="11"/>
  <c r="K119" i="11"/>
  <c r="K120" i="11"/>
  <c r="K150" i="11"/>
  <c r="M150" i="11"/>
  <c r="K151" i="11"/>
  <c r="M151" i="11"/>
  <c r="K152" i="11"/>
  <c r="M116" i="11"/>
  <c r="M117" i="11"/>
  <c r="M118" i="11"/>
  <c r="M119" i="11"/>
  <c r="M120" i="11"/>
  <c r="M152" i="11"/>
  <c r="K153" i="11"/>
  <c r="M153" i="11"/>
  <c r="L156" i="11"/>
  <c r="M160" i="11"/>
  <c r="H160" i="11"/>
  <c r="J160" i="11"/>
  <c r="E160" i="11"/>
  <c r="G160" i="11"/>
  <c r="G171" i="11"/>
  <c r="G172" i="11"/>
  <c r="G167" i="11"/>
  <c r="J167" i="11"/>
  <c r="M170" i="11"/>
  <c r="M121" i="11"/>
  <c r="H158" i="11"/>
  <c r="J158" i="11"/>
  <c r="E158" i="11"/>
  <c r="G158" i="11"/>
  <c r="B158" i="11"/>
  <c r="B171" i="11"/>
  <c r="B172" i="11"/>
  <c r="D165" i="11"/>
  <c r="G165" i="11"/>
  <c r="J165" i="11"/>
  <c r="K170" i="11"/>
  <c r="K121" i="11"/>
  <c r="M171" i="11"/>
  <c r="M172" i="11"/>
  <c r="M167" i="11"/>
  <c r="P167" i="11"/>
  <c r="Q170" i="11"/>
  <c r="Q121" i="11"/>
  <c r="S171" i="11"/>
  <c r="S172" i="11"/>
  <c r="S168" i="11"/>
  <c r="V168" i="11"/>
  <c r="Y170" i="11"/>
  <c r="Y121" i="11"/>
  <c r="W171" i="11"/>
  <c r="W172" i="11"/>
  <c r="Y164" i="11"/>
  <c r="AB164" i="11"/>
  <c r="AC170" i="11"/>
  <c r="AC121" i="11"/>
  <c r="Z158" i="11"/>
  <c r="AB158" i="11"/>
  <c r="W158" i="11"/>
  <c r="Y158" i="11"/>
  <c r="T149" i="11"/>
  <c r="V149" i="11"/>
  <c r="T116" i="11"/>
  <c r="T117" i="11"/>
  <c r="T118" i="11"/>
  <c r="T119" i="11"/>
  <c r="T120" i="11"/>
  <c r="T150" i="11"/>
  <c r="V150" i="11"/>
  <c r="T151" i="11"/>
  <c r="V116" i="11"/>
  <c r="V117" i="11"/>
  <c r="V118" i="11"/>
  <c r="V119" i="11"/>
  <c r="V120" i="11"/>
  <c r="V151" i="11"/>
  <c r="T152" i="11"/>
  <c r="V152" i="11"/>
  <c r="T153" i="11"/>
  <c r="V153" i="11"/>
  <c r="U156" i="11"/>
  <c r="T158" i="11"/>
  <c r="Q158" i="11"/>
  <c r="S158" i="11"/>
  <c r="N158" i="11"/>
  <c r="P158" i="11"/>
  <c r="K158" i="11"/>
  <c r="K171" i="11"/>
  <c r="K172" i="11"/>
  <c r="M165" i="11"/>
  <c r="P165" i="11"/>
  <c r="S165" i="11"/>
  <c r="T170" i="11"/>
  <c r="T121" i="11"/>
  <c r="Q159" i="11"/>
  <c r="S159" i="11"/>
  <c r="N159" i="11"/>
  <c r="P159" i="11"/>
  <c r="P171" i="11"/>
  <c r="P172" i="11"/>
  <c r="P166" i="11"/>
  <c r="S166" i="11"/>
  <c r="V170" i="11"/>
  <c r="V121" i="11"/>
  <c r="T171" i="11"/>
  <c r="T172" i="11"/>
  <c r="V165" i="11"/>
  <c r="Y165" i="11"/>
  <c r="AB165" i="11"/>
  <c r="AE170" i="11"/>
  <c r="AE121" i="11"/>
  <c r="AC171" i="11"/>
  <c r="AC172" i="11"/>
  <c r="AE164" i="11"/>
  <c r="AU164" i="11"/>
  <c r="AT165" i="11"/>
  <c r="AC158" i="11"/>
  <c r="AE158" i="11"/>
  <c r="AE171" i="11"/>
  <c r="AE172" i="11"/>
  <c r="AE165" i="11"/>
  <c r="AU165" i="11"/>
  <c r="AT166" i="11"/>
  <c r="AC159" i="11"/>
  <c r="AE159" i="11"/>
  <c r="Z149" i="11"/>
  <c r="AB149" i="11"/>
  <c r="Z150" i="11"/>
  <c r="AB150" i="11"/>
  <c r="Z116" i="11"/>
  <c r="Z117" i="11"/>
  <c r="Z118" i="11"/>
  <c r="Z119" i="11"/>
  <c r="Z120" i="11"/>
  <c r="Z151" i="11"/>
  <c r="AB151" i="11"/>
  <c r="Z152" i="11"/>
  <c r="AB116" i="11"/>
  <c r="AB117" i="11"/>
  <c r="AB118" i="11"/>
  <c r="AB119" i="11"/>
  <c r="AB120" i="11"/>
  <c r="AB152" i="11"/>
  <c r="Z153" i="11"/>
  <c r="AB153" i="11"/>
  <c r="AA156" i="11"/>
  <c r="Z159" i="11"/>
  <c r="W159" i="11"/>
  <c r="Y159" i="11"/>
  <c r="T159" i="11"/>
  <c r="V159" i="11"/>
  <c r="V171" i="11"/>
  <c r="V172" i="11"/>
  <c r="V166" i="11"/>
  <c r="Y166" i="11"/>
  <c r="Z170" i="11"/>
  <c r="Z121" i="11"/>
  <c r="W160" i="11"/>
  <c r="Y160" i="11"/>
  <c r="T160" i="11"/>
  <c r="V160" i="11"/>
  <c r="Q160" i="11"/>
  <c r="Q171" i="11"/>
  <c r="Q172" i="11"/>
  <c r="S167" i="11"/>
  <c r="V167" i="11"/>
  <c r="Y167" i="11"/>
  <c r="AB170" i="11"/>
  <c r="AB121" i="11"/>
  <c r="Z171" i="11"/>
  <c r="Z172" i="11"/>
  <c r="AB166" i="11"/>
  <c r="AE166" i="11"/>
  <c r="AU166" i="11"/>
  <c r="AT167" i="11"/>
  <c r="AC160" i="11"/>
  <c r="AE160" i="11"/>
  <c r="Z160" i="11"/>
  <c r="AB160" i="11"/>
  <c r="AB171" i="11"/>
  <c r="AB172" i="11"/>
  <c r="AB167" i="11"/>
  <c r="AE167" i="11"/>
  <c r="AU167" i="11"/>
  <c r="AT168" i="11"/>
  <c r="AC161" i="11"/>
  <c r="AE161" i="11"/>
  <c r="Z161" i="11"/>
  <c r="AB161" i="11"/>
  <c r="W161" i="11"/>
  <c r="Y161" i="11"/>
  <c r="Y171" i="11"/>
  <c r="Y172" i="11"/>
  <c r="Y168" i="11"/>
  <c r="AB168" i="11"/>
  <c r="AE168" i="11"/>
  <c r="AU168" i="11"/>
  <c r="AX8" i="11"/>
  <c r="X230" i="11"/>
  <c r="Y231" i="11"/>
  <c r="V179" i="11"/>
  <c r="X210" i="11"/>
  <c r="W227" i="11"/>
  <c r="AX11" i="11"/>
  <c r="X227" i="11"/>
  <c r="W231" i="11"/>
  <c r="Y232" i="11"/>
  <c r="Y233" i="11"/>
  <c r="Y230" i="11"/>
  <c r="AB230" i="11"/>
  <c r="AE230" i="11"/>
  <c r="AU233" i="11"/>
  <c r="AT233" i="11"/>
  <c r="AF179" i="11"/>
  <c r="X212" i="11"/>
  <c r="W229" i="11"/>
  <c r="AX7" i="11"/>
  <c r="X229" i="11"/>
  <c r="Y229" i="11"/>
  <c r="AB231" i="11"/>
  <c r="V180" i="11"/>
  <c r="X211" i="11"/>
  <c r="W228" i="11"/>
  <c r="AX12" i="11"/>
  <c r="X228" i="11"/>
  <c r="Y228" i="11"/>
  <c r="Z231" i="11"/>
  <c r="AB232" i="11"/>
  <c r="AB233" i="11"/>
  <c r="AB229" i="11"/>
  <c r="AE231" i="11"/>
  <c r="AE219" i="11"/>
  <c r="AE220" i="11"/>
  <c r="AE221" i="11"/>
  <c r="AE222" i="11"/>
  <c r="W232" i="11"/>
  <c r="W233" i="11"/>
  <c r="Y227" i="11"/>
  <c r="AB227" i="11"/>
  <c r="AC231" i="11"/>
  <c r="AC219" i="11"/>
  <c r="AC220" i="11"/>
  <c r="AC221" i="11"/>
  <c r="AC222" i="11"/>
  <c r="AE232" i="11"/>
  <c r="AE233" i="11"/>
  <c r="AC232" i="11"/>
  <c r="AC233" i="11"/>
  <c r="Z232" i="11"/>
  <c r="Z233" i="11"/>
  <c r="E219" i="11"/>
  <c r="E220" i="11"/>
  <c r="E221" i="11"/>
  <c r="E222" i="11"/>
  <c r="G219" i="11"/>
  <c r="G220" i="11"/>
  <c r="G221" i="11"/>
  <c r="G222" i="11"/>
  <c r="J218" i="11"/>
  <c r="B180" i="11"/>
  <c r="B211" i="11"/>
  <c r="B228" i="11"/>
  <c r="AX4" i="11"/>
  <c r="C228" i="11"/>
  <c r="D228" i="11"/>
  <c r="E231" i="11"/>
  <c r="L179" i="11"/>
  <c r="B212" i="11"/>
  <c r="B229" i="11"/>
  <c r="AX6" i="11"/>
  <c r="C229" i="11"/>
  <c r="D229" i="11"/>
  <c r="G231" i="11"/>
  <c r="E232" i="11"/>
  <c r="E233" i="11"/>
  <c r="G228" i="11"/>
  <c r="J231" i="11"/>
  <c r="J219" i="11"/>
  <c r="J220" i="11"/>
  <c r="J221" i="11"/>
  <c r="J222" i="11"/>
  <c r="B219" i="11"/>
  <c r="B220" i="11"/>
  <c r="B221" i="11"/>
  <c r="B222" i="11"/>
  <c r="D219" i="11"/>
  <c r="D220" i="11"/>
  <c r="D221" i="11"/>
  <c r="D222" i="11"/>
  <c r="H218" i="11"/>
  <c r="B179" i="11"/>
  <c r="B210" i="11"/>
  <c r="B227" i="11"/>
  <c r="AX3" i="11"/>
  <c r="C227" i="11"/>
  <c r="B231" i="11"/>
  <c r="L180" i="11"/>
  <c r="B213" i="11"/>
  <c r="B230" i="11"/>
  <c r="AX5" i="11"/>
  <c r="C230" i="11"/>
  <c r="D231" i="11"/>
  <c r="B232" i="11"/>
  <c r="B233" i="11"/>
  <c r="D227" i="11"/>
  <c r="G227" i="11"/>
  <c r="H231" i="11"/>
  <c r="H219" i="11"/>
  <c r="H220" i="11"/>
  <c r="H221" i="11"/>
  <c r="H222" i="11"/>
  <c r="J232" i="11"/>
  <c r="J233" i="11"/>
  <c r="H232" i="11"/>
  <c r="H233" i="11"/>
  <c r="G232" i="11"/>
  <c r="G233" i="11"/>
  <c r="D232" i="11"/>
  <c r="D233" i="11"/>
  <c r="AE229" i="11"/>
  <c r="AU232" i="11"/>
  <c r="AT232" i="11"/>
  <c r="AB228" i="11"/>
  <c r="AE228" i="11"/>
  <c r="AU231" i="11"/>
  <c r="AT231" i="11"/>
  <c r="AE227" i="11"/>
  <c r="AU230" i="11"/>
  <c r="AT230" i="11"/>
  <c r="D230" i="11"/>
  <c r="G230" i="11"/>
  <c r="J230" i="11"/>
  <c r="AU229" i="11"/>
  <c r="AT229" i="11"/>
  <c r="G229" i="11"/>
  <c r="J229" i="11"/>
  <c r="AU228" i="11"/>
  <c r="AT228" i="11"/>
  <c r="J228" i="11"/>
  <c r="AU227" i="11"/>
  <c r="AT227" i="11"/>
  <c r="J227" i="11"/>
  <c r="AU226" i="11"/>
  <c r="AT226" i="11"/>
  <c r="AF223" i="11"/>
  <c r="K223" i="11"/>
  <c r="E98" i="11"/>
  <c r="AL180" i="11"/>
  <c r="AG213" i="11"/>
  <c r="E96" i="11"/>
  <c r="R180" i="11"/>
  <c r="K213" i="11"/>
  <c r="E13" i="11"/>
  <c r="AL179" i="11"/>
  <c r="AG212" i="11"/>
  <c r="E11" i="11"/>
  <c r="R179" i="11"/>
  <c r="K212" i="11"/>
  <c r="E102" i="11"/>
  <c r="AB180" i="11"/>
  <c r="AG211" i="11"/>
  <c r="E94" i="11"/>
  <c r="H180" i="11"/>
  <c r="K211" i="11"/>
  <c r="E17" i="11"/>
  <c r="AB179" i="11"/>
  <c r="AG210" i="11"/>
  <c r="E9" i="11"/>
  <c r="H179" i="11"/>
  <c r="K210" i="11"/>
  <c r="U204" i="11"/>
  <c r="A204" i="11"/>
  <c r="AB203" i="11"/>
  <c r="F203" i="11"/>
  <c r="U199" i="11"/>
  <c r="A199" i="11"/>
  <c r="AF198" i="11"/>
  <c r="J198" i="11"/>
  <c r="U195" i="11"/>
  <c r="A195" i="11"/>
  <c r="AB193" i="11"/>
  <c r="T193" i="11"/>
  <c r="F193" i="11"/>
  <c r="A193" i="11"/>
  <c r="U190" i="11"/>
  <c r="A190" i="11"/>
  <c r="A174" i="11"/>
  <c r="AF161" i="11"/>
  <c r="S160" i="11"/>
  <c r="AF160" i="11"/>
  <c r="J159" i="11"/>
  <c r="AB159" i="11"/>
  <c r="AF159" i="11"/>
  <c r="D158" i="11"/>
  <c r="M158" i="11"/>
  <c r="V158" i="11"/>
  <c r="AF158" i="11"/>
  <c r="G157" i="11"/>
  <c r="P157" i="11"/>
  <c r="Y157" i="11"/>
  <c r="AE157" i="11"/>
  <c r="AF157" i="11"/>
  <c r="AF153" i="11"/>
  <c r="AG153" i="11"/>
  <c r="AF152" i="11"/>
  <c r="AG152" i="11"/>
  <c r="AF151" i="11"/>
  <c r="AG151" i="11"/>
  <c r="AF150" i="11"/>
  <c r="AG150" i="11"/>
  <c r="AF149" i="11"/>
  <c r="AG149" i="11"/>
  <c r="B147" i="11"/>
  <c r="B124" i="11"/>
  <c r="D124" i="11"/>
  <c r="B125" i="11"/>
  <c r="D125" i="11"/>
  <c r="B126" i="11"/>
  <c r="D126" i="11"/>
  <c r="B127" i="11"/>
  <c r="D127" i="11"/>
  <c r="B128" i="11"/>
  <c r="D128" i="11"/>
  <c r="B129" i="11"/>
  <c r="D147" i="11"/>
  <c r="E147" i="11"/>
  <c r="G147" i="11"/>
  <c r="H147" i="11"/>
  <c r="H124" i="11"/>
  <c r="J124" i="11"/>
  <c r="H125" i="11"/>
  <c r="J125" i="11"/>
  <c r="H126" i="11"/>
  <c r="J126" i="11"/>
  <c r="H127" i="11"/>
  <c r="J127" i="11"/>
  <c r="H128" i="11"/>
  <c r="J128" i="11"/>
  <c r="H129" i="11"/>
  <c r="J147" i="11"/>
  <c r="K147" i="11"/>
  <c r="M147" i="11"/>
  <c r="N147" i="11"/>
  <c r="P147" i="11"/>
  <c r="Q147" i="11"/>
  <c r="Q124" i="11"/>
  <c r="S124" i="11"/>
  <c r="Q125" i="11"/>
  <c r="S125" i="11"/>
  <c r="Q126" i="11"/>
  <c r="S126" i="11"/>
  <c r="Q127" i="11"/>
  <c r="S127" i="11"/>
  <c r="Q128" i="11"/>
  <c r="S128" i="11"/>
  <c r="Q129" i="11"/>
  <c r="S147" i="11"/>
  <c r="T147" i="11"/>
  <c r="V147" i="11"/>
  <c r="W147" i="11"/>
  <c r="W124" i="11"/>
  <c r="Y124" i="11"/>
  <c r="W125" i="11"/>
  <c r="Y125" i="11"/>
  <c r="W126" i="11"/>
  <c r="Y126" i="11"/>
  <c r="W127" i="11"/>
  <c r="Y127" i="11"/>
  <c r="W128" i="11"/>
  <c r="Y128" i="11"/>
  <c r="W129" i="11"/>
  <c r="Y147" i="11"/>
  <c r="Z147" i="11"/>
  <c r="AB147" i="11"/>
  <c r="AC147" i="11"/>
  <c r="AE147" i="11"/>
  <c r="AF147" i="11"/>
  <c r="B146" i="11"/>
  <c r="D146" i="11"/>
  <c r="E146" i="11"/>
  <c r="E124" i="11"/>
  <c r="G124" i="11"/>
  <c r="E125" i="11"/>
  <c r="G125" i="11"/>
  <c r="E126" i="11"/>
  <c r="G126" i="11"/>
  <c r="E127" i="11"/>
  <c r="G127" i="11"/>
  <c r="E128" i="11"/>
  <c r="G128" i="11"/>
  <c r="E129" i="11"/>
  <c r="G146" i="11"/>
  <c r="H146" i="11"/>
  <c r="J146" i="11"/>
  <c r="K146" i="11"/>
  <c r="K124" i="11"/>
  <c r="M124" i="11"/>
  <c r="K125" i="11"/>
  <c r="M125" i="11"/>
  <c r="K126" i="11"/>
  <c r="M126" i="11"/>
  <c r="K127" i="11"/>
  <c r="M127" i="11"/>
  <c r="K128" i="11"/>
  <c r="M128" i="11"/>
  <c r="K129" i="11"/>
  <c r="M146" i="11"/>
  <c r="N146" i="11"/>
  <c r="P146" i="11"/>
  <c r="Q146" i="11"/>
  <c r="S146" i="11"/>
  <c r="T146" i="11"/>
  <c r="V146" i="11"/>
  <c r="W146" i="11"/>
  <c r="Y146" i="11"/>
  <c r="Z146" i="11"/>
  <c r="Z124" i="11"/>
  <c r="AB124" i="11"/>
  <c r="Z125" i="11"/>
  <c r="AB125" i="11"/>
  <c r="Z126" i="11"/>
  <c r="AB126" i="11"/>
  <c r="Z127" i="11"/>
  <c r="AB127" i="11"/>
  <c r="Z128" i="11"/>
  <c r="AB128" i="11"/>
  <c r="Z129" i="11"/>
  <c r="AB146" i="11"/>
  <c r="AC146" i="11"/>
  <c r="AE146" i="11"/>
  <c r="AF146" i="11"/>
  <c r="B145" i="11"/>
  <c r="D145" i="11"/>
  <c r="E145" i="11"/>
  <c r="G145" i="11"/>
  <c r="H145" i="11"/>
  <c r="J145" i="11"/>
  <c r="K145" i="11"/>
  <c r="M145" i="11"/>
  <c r="N145" i="11"/>
  <c r="N124" i="11"/>
  <c r="P124" i="11"/>
  <c r="N125" i="11"/>
  <c r="P125" i="11"/>
  <c r="N126" i="11"/>
  <c r="P126" i="11"/>
  <c r="N127" i="11"/>
  <c r="P127" i="11"/>
  <c r="N128" i="11"/>
  <c r="P128" i="11"/>
  <c r="N129" i="11"/>
  <c r="P145" i="11"/>
  <c r="Q145" i="11"/>
  <c r="S145" i="11"/>
  <c r="T145" i="11"/>
  <c r="T124" i="11"/>
  <c r="V124" i="11"/>
  <c r="T125" i="11"/>
  <c r="V125" i="11"/>
  <c r="T126" i="11"/>
  <c r="V126" i="11"/>
  <c r="T127" i="11"/>
  <c r="V127" i="11"/>
  <c r="T128" i="11"/>
  <c r="V128" i="11"/>
  <c r="T129" i="11"/>
  <c r="V145" i="11"/>
  <c r="W145" i="11"/>
  <c r="Y145" i="11"/>
  <c r="Z145" i="11"/>
  <c r="AB145" i="11"/>
  <c r="AC145" i="11"/>
  <c r="AE145" i="11"/>
  <c r="AF145" i="11"/>
  <c r="B144" i="11"/>
  <c r="D144" i="11"/>
  <c r="E144" i="11"/>
  <c r="G144" i="11"/>
  <c r="H144" i="11"/>
  <c r="J144" i="11"/>
  <c r="K144" i="11"/>
  <c r="M144" i="11"/>
  <c r="N144" i="11"/>
  <c r="P144" i="11"/>
  <c r="Q144" i="11"/>
  <c r="S144" i="11"/>
  <c r="T144" i="11"/>
  <c r="V144" i="11"/>
  <c r="W144" i="11"/>
  <c r="Y144" i="11"/>
  <c r="Z144" i="11"/>
  <c r="AB144" i="11"/>
  <c r="AC144" i="11"/>
  <c r="AC124" i="11"/>
  <c r="AE124" i="11"/>
  <c r="AC125" i="11"/>
  <c r="AE125" i="11"/>
  <c r="AC126" i="11"/>
  <c r="AE126" i="11"/>
  <c r="AC127" i="11"/>
  <c r="AE127" i="11"/>
  <c r="AC128" i="11"/>
  <c r="AE128" i="11"/>
  <c r="AC129" i="11"/>
  <c r="AE144" i="11"/>
  <c r="AF144" i="11"/>
  <c r="B143" i="11"/>
  <c r="D143" i="11"/>
  <c r="E143" i="11"/>
  <c r="G143" i="11"/>
  <c r="H143" i="11"/>
  <c r="J143" i="11"/>
  <c r="K143" i="11"/>
  <c r="M143" i="11"/>
  <c r="N143" i="11"/>
  <c r="P143" i="11"/>
  <c r="Q143" i="11"/>
  <c r="S143" i="11"/>
  <c r="T143" i="11"/>
  <c r="V143" i="11"/>
  <c r="W143" i="11"/>
  <c r="Y143" i="11"/>
  <c r="Z143" i="11"/>
  <c r="AB143" i="11"/>
  <c r="AC143" i="11"/>
  <c r="AE143" i="11"/>
  <c r="AF143" i="11"/>
  <c r="B141" i="11"/>
  <c r="B122" i="11"/>
  <c r="D122" i="11"/>
  <c r="C122" i="11"/>
  <c r="D141" i="11"/>
  <c r="E141" i="11"/>
  <c r="G141" i="11"/>
  <c r="H141" i="11"/>
  <c r="H122" i="11"/>
  <c r="J122" i="11"/>
  <c r="I122" i="11"/>
  <c r="J141" i="11"/>
  <c r="K141" i="11"/>
  <c r="M141" i="11"/>
  <c r="N141" i="11"/>
  <c r="P141" i="11"/>
  <c r="Q141" i="11"/>
  <c r="Q122" i="11"/>
  <c r="S122" i="11"/>
  <c r="R122" i="11"/>
  <c r="S141" i="11"/>
  <c r="T141" i="11"/>
  <c r="V141" i="11"/>
  <c r="W141" i="11"/>
  <c r="W122" i="11"/>
  <c r="Y122" i="11"/>
  <c r="X122" i="11"/>
  <c r="Y141" i="11"/>
  <c r="Z141" i="11"/>
  <c r="AB141" i="11"/>
  <c r="AC141" i="11"/>
  <c r="AE141" i="11"/>
  <c r="AF141" i="11"/>
  <c r="B140" i="11"/>
  <c r="D140" i="11"/>
  <c r="E140" i="11"/>
  <c r="E122" i="11"/>
  <c r="G122" i="11"/>
  <c r="F122" i="11"/>
  <c r="G140" i="11"/>
  <c r="H140" i="11"/>
  <c r="J140" i="11"/>
  <c r="K140" i="11"/>
  <c r="K122" i="11"/>
  <c r="M122" i="11"/>
  <c r="L122" i="11"/>
  <c r="M140" i="11"/>
  <c r="N140" i="11"/>
  <c r="P140" i="11"/>
  <c r="Q140" i="11"/>
  <c r="S140" i="11"/>
  <c r="T140" i="11"/>
  <c r="V140" i="11"/>
  <c r="W140" i="11"/>
  <c r="Y140" i="11"/>
  <c r="Z140" i="11"/>
  <c r="Z122" i="11"/>
  <c r="AB122" i="11"/>
  <c r="AA122" i="11"/>
  <c r="AB140" i="11"/>
  <c r="AC140" i="11"/>
  <c r="AE140" i="11"/>
  <c r="AF140" i="11"/>
  <c r="B139" i="11"/>
  <c r="D139" i="11"/>
  <c r="E139" i="11"/>
  <c r="G139" i="11"/>
  <c r="H139" i="11"/>
  <c r="J139" i="11"/>
  <c r="K139" i="11"/>
  <c r="M139" i="11"/>
  <c r="N139" i="11"/>
  <c r="N122" i="11"/>
  <c r="P122" i="11"/>
  <c r="O122" i="11"/>
  <c r="P139" i="11"/>
  <c r="Q139" i="11"/>
  <c r="S139" i="11"/>
  <c r="T139" i="11"/>
  <c r="T122" i="11"/>
  <c r="V122" i="11"/>
  <c r="U122" i="11"/>
  <c r="V139" i="11"/>
  <c r="W139" i="11"/>
  <c r="Y139" i="11"/>
  <c r="Z139" i="11"/>
  <c r="AB139" i="11"/>
  <c r="AC139" i="11"/>
  <c r="AE139" i="11"/>
  <c r="AF139" i="11"/>
  <c r="B138" i="11"/>
  <c r="D138" i="11"/>
  <c r="E138" i="11"/>
  <c r="G138" i="11"/>
  <c r="H138" i="11"/>
  <c r="J138" i="11"/>
  <c r="K138" i="11"/>
  <c r="M138" i="11"/>
  <c r="N138" i="11"/>
  <c r="P138" i="11"/>
  <c r="Q138" i="11"/>
  <c r="S138" i="11"/>
  <c r="T138" i="11"/>
  <c r="V138" i="11"/>
  <c r="W138" i="11"/>
  <c r="Y138" i="11"/>
  <c r="Z138" i="11"/>
  <c r="AB138" i="11"/>
  <c r="AC138" i="11"/>
  <c r="AC122" i="11"/>
  <c r="AE122" i="11"/>
  <c r="AD122" i="11"/>
  <c r="AE138" i="11"/>
  <c r="AF138" i="11"/>
  <c r="B137" i="11"/>
  <c r="D137" i="11"/>
  <c r="E137" i="11"/>
  <c r="G137" i="11"/>
  <c r="H137" i="11"/>
  <c r="J137" i="11"/>
  <c r="K137" i="11"/>
  <c r="M137" i="11"/>
  <c r="N137" i="11"/>
  <c r="P137" i="11"/>
  <c r="Q137" i="11"/>
  <c r="S137" i="11"/>
  <c r="T137" i="11"/>
  <c r="V137" i="11"/>
  <c r="W137" i="11"/>
  <c r="Y137" i="11"/>
  <c r="Z137" i="11"/>
  <c r="AB137" i="11"/>
  <c r="AC137" i="11"/>
  <c r="AE137" i="11"/>
  <c r="AF137" i="11"/>
  <c r="B135" i="11"/>
  <c r="D135" i="11"/>
  <c r="E135" i="11"/>
  <c r="G135" i="11"/>
  <c r="H135" i="11"/>
  <c r="J135" i="11"/>
  <c r="K135" i="11"/>
  <c r="M135" i="11"/>
  <c r="N135" i="11"/>
  <c r="P135" i="11"/>
  <c r="Q135" i="11"/>
  <c r="S135" i="11"/>
  <c r="T135" i="11"/>
  <c r="V135" i="11"/>
  <c r="W135" i="11"/>
  <c r="Y135" i="11"/>
  <c r="Z135" i="11"/>
  <c r="AB135" i="11"/>
  <c r="AC135" i="11"/>
  <c r="AE135" i="11"/>
  <c r="AF135" i="11"/>
  <c r="AG135" i="11"/>
  <c r="B134" i="11"/>
  <c r="D134" i="11"/>
  <c r="E134" i="11"/>
  <c r="G134" i="11"/>
  <c r="H134" i="11"/>
  <c r="J134" i="11"/>
  <c r="K134" i="11"/>
  <c r="M134" i="11"/>
  <c r="N134" i="11"/>
  <c r="P134" i="11"/>
  <c r="Q134" i="11"/>
  <c r="S134" i="11"/>
  <c r="T134" i="11"/>
  <c r="V134" i="11"/>
  <c r="W134" i="11"/>
  <c r="Y134" i="11"/>
  <c r="Z134" i="11"/>
  <c r="AB134" i="11"/>
  <c r="AC134" i="11"/>
  <c r="AE134" i="11"/>
  <c r="AF134" i="11"/>
  <c r="AG134" i="11"/>
  <c r="B133" i="11"/>
  <c r="D133" i="11"/>
  <c r="E133" i="11"/>
  <c r="G133" i="11"/>
  <c r="H133" i="11"/>
  <c r="J133" i="11"/>
  <c r="K133" i="11"/>
  <c r="M133" i="11"/>
  <c r="N133" i="11"/>
  <c r="P133" i="11"/>
  <c r="Q133" i="11"/>
  <c r="S133" i="11"/>
  <c r="T133" i="11"/>
  <c r="V133" i="11"/>
  <c r="W133" i="11"/>
  <c r="Y133" i="11"/>
  <c r="Z133" i="11"/>
  <c r="AB133" i="11"/>
  <c r="AC133" i="11"/>
  <c r="AE133" i="11"/>
  <c r="AF133" i="11"/>
  <c r="AG133" i="11"/>
  <c r="B132" i="11"/>
  <c r="D132" i="11"/>
  <c r="E132" i="11"/>
  <c r="G132" i="11"/>
  <c r="H132" i="11"/>
  <c r="J132" i="11"/>
  <c r="K132" i="11"/>
  <c r="M132" i="11"/>
  <c r="N132" i="11"/>
  <c r="P132" i="11"/>
  <c r="Q132" i="11"/>
  <c r="S132" i="11"/>
  <c r="T132" i="11"/>
  <c r="V132" i="11"/>
  <c r="W132" i="11"/>
  <c r="Y132" i="11"/>
  <c r="Z132" i="11"/>
  <c r="AB132" i="11"/>
  <c r="AC132" i="11"/>
  <c r="AE132" i="11"/>
  <c r="AF132" i="11"/>
  <c r="AG132" i="11"/>
  <c r="B131" i="11"/>
  <c r="D131" i="11"/>
  <c r="E131" i="11"/>
  <c r="G131" i="11"/>
  <c r="H131" i="11"/>
  <c r="J131" i="11"/>
  <c r="K131" i="11"/>
  <c r="M131" i="11"/>
  <c r="N131" i="11"/>
  <c r="P131" i="11"/>
  <c r="Q131" i="11"/>
  <c r="S131" i="11"/>
  <c r="T131" i="11"/>
  <c r="V131" i="11"/>
  <c r="W131" i="11"/>
  <c r="Y131" i="11"/>
  <c r="Z131" i="11"/>
  <c r="AB131" i="11"/>
  <c r="AC131" i="11"/>
  <c r="AE131" i="11"/>
  <c r="AF131" i="11"/>
  <c r="AG131" i="11"/>
  <c r="AE115" i="11"/>
  <c r="AC115" i="11"/>
  <c r="AB115" i="11"/>
  <c r="Z115" i="11"/>
  <c r="Y115" i="11"/>
  <c r="W115" i="11"/>
  <c r="V115" i="11"/>
  <c r="T115" i="11"/>
  <c r="S115" i="11"/>
  <c r="Q115" i="11"/>
  <c r="P115" i="11"/>
  <c r="N115" i="11"/>
  <c r="M115" i="11"/>
  <c r="K115" i="11"/>
  <c r="J115" i="11"/>
  <c r="H115" i="11"/>
  <c r="G115" i="11"/>
  <c r="E115" i="11"/>
  <c r="D115" i="11"/>
  <c r="B115" i="11"/>
  <c r="AD114" i="11"/>
  <c r="AA114" i="11"/>
  <c r="X114" i="11"/>
  <c r="U114" i="11"/>
  <c r="R114" i="11"/>
  <c r="O114" i="11"/>
  <c r="L114" i="11"/>
  <c r="I114" i="11"/>
  <c r="F114" i="11"/>
  <c r="A114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F113" i="11"/>
  <c r="AD113" i="11"/>
  <c r="AA113" i="11"/>
  <c r="X113" i="11"/>
  <c r="U113" i="11"/>
  <c r="R113" i="11"/>
  <c r="O113" i="11"/>
  <c r="L113" i="11"/>
  <c r="I113" i="11"/>
  <c r="F113" i="11"/>
  <c r="A113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F112" i="11"/>
  <c r="AD112" i="11"/>
  <c r="AA112" i="11"/>
  <c r="X112" i="11"/>
  <c r="U112" i="11"/>
  <c r="R112" i="11"/>
  <c r="O112" i="11"/>
  <c r="L112" i="11"/>
  <c r="I112" i="11"/>
  <c r="F112" i="11"/>
  <c r="A112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F111" i="11"/>
  <c r="AD111" i="11"/>
  <c r="AA111" i="11"/>
  <c r="X111" i="11"/>
  <c r="U111" i="11"/>
  <c r="R111" i="11"/>
  <c r="O111" i="11"/>
  <c r="L111" i="11"/>
  <c r="I111" i="11"/>
  <c r="F111" i="11"/>
  <c r="A111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F110" i="11"/>
  <c r="AD110" i="11"/>
  <c r="AA110" i="11"/>
  <c r="X110" i="11"/>
  <c r="U110" i="11"/>
  <c r="R110" i="11"/>
  <c r="O110" i="11"/>
  <c r="L110" i="11"/>
  <c r="I110" i="11"/>
  <c r="F110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F109" i="11"/>
  <c r="AD109" i="11"/>
  <c r="AA109" i="11"/>
  <c r="X109" i="11"/>
  <c r="U109" i="11"/>
  <c r="R109" i="11"/>
  <c r="O109" i="11"/>
  <c r="L109" i="11"/>
  <c r="I109" i="11"/>
  <c r="F109" i="11"/>
  <c r="AC107" i="11"/>
  <c r="Z107" i="11"/>
  <c r="W107" i="11"/>
  <c r="T107" i="11"/>
  <c r="Q107" i="11"/>
  <c r="N107" i="11"/>
  <c r="K107" i="11"/>
  <c r="H107" i="11"/>
  <c r="E107" i="11"/>
  <c r="AC101" i="11"/>
  <c r="Z101" i="11"/>
  <c r="W101" i="11"/>
  <c r="R101" i="11"/>
  <c r="L101" i="11"/>
  <c r="A101" i="11"/>
  <c r="E100" i="11"/>
  <c r="AC99" i="11"/>
  <c r="Z99" i="11"/>
  <c r="W99" i="11"/>
  <c r="R99" i="11"/>
  <c r="L99" i="11"/>
  <c r="A99" i="11"/>
  <c r="AC97" i="11"/>
  <c r="Z97" i="11"/>
  <c r="W97" i="11"/>
  <c r="R97" i="11"/>
  <c r="L97" i="11"/>
  <c r="A97" i="11"/>
  <c r="AC95" i="11"/>
  <c r="Z95" i="11"/>
  <c r="W95" i="11"/>
  <c r="R95" i="11"/>
  <c r="L95" i="11"/>
  <c r="A95" i="11"/>
  <c r="AC93" i="11"/>
  <c r="Z93" i="11"/>
  <c r="W93" i="11"/>
  <c r="R93" i="11"/>
  <c r="L93" i="11"/>
  <c r="A93" i="11"/>
  <c r="R92" i="11"/>
  <c r="L92" i="11"/>
  <c r="K91" i="11"/>
  <c r="A89" i="11"/>
  <c r="AF76" i="11"/>
  <c r="S75" i="11"/>
  <c r="AF75" i="11"/>
  <c r="J74" i="11"/>
  <c r="AB74" i="11"/>
  <c r="AF74" i="11"/>
  <c r="D73" i="11"/>
  <c r="M73" i="11"/>
  <c r="V73" i="11"/>
  <c r="AF73" i="11"/>
  <c r="G72" i="11"/>
  <c r="P72" i="11"/>
  <c r="Y72" i="11"/>
  <c r="AE72" i="11"/>
  <c r="AF72" i="11"/>
  <c r="AF68" i="11"/>
  <c r="AG68" i="11"/>
  <c r="AF67" i="11"/>
  <c r="AG67" i="11"/>
  <c r="AF66" i="11"/>
  <c r="AG66" i="11"/>
  <c r="AF65" i="11"/>
  <c r="AG65" i="11"/>
  <c r="AF64" i="11"/>
  <c r="AG64" i="11"/>
  <c r="B62" i="11"/>
  <c r="B39" i="11"/>
  <c r="D39" i="11"/>
  <c r="B40" i="11"/>
  <c r="D40" i="11"/>
  <c r="B41" i="11"/>
  <c r="D41" i="11"/>
  <c r="B42" i="11"/>
  <c r="D42" i="11"/>
  <c r="B43" i="11"/>
  <c r="D43" i="11"/>
  <c r="B44" i="11"/>
  <c r="D62" i="11"/>
  <c r="E62" i="11"/>
  <c r="G62" i="11"/>
  <c r="H62" i="11"/>
  <c r="H39" i="11"/>
  <c r="J39" i="11"/>
  <c r="H40" i="11"/>
  <c r="J40" i="11"/>
  <c r="H41" i="11"/>
  <c r="J41" i="11"/>
  <c r="H42" i="11"/>
  <c r="J42" i="11"/>
  <c r="H43" i="11"/>
  <c r="J43" i="11"/>
  <c r="H44" i="11"/>
  <c r="J62" i="11"/>
  <c r="K62" i="11"/>
  <c r="M62" i="11"/>
  <c r="N62" i="11"/>
  <c r="P62" i="11"/>
  <c r="Q62" i="11"/>
  <c r="Q39" i="11"/>
  <c r="S39" i="11"/>
  <c r="Q40" i="11"/>
  <c r="S40" i="11"/>
  <c r="Q41" i="11"/>
  <c r="S41" i="11"/>
  <c r="Q42" i="11"/>
  <c r="S42" i="11"/>
  <c r="Q43" i="11"/>
  <c r="S43" i="11"/>
  <c r="Q44" i="11"/>
  <c r="S62" i="11"/>
  <c r="T62" i="11"/>
  <c r="V62" i="11"/>
  <c r="W62" i="11"/>
  <c r="W39" i="11"/>
  <c r="Y39" i="11"/>
  <c r="W40" i="11"/>
  <c r="Y40" i="11"/>
  <c r="W41" i="11"/>
  <c r="Y41" i="11"/>
  <c r="W42" i="11"/>
  <c r="Y42" i="11"/>
  <c r="W43" i="11"/>
  <c r="Y43" i="11"/>
  <c r="W44" i="11"/>
  <c r="Y62" i="11"/>
  <c r="Z62" i="11"/>
  <c r="AB62" i="11"/>
  <c r="AC62" i="11"/>
  <c r="AE62" i="11"/>
  <c r="AF62" i="11"/>
  <c r="B61" i="11"/>
  <c r="D61" i="11"/>
  <c r="E61" i="11"/>
  <c r="E39" i="11"/>
  <c r="G39" i="11"/>
  <c r="E40" i="11"/>
  <c r="G40" i="11"/>
  <c r="E41" i="11"/>
  <c r="G41" i="11"/>
  <c r="E42" i="11"/>
  <c r="G42" i="11"/>
  <c r="E43" i="11"/>
  <c r="G43" i="11"/>
  <c r="E44" i="11"/>
  <c r="G61" i="11"/>
  <c r="H61" i="11"/>
  <c r="J61" i="11"/>
  <c r="K61" i="11"/>
  <c r="K39" i="11"/>
  <c r="M39" i="11"/>
  <c r="K40" i="11"/>
  <c r="M40" i="11"/>
  <c r="K41" i="11"/>
  <c r="M41" i="11"/>
  <c r="K42" i="11"/>
  <c r="M42" i="11"/>
  <c r="K43" i="11"/>
  <c r="M43" i="11"/>
  <c r="K44" i="11"/>
  <c r="M61" i="11"/>
  <c r="N61" i="11"/>
  <c r="P61" i="11"/>
  <c r="Q61" i="11"/>
  <c r="S61" i="11"/>
  <c r="T61" i="11"/>
  <c r="V61" i="11"/>
  <c r="W61" i="11"/>
  <c r="Y61" i="11"/>
  <c r="Z61" i="11"/>
  <c r="Z39" i="11"/>
  <c r="AB39" i="11"/>
  <c r="Z40" i="11"/>
  <c r="AB40" i="11"/>
  <c r="Z41" i="11"/>
  <c r="AB41" i="11"/>
  <c r="Z42" i="11"/>
  <c r="AB42" i="11"/>
  <c r="Z43" i="11"/>
  <c r="AB43" i="11"/>
  <c r="Z44" i="11"/>
  <c r="AB61" i="11"/>
  <c r="AC61" i="11"/>
  <c r="AE61" i="11"/>
  <c r="AF61" i="11"/>
  <c r="B60" i="11"/>
  <c r="D60" i="11"/>
  <c r="E60" i="11"/>
  <c r="G60" i="11"/>
  <c r="H60" i="11"/>
  <c r="J60" i="11"/>
  <c r="K60" i="11"/>
  <c r="M60" i="11"/>
  <c r="N60" i="11"/>
  <c r="N39" i="11"/>
  <c r="P39" i="11"/>
  <c r="N40" i="11"/>
  <c r="P40" i="11"/>
  <c r="N41" i="11"/>
  <c r="P41" i="11"/>
  <c r="N42" i="11"/>
  <c r="P42" i="11"/>
  <c r="N43" i="11"/>
  <c r="P43" i="11"/>
  <c r="N44" i="11"/>
  <c r="P60" i="11"/>
  <c r="Q60" i="11"/>
  <c r="S60" i="11"/>
  <c r="T60" i="11"/>
  <c r="T39" i="11"/>
  <c r="V39" i="11"/>
  <c r="T40" i="11"/>
  <c r="V40" i="11"/>
  <c r="T41" i="11"/>
  <c r="V41" i="11"/>
  <c r="T42" i="11"/>
  <c r="V42" i="11"/>
  <c r="T43" i="11"/>
  <c r="V43" i="11"/>
  <c r="T44" i="11"/>
  <c r="V60" i="11"/>
  <c r="W60" i="11"/>
  <c r="Y60" i="11"/>
  <c r="Z60" i="11"/>
  <c r="AB60" i="11"/>
  <c r="AC60" i="11"/>
  <c r="AE60" i="11"/>
  <c r="AF60" i="11"/>
  <c r="B59" i="11"/>
  <c r="D59" i="11"/>
  <c r="E59" i="11"/>
  <c r="G59" i="11"/>
  <c r="H59" i="11"/>
  <c r="J59" i="11"/>
  <c r="K59" i="11"/>
  <c r="M59" i="11"/>
  <c r="N59" i="11"/>
  <c r="P59" i="11"/>
  <c r="Q59" i="11"/>
  <c r="S59" i="11"/>
  <c r="T59" i="11"/>
  <c r="V59" i="11"/>
  <c r="W59" i="11"/>
  <c r="Y59" i="11"/>
  <c r="Z59" i="11"/>
  <c r="AB59" i="11"/>
  <c r="AC59" i="11"/>
  <c r="AC39" i="11"/>
  <c r="AE39" i="11"/>
  <c r="AC40" i="11"/>
  <c r="AE40" i="11"/>
  <c r="AC41" i="11"/>
  <c r="AE41" i="11"/>
  <c r="AC42" i="11"/>
  <c r="AE42" i="11"/>
  <c r="AC43" i="11"/>
  <c r="AE43" i="11"/>
  <c r="AC44" i="11"/>
  <c r="AE59" i="11"/>
  <c r="AF59" i="11"/>
  <c r="B58" i="11"/>
  <c r="D58" i="11"/>
  <c r="E58" i="11"/>
  <c r="G58" i="11"/>
  <c r="H58" i="11"/>
  <c r="J58" i="11"/>
  <c r="K58" i="11"/>
  <c r="M58" i="11"/>
  <c r="N58" i="11"/>
  <c r="P58" i="11"/>
  <c r="Q58" i="11"/>
  <c r="S58" i="11"/>
  <c r="T58" i="11"/>
  <c r="V58" i="11"/>
  <c r="W58" i="11"/>
  <c r="Y58" i="11"/>
  <c r="Z58" i="11"/>
  <c r="AB58" i="11"/>
  <c r="AC58" i="11"/>
  <c r="AE58" i="11"/>
  <c r="AF58" i="11"/>
  <c r="B56" i="11"/>
  <c r="B37" i="11"/>
  <c r="D37" i="11"/>
  <c r="C37" i="11"/>
  <c r="D56" i="11"/>
  <c r="E56" i="11"/>
  <c r="G56" i="11"/>
  <c r="H56" i="11"/>
  <c r="H37" i="11"/>
  <c r="J37" i="11"/>
  <c r="I37" i="11"/>
  <c r="J56" i="11"/>
  <c r="K56" i="11"/>
  <c r="M56" i="11"/>
  <c r="N56" i="11"/>
  <c r="P56" i="11"/>
  <c r="Q56" i="11"/>
  <c r="Q37" i="11"/>
  <c r="S37" i="11"/>
  <c r="R37" i="11"/>
  <c r="S56" i="11"/>
  <c r="T56" i="11"/>
  <c r="V56" i="11"/>
  <c r="W56" i="11"/>
  <c r="W37" i="11"/>
  <c r="Y37" i="11"/>
  <c r="X37" i="11"/>
  <c r="Y56" i="11"/>
  <c r="Z56" i="11"/>
  <c r="AB56" i="11"/>
  <c r="AC56" i="11"/>
  <c r="AE56" i="11"/>
  <c r="AF56" i="11"/>
  <c r="B55" i="11"/>
  <c r="D55" i="11"/>
  <c r="E55" i="11"/>
  <c r="E37" i="11"/>
  <c r="G37" i="11"/>
  <c r="F37" i="11"/>
  <c r="G55" i="11"/>
  <c r="H55" i="11"/>
  <c r="J55" i="11"/>
  <c r="K55" i="11"/>
  <c r="K37" i="11"/>
  <c r="M37" i="11"/>
  <c r="L37" i="11"/>
  <c r="M55" i="11"/>
  <c r="N55" i="11"/>
  <c r="P55" i="11"/>
  <c r="Q55" i="11"/>
  <c r="S55" i="11"/>
  <c r="T55" i="11"/>
  <c r="V55" i="11"/>
  <c r="W55" i="11"/>
  <c r="Y55" i="11"/>
  <c r="Z55" i="11"/>
  <c r="Z37" i="11"/>
  <c r="AB37" i="11"/>
  <c r="AA37" i="11"/>
  <c r="AB55" i="11"/>
  <c r="AC55" i="11"/>
  <c r="AE55" i="11"/>
  <c r="AF55" i="11"/>
  <c r="B54" i="11"/>
  <c r="D54" i="11"/>
  <c r="E54" i="11"/>
  <c r="G54" i="11"/>
  <c r="H54" i="11"/>
  <c r="J54" i="11"/>
  <c r="K54" i="11"/>
  <c r="M54" i="11"/>
  <c r="N54" i="11"/>
  <c r="N37" i="11"/>
  <c r="P37" i="11"/>
  <c r="O37" i="11"/>
  <c r="P54" i="11"/>
  <c r="Q54" i="11"/>
  <c r="S54" i="11"/>
  <c r="T54" i="11"/>
  <c r="T37" i="11"/>
  <c r="V37" i="11"/>
  <c r="U37" i="11"/>
  <c r="V54" i="11"/>
  <c r="W54" i="11"/>
  <c r="Y54" i="11"/>
  <c r="Z54" i="11"/>
  <c r="AB54" i="11"/>
  <c r="AC54" i="11"/>
  <c r="AE54" i="11"/>
  <c r="AF54" i="11"/>
  <c r="B53" i="11"/>
  <c r="D53" i="11"/>
  <c r="E53" i="11"/>
  <c r="G53" i="11"/>
  <c r="H53" i="11"/>
  <c r="J53" i="11"/>
  <c r="K53" i="11"/>
  <c r="M53" i="11"/>
  <c r="N53" i="11"/>
  <c r="P53" i="11"/>
  <c r="Q53" i="11"/>
  <c r="S53" i="11"/>
  <c r="T53" i="11"/>
  <c r="V53" i="11"/>
  <c r="W53" i="11"/>
  <c r="Y53" i="11"/>
  <c r="Z53" i="11"/>
  <c r="AB53" i="11"/>
  <c r="AC53" i="11"/>
  <c r="AC37" i="11"/>
  <c r="AE37" i="11"/>
  <c r="AD37" i="11"/>
  <c r="AE53" i="11"/>
  <c r="AF53" i="11"/>
  <c r="B52" i="11"/>
  <c r="D52" i="11"/>
  <c r="E52" i="11"/>
  <c r="G52" i="11"/>
  <c r="H52" i="11"/>
  <c r="J52" i="11"/>
  <c r="K52" i="11"/>
  <c r="M52" i="11"/>
  <c r="N52" i="11"/>
  <c r="P52" i="11"/>
  <c r="Q52" i="11"/>
  <c r="S52" i="11"/>
  <c r="T52" i="11"/>
  <c r="V52" i="11"/>
  <c r="W52" i="11"/>
  <c r="Y52" i="11"/>
  <c r="Z52" i="11"/>
  <c r="AB52" i="11"/>
  <c r="AC52" i="11"/>
  <c r="AE52" i="11"/>
  <c r="AF52" i="11"/>
  <c r="B50" i="11"/>
  <c r="D50" i="11"/>
  <c r="E50" i="11"/>
  <c r="G50" i="11"/>
  <c r="H50" i="11"/>
  <c r="J50" i="11"/>
  <c r="K50" i="11"/>
  <c r="M50" i="11"/>
  <c r="N50" i="11"/>
  <c r="P50" i="11"/>
  <c r="Q50" i="11"/>
  <c r="S50" i="11"/>
  <c r="T50" i="11"/>
  <c r="V50" i="11"/>
  <c r="W50" i="11"/>
  <c r="Y50" i="11"/>
  <c r="Z50" i="11"/>
  <c r="AB50" i="11"/>
  <c r="AC50" i="11"/>
  <c r="AE50" i="11"/>
  <c r="AF50" i="11"/>
  <c r="AG50" i="11"/>
  <c r="B49" i="11"/>
  <c r="D49" i="11"/>
  <c r="E49" i="11"/>
  <c r="G49" i="11"/>
  <c r="H49" i="11"/>
  <c r="J49" i="11"/>
  <c r="K49" i="11"/>
  <c r="M49" i="11"/>
  <c r="N49" i="11"/>
  <c r="P49" i="11"/>
  <c r="Q49" i="11"/>
  <c r="S49" i="11"/>
  <c r="T49" i="11"/>
  <c r="V49" i="11"/>
  <c r="W49" i="11"/>
  <c r="Y49" i="11"/>
  <c r="Z49" i="11"/>
  <c r="AB49" i="11"/>
  <c r="AC49" i="11"/>
  <c r="AE49" i="11"/>
  <c r="AF49" i="11"/>
  <c r="AG49" i="11"/>
  <c r="B48" i="11"/>
  <c r="D48" i="11"/>
  <c r="E48" i="11"/>
  <c r="G48" i="11"/>
  <c r="H48" i="11"/>
  <c r="J48" i="11"/>
  <c r="K48" i="11"/>
  <c r="M48" i="11"/>
  <c r="N48" i="11"/>
  <c r="P48" i="11"/>
  <c r="Q48" i="11"/>
  <c r="S48" i="11"/>
  <c r="T48" i="11"/>
  <c r="V48" i="11"/>
  <c r="W48" i="11"/>
  <c r="Y48" i="11"/>
  <c r="Z48" i="11"/>
  <c r="AB48" i="11"/>
  <c r="AC48" i="11"/>
  <c r="AE48" i="11"/>
  <c r="AF48" i="11"/>
  <c r="AG48" i="11"/>
  <c r="B47" i="11"/>
  <c r="D47" i="11"/>
  <c r="E47" i="11"/>
  <c r="G47" i="11"/>
  <c r="H47" i="11"/>
  <c r="J47" i="11"/>
  <c r="K47" i="11"/>
  <c r="M47" i="11"/>
  <c r="N47" i="11"/>
  <c r="P47" i="11"/>
  <c r="Q47" i="11"/>
  <c r="S47" i="11"/>
  <c r="T47" i="11"/>
  <c r="V47" i="11"/>
  <c r="W47" i="11"/>
  <c r="Y47" i="11"/>
  <c r="Z47" i="11"/>
  <c r="AB47" i="11"/>
  <c r="AC47" i="11"/>
  <c r="AE47" i="11"/>
  <c r="AF47" i="11"/>
  <c r="AG47" i="11"/>
  <c r="B46" i="11"/>
  <c r="D46" i="11"/>
  <c r="E46" i="11"/>
  <c r="G46" i="11"/>
  <c r="H46" i="11"/>
  <c r="J46" i="11"/>
  <c r="K46" i="11"/>
  <c r="M46" i="11"/>
  <c r="N46" i="11"/>
  <c r="P46" i="11"/>
  <c r="Q46" i="11"/>
  <c r="S46" i="11"/>
  <c r="T46" i="11"/>
  <c r="V46" i="11"/>
  <c r="W46" i="11"/>
  <c r="Y46" i="11"/>
  <c r="Z46" i="11"/>
  <c r="AB46" i="11"/>
  <c r="AC46" i="11"/>
  <c r="AE46" i="11"/>
  <c r="AF46" i="11"/>
  <c r="AG46" i="11"/>
  <c r="AE30" i="11"/>
  <c r="AC30" i="11"/>
  <c r="AB30" i="11"/>
  <c r="Z30" i="11"/>
  <c r="Y30" i="11"/>
  <c r="W30" i="11"/>
  <c r="V30" i="11"/>
  <c r="T30" i="11"/>
  <c r="S30" i="11"/>
  <c r="Q30" i="11"/>
  <c r="P30" i="11"/>
  <c r="N30" i="11"/>
  <c r="M30" i="11"/>
  <c r="K30" i="11"/>
  <c r="J30" i="11"/>
  <c r="H30" i="11"/>
  <c r="G30" i="11"/>
  <c r="E30" i="11"/>
  <c r="D30" i="11"/>
  <c r="B30" i="11"/>
  <c r="AD29" i="11"/>
  <c r="AA29" i="11"/>
  <c r="X29" i="11"/>
  <c r="U29" i="11"/>
  <c r="R29" i="11"/>
  <c r="O29" i="11"/>
  <c r="L29" i="11"/>
  <c r="I29" i="11"/>
  <c r="F29" i="11"/>
  <c r="A29" i="11"/>
  <c r="AG28" i="11"/>
  <c r="AH28" i="11"/>
  <c r="AI28" i="11"/>
  <c r="AJ28" i="11"/>
  <c r="AK28" i="11"/>
  <c r="AL28" i="11"/>
  <c r="AM28" i="11"/>
  <c r="AN28" i="11"/>
  <c r="AO28" i="11"/>
  <c r="AP28" i="11"/>
  <c r="AQ28" i="11"/>
  <c r="AF28" i="11"/>
  <c r="AD28" i="11"/>
  <c r="AA28" i="11"/>
  <c r="X28" i="11"/>
  <c r="U28" i="11"/>
  <c r="R28" i="11"/>
  <c r="O28" i="11"/>
  <c r="L28" i="11"/>
  <c r="I28" i="11"/>
  <c r="F28" i="11"/>
  <c r="A28" i="11"/>
  <c r="AG27" i="11"/>
  <c r="AH27" i="11"/>
  <c r="AI27" i="11"/>
  <c r="AJ27" i="11"/>
  <c r="AK27" i="11"/>
  <c r="AL27" i="11"/>
  <c r="AM27" i="11"/>
  <c r="AN27" i="11"/>
  <c r="AO27" i="11"/>
  <c r="AP27" i="11"/>
  <c r="AQ27" i="11"/>
  <c r="AF27" i="11"/>
  <c r="AD27" i="11"/>
  <c r="AA27" i="11"/>
  <c r="X27" i="11"/>
  <c r="U27" i="11"/>
  <c r="R27" i="11"/>
  <c r="O27" i="11"/>
  <c r="L27" i="11"/>
  <c r="I27" i="11"/>
  <c r="F27" i="11"/>
  <c r="A27" i="11"/>
  <c r="AG26" i="11"/>
  <c r="AH26" i="11"/>
  <c r="AI26" i="11"/>
  <c r="AJ26" i="11"/>
  <c r="AK26" i="11"/>
  <c r="AL26" i="11"/>
  <c r="AM26" i="11"/>
  <c r="AN26" i="11"/>
  <c r="AO26" i="11"/>
  <c r="AP26" i="11"/>
  <c r="AQ26" i="11"/>
  <c r="AF26" i="11"/>
  <c r="AD26" i="11"/>
  <c r="AA26" i="11"/>
  <c r="X26" i="11"/>
  <c r="U26" i="11"/>
  <c r="R26" i="11"/>
  <c r="O26" i="11"/>
  <c r="L26" i="11"/>
  <c r="I26" i="11"/>
  <c r="F26" i="11"/>
  <c r="A26" i="11"/>
  <c r="AG25" i="11"/>
  <c r="AH25" i="11"/>
  <c r="AI25" i="11"/>
  <c r="AJ25" i="11"/>
  <c r="AK25" i="11"/>
  <c r="AL25" i="11"/>
  <c r="AM25" i="11"/>
  <c r="AN25" i="11"/>
  <c r="AO25" i="11"/>
  <c r="AP25" i="11"/>
  <c r="AQ25" i="11"/>
  <c r="AF25" i="11"/>
  <c r="AD25" i="11"/>
  <c r="AA25" i="11"/>
  <c r="X25" i="11"/>
  <c r="U25" i="11"/>
  <c r="R25" i="11"/>
  <c r="O25" i="11"/>
  <c r="L25" i="11"/>
  <c r="I25" i="11"/>
  <c r="F25" i="11"/>
  <c r="AG24" i="11"/>
  <c r="AH24" i="11"/>
  <c r="AI24" i="11"/>
  <c r="AJ24" i="11"/>
  <c r="AK24" i="11"/>
  <c r="AL24" i="11"/>
  <c r="AM24" i="11"/>
  <c r="AN24" i="11"/>
  <c r="AO24" i="11"/>
  <c r="AP24" i="11"/>
  <c r="AQ24" i="11"/>
  <c r="AF24" i="11"/>
  <c r="AD24" i="11"/>
  <c r="AA24" i="11"/>
  <c r="X24" i="11"/>
  <c r="U24" i="11"/>
  <c r="R24" i="11"/>
  <c r="O24" i="11"/>
  <c r="L24" i="11"/>
  <c r="I24" i="11"/>
  <c r="F24" i="11"/>
  <c r="AC22" i="11"/>
  <c r="Z22" i="11"/>
  <c r="W22" i="11"/>
  <c r="T22" i="11"/>
  <c r="Q22" i="11"/>
  <c r="N22" i="11"/>
  <c r="K22" i="11"/>
  <c r="H22" i="11"/>
  <c r="E22" i="11"/>
  <c r="AC16" i="11"/>
  <c r="Z16" i="11"/>
  <c r="W16" i="11"/>
  <c r="R16" i="11"/>
  <c r="L16" i="11"/>
  <c r="A16" i="11"/>
  <c r="E15" i="11"/>
  <c r="AC14" i="11"/>
  <c r="Z14" i="11"/>
  <c r="W14" i="11"/>
  <c r="R14" i="11"/>
  <c r="L14" i="11"/>
  <c r="A14" i="11"/>
  <c r="AY12" i="11"/>
  <c r="AC12" i="11"/>
  <c r="Z12" i="11"/>
  <c r="W12" i="11"/>
  <c r="R12" i="11"/>
  <c r="L12" i="11"/>
  <c r="A12" i="11"/>
  <c r="AY11" i="11"/>
  <c r="AX10" i="11"/>
  <c r="AY10" i="11"/>
  <c r="AC10" i="11"/>
  <c r="Z10" i="11"/>
  <c r="W10" i="11"/>
  <c r="R10" i="11"/>
  <c r="L10" i="11"/>
  <c r="A10" i="11"/>
  <c r="AX9" i="11"/>
  <c r="AY9" i="11"/>
  <c r="AY8" i="11"/>
  <c r="AC8" i="11"/>
  <c r="Z8" i="11"/>
  <c r="W8" i="11"/>
  <c r="R8" i="11"/>
  <c r="L8" i="11"/>
  <c r="A8" i="11"/>
  <c r="AY7" i="11"/>
  <c r="R7" i="11"/>
  <c r="L7" i="11"/>
  <c r="AY6" i="11"/>
  <c r="K6" i="11"/>
  <c r="AY5" i="11"/>
  <c r="AY4" i="11"/>
  <c r="AY3" i="11"/>
  <c r="K375" i="10"/>
  <c r="K374" i="10"/>
  <c r="K373" i="10"/>
  <c r="K372" i="10"/>
  <c r="K371" i="10"/>
  <c r="K370" i="10"/>
  <c r="F375" i="10"/>
  <c r="E375" i="10"/>
  <c r="E370" i="10"/>
  <c r="C370" i="10"/>
  <c r="D370" i="10"/>
  <c r="D371" i="10"/>
  <c r="E372" i="10"/>
  <c r="E371" i="10"/>
  <c r="C372" i="10"/>
  <c r="D372" i="10"/>
  <c r="D373" i="10"/>
  <c r="E374" i="10"/>
  <c r="E373" i="10"/>
  <c r="C374" i="10"/>
  <c r="D374" i="10"/>
  <c r="D375" i="10"/>
  <c r="C375" i="10"/>
  <c r="F374" i="10"/>
  <c r="F373" i="10"/>
  <c r="C373" i="10"/>
  <c r="F372" i="10"/>
  <c r="F371" i="10"/>
  <c r="C371" i="10"/>
  <c r="F370" i="10"/>
  <c r="K31" i="10"/>
  <c r="AW12" i="3"/>
  <c r="K24" i="10"/>
  <c r="AW11" i="3"/>
  <c r="K25" i="10"/>
  <c r="AW10" i="3"/>
  <c r="K28" i="10"/>
  <c r="AW9" i="3"/>
  <c r="K20" i="10"/>
  <c r="AW8" i="3"/>
  <c r="K34" i="10"/>
  <c r="AW7" i="3"/>
  <c r="K41" i="10"/>
  <c r="AW6" i="3"/>
  <c r="K44" i="10"/>
  <c r="AW5" i="3"/>
  <c r="K89" i="10"/>
  <c r="AW4" i="3"/>
  <c r="K17" i="10"/>
  <c r="AW3" i="3"/>
  <c r="K40" i="10"/>
  <c r="AW12" i="1"/>
  <c r="K43" i="10"/>
  <c r="AW11" i="1"/>
  <c r="K42" i="10"/>
  <c r="AW10" i="1"/>
  <c r="K33" i="10"/>
  <c r="AW9" i="1"/>
  <c r="K26" i="10"/>
  <c r="AW8" i="1"/>
  <c r="K27" i="10"/>
  <c r="AW7" i="1"/>
  <c r="K19" i="10"/>
  <c r="AW6" i="1"/>
  <c r="AW5" i="1"/>
  <c r="AW4" i="1"/>
  <c r="K35" i="10"/>
  <c r="AW3" i="1"/>
  <c r="K98" i="10"/>
  <c r="AW12" i="4"/>
  <c r="K92" i="10"/>
  <c r="AW11" i="4"/>
  <c r="K85" i="10"/>
  <c r="AW10" i="4"/>
  <c r="K88" i="10"/>
  <c r="AW9" i="4"/>
  <c r="K94" i="10"/>
  <c r="AW8" i="4"/>
  <c r="K13" i="10"/>
  <c r="AW7" i="4"/>
  <c r="K96" i="10"/>
  <c r="AW6" i="4"/>
  <c r="K155" i="10"/>
  <c r="AW5" i="4"/>
  <c r="AW4" i="4"/>
  <c r="AW3" i="4"/>
  <c r="K167" i="10"/>
  <c r="AW12" i="5"/>
  <c r="K149" i="10"/>
  <c r="AW11" i="5"/>
  <c r="K169" i="10"/>
  <c r="AW10" i="5"/>
  <c r="K146" i="10"/>
  <c r="AW9" i="5"/>
  <c r="K145" i="10"/>
  <c r="AW8" i="5"/>
  <c r="K154" i="10"/>
  <c r="AW7" i="5"/>
  <c r="K143" i="10"/>
  <c r="AW6" i="5"/>
  <c r="K144" i="10"/>
  <c r="AW5" i="5"/>
  <c r="K162" i="10"/>
  <c r="AW4" i="5"/>
  <c r="K140" i="10"/>
  <c r="AW3" i="5"/>
  <c r="K168" i="10"/>
  <c r="AW12" i="6"/>
  <c r="K171" i="10"/>
  <c r="AW11" i="6"/>
  <c r="K157" i="10"/>
  <c r="AW10" i="6"/>
  <c r="K148" i="10"/>
  <c r="AW9" i="6"/>
  <c r="K160" i="10"/>
  <c r="AW8" i="6"/>
  <c r="K156" i="10"/>
  <c r="AW7" i="6"/>
  <c r="AW6" i="6"/>
  <c r="K158" i="10"/>
  <c r="AW5" i="6"/>
  <c r="AW4" i="6"/>
  <c r="K170" i="10"/>
  <c r="AW3" i="6"/>
  <c r="K220" i="10"/>
  <c r="AW10" i="2"/>
  <c r="K215" i="10"/>
  <c r="AW9" i="2"/>
  <c r="K223" i="10"/>
  <c r="AW8" i="2"/>
  <c r="K208" i="10"/>
  <c r="AW7" i="2"/>
  <c r="K204" i="10"/>
  <c r="AW6" i="2"/>
  <c r="K205" i="10"/>
  <c r="AW5" i="2"/>
  <c r="K207" i="10"/>
  <c r="AW4" i="2"/>
  <c r="K147" i="10"/>
  <c r="AW3" i="2"/>
  <c r="K270" i="10"/>
  <c r="AW10" i="7"/>
  <c r="K275" i="10"/>
  <c r="AW9" i="7"/>
  <c r="K221" i="10"/>
  <c r="AW8" i="7"/>
  <c r="K213" i="10"/>
  <c r="AW7" i="7"/>
  <c r="K214" i="10"/>
  <c r="AW6" i="7"/>
  <c r="K211" i="10"/>
  <c r="AW5" i="7"/>
  <c r="K222" i="10"/>
  <c r="AW4" i="7"/>
  <c r="K209" i="10"/>
  <c r="AW3" i="7"/>
  <c r="K278" i="10"/>
  <c r="AW12" i="8"/>
  <c r="K279" i="10"/>
  <c r="AW11" i="8"/>
  <c r="K265" i="10"/>
  <c r="AW10" i="8"/>
  <c r="K267" i="10"/>
  <c r="AW9" i="8"/>
  <c r="K277" i="10"/>
  <c r="AW8" i="8"/>
  <c r="K264" i="10"/>
  <c r="AW7" i="8"/>
  <c r="K263" i="10"/>
  <c r="AW6" i="8"/>
  <c r="K203" i="10"/>
  <c r="AW5" i="8"/>
  <c r="K260" i="10"/>
  <c r="AW4" i="8"/>
  <c r="K255" i="10"/>
  <c r="AW3" i="8"/>
  <c r="K202" i="10"/>
  <c r="AW7" i="9"/>
  <c r="K309" i="10"/>
  <c r="AW6" i="9"/>
  <c r="K313" i="10"/>
  <c r="AW5" i="9"/>
  <c r="K311" i="10"/>
  <c r="AW4" i="9"/>
  <c r="K308" i="10"/>
  <c r="AW3" i="9"/>
  <c r="K367" i="10"/>
  <c r="F367" i="10"/>
  <c r="E367" i="10"/>
  <c r="C367" i="10"/>
  <c r="D367" i="10"/>
  <c r="K365" i="10"/>
  <c r="F365" i="10"/>
  <c r="E365" i="10"/>
  <c r="C365" i="10"/>
  <c r="D365" i="10"/>
  <c r="K363" i="10"/>
  <c r="F363" i="10"/>
  <c r="E363" i="10"/>
  <c r="E362" i="10"/>
  <c r="E361" i="10"/>
  <c r="C362" i="10"/>
  <c r="C363" i="10"/>
  <c r="D363" i="10"/>
  <c r="K362" i="10"/>
  <c r="F362" i="10"/>
  <c r="E360" i="10"/>
  <c r="C360" i="10"/>
  <c r="D360" i="10"/>
  <c r="D361" i="10"/>
  <c r="D362" i="10"/>
  <c r="K361" i="10"/>
  <c r="F361" i="10"/>
  <c r="C361" i="10"/>
  <c r="K360" i="10"/>
  <c r="F360" i="10"/>
  <c r="K358" i="10"/>
  <c r="F358" i="10"/>
  <c r="E358" i="10"/>
  <c r="E357" i="10"/>
  <c r="E356" i="10"/>
  <c r="C357" i="10"/>
  <c r="D357" i="10"/>
  <c r="D358" i="10"/>
  <c r="C358" i="10"/>
  <c r="K357" i="10"/>
  <c r="F357" i="10"/>
  <c r="K356" i="10"/>
  <c r="F356" i="10"/>
  <c r="C356" i="10"/>
  <c r="D356" i="10"/>
  <c r="K354" i="10"/>
  <c r="F354" i="10"/>
  <c r="E354" i="10"/>
  <c r="E353" i="10"/>
  <c r="E352" i="10"/>
  <c r="E351" i="10"/>
  <c r="C352" i="10"/>
  <c r="C353" i="10"/>
  <c r="C354" i="10"/>
  <c r="D354" i="10"/>
  <c r="K353" i="10"/>
  <c r="F353" i="10"/>
  <c r="D352" i="10"/>
  <c r="D353" i="10"/>
  <c r="K352" i="10"/>
  <c r="F352" i="10"/>
  <c r="K351" i="10"/>
  <c r="F351" i="10"/>
  <c r="E344" i="10"/>
  <c r="E343" i="10"/>
  <c r="C344" i="10"/>
  <c r="D344" i="10"/>
  <c r="D345" i="10"/>
  <c r="D346" i="10"/>
  <c r="D347" i="10"/>
  <c r="D348" i="10"/>
  <c r="D349" i="10"/>
  <c r="D350" i="10"/>
  <c r="D351" i="10"/>
  <c r="E350" i="10"/>
  <c r="E349" i="10"/>
  <c r="E348" i="10"/>
  <c r="E347" i="10"/>
  <c r="E346" i="10"/>
  <c r="E345" i="10"/>
  <c r="C345" i="10"/>
  <c r="C346" i="10"/>
  <c r="C347" i="10"/>
  <c r="C348" i="10"/>
  <c r="C349" i="10"/>
  <c r="C350" i="10"/>
  <c r="C351" i="10"/>
  <c r="K350" i="10"/>
  <c r="F350" i="10"/>
  <c r="K349" i="10"/>
  <c r="F349" i="10"/>
  <c r="K348" i="10"/>
  <c r="F348" i="10"/>
  <c r="K347" i="10"/>
  <c r="F347" i="10"/>
  <c r="K346" i="10"/>
  <c r="F346" i="10"/>
  <c r="K345" i="10"/>
  <c r="F345" i="10"/>
  <c r="K344" i="10"/>
  <c r="F344" i="10"/>
  <c r="K343" i="10"/>
  <c r="F343" i="10"/>
  <c r="E342" i="10"/>
  <c r="C342" i="10"/>
  <c r="D342" i="10"/>
  <c r="D343" i="10"/>
  <c r="C343" i="10"/>
  <c r="K342" i="10"/>
  <c r="F342" i="10"/>
  <c r="K340" i="10"/>
  <c r="F340" i="10"/>
  <c r="E340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D334" i="10"/>
  <c r="D335" i="10"/>
  <c r="D336" i="10"/>
  <c r="D337" i="10"/>
  <c r="D338" i="10"/>
  <c r="D339" i="10"/>
  <c r="D340" i="10"/>
  <c r="E339" i="10"/>
  <c r="E338" i="10"/>
  <c r="E337" i="10"/>
  <c r="E336" i="10"/>
  <c r="E335" i="10"/>
  <c r="C335" i="10"/>
  <c r="C336" i="10"/>
  <c r="C337" i="10"/>
  <c r="C338" i="10"/>
  <c r="C339" i="10"/>
  <c r="C340" i="10"/>
  <c r="K339" i="10"/>
  <c r="F339" i="10"/>
  <c r="K338" i="10"/>
  <c r="F338" i="10"/>
  <c r="K337" i="10"/>
  <c r="F337" i="10"/>
  <c r="K336" i="10"/>
  <c r="F336" i="10"/>
  <c r="K335" i="10"/>
  <c r="F335" i="10"/>
  <c r="K334" i="10"/>
  <c r="F334" i="10"/>
  <c r="K333" i="10"/>
  <c r="F333" i="10"/>
  <c r="D333" i="10"/>
  <c r="K332" i="10"/>
  <c r="F332" i="10"/>
  <c r="D332" i="10"/>
  <c r="K331" i="10"/>
  <c r="F331" i="10"/>
  <c r="D331" i="10"/>
  <c r="K330" i="10"/>
  <c r="F330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K329" i="10"/>
  <c r="F329" i="10"/>
  <c r="K328" i="10"/>
  <c r="F328" i="10"/>
  <c r="K327" i="10"/>
  <c r="F327" i="10"/>
  <c r="K326" i="10"/>
  <c r="F326" i="10"/>
  <c r="K325" i="10"/>
  <c r="F325" i="10"/>
  <c r="K324" i="10"/>
  <c r="F324" i="10"/>
  <c r="K323" i="10"/>
  <c r="F323" i="10"/>
  <c r="K322" i="10"/>
  <c r="F322" i="10"/>
  <c r="K321" i="10"/>
  <c r="F321" i="10"/>
  <c r="K320" i="10"/>
  <c r="F320" i="10"/>
  <c r="K319" i="10"/>
  <c r="F319" i="10"/>
  <c r="K318" i="10"/>
  <c r="F318" i="10"/>
  <c r="K317" i="10"/>
  <c r="F317" i="10"/>
  <c r="K316" i="10"/>
  <c r="F316" i="10"/>
  <c r="K315" i="10"/>
  <c r="F315" i="10"/>
  <c r="K314" i="10"/>
  <c r="F314" i="10"/>
  <c r="F313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D307" i="10"/>
  <c r="D308" i="10"/>
  <c r="D309" i="10"/>
  <c r="D310" i="10"/>
  <c r="D311" i="10"/>
  <c r="D312" i="10"/>
  <c r="D313" i="10"/>
  <c r="E312" i="10"/>
  <c r="E311" i="10"/>
  <c r="E310" i="10"/>
  <c r="E309" i="10"/>
  <c r="E308" i="10"/>
  <c r="C308" i="10"/>
  <c r="C309" i="10"/>
  <c r="C310" i="10"/>
  <c r="C311" i="10"/>
  <c r="C312" i="10"/>
  <c r="C313" i="10"/>
  <c r="F312" i="10"/>
  <c r="F311" i="10"/>
  <c r="K310" i="10"/>
  <c r="F310" i="10"/>
  <c r="F309" i="10"/>
  <c r="F308" i="10"/>
  <c r="K307" i="10"/>
  <c r="F307" i="10"/>
  <c r="K306" i="10"/>
  <c r="F306" i="10"/>
  <c r="D306" i="10"/>
  <c r="K305" i="10"/>
  <c r="F305" i="10"/>
  <c r="D305" i="10"/>
  <c r="K304" i="10"/>
  <c r="F304" i="10"/>
  <c r="D304" i="10"/>
  <c r="K303" i="10"/>
  <c r="F303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K302" i="10"/>
  <c r="F302" i="10"/>
  <c r="K301" i="10"/>
  <c r="F301" i="10"/>
  <c r="K300" i="10"/>
  <c r="F300" i="10"/>
  <c r="K299" i="10"/>
  <c r="F299" i="10"/>
  <c r="K298" i="10"/>
  <c r="F298" i="10"/>
  <c r="K297" i="10"/>
  <c r="F297" i="10"/>
  <c r="K296" i="10"/>
  <c r="F296" i="10"/>
  <c r="K295" i="10"/>
  <c r="F295" i="10"/>
  <c r="K294" i="10"/>
  <c r="F294" i="10"/>
  <c r="K293" i="10"/>
  <c r="F293" i="10"/>
  <c r="K292" i="10"/>
  <c r="F292" i="10"/>
  <c r="K291" i="10"/>
  <c r="F291" i="10"/>
  <c r="K290" i="10"/>
  <c r="F290" i="10"/>
  <c r="K289" i="10"/>
  <c r="F289" i="10"/>
  <c r="K288" i="10"/>
  <c r="F288" i="10"/>
  <c r="K287" i="10"/>
  <c r="F287" i="10"/>
  <c r="K286" i="10"/>
  <c r="F286" i="10"/>
  <c r="K285" i="10"/>
  <c r="F285" i="10"/>
  <c r="K284" i="10"/>
  <c r="F284" i="10"/>
  <c r="K283" i="10"/>
  <c r="F283" i="10"/>
  <c r="K282" i="10"/>
  <c r="F282" i="10"/>
  <c r="K281" i="10"/>
  <c r="F281" i="10"/>
  <c r="F28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E279" i="10"/>
  <c r="E278" i="10"/>
  <c r="E277" i="10"/>
  <c r="E276" i="10"/>
  <c r="E275" i="10"/>
  <c r="E274" i="10"/>
  <c r="E273" i="10"/>
  <c r="E272" i="10"/>
  <c r="E271" i="10"/>
  <c r="E270" i="10"/>
  <c r="C270" i="10"/>
  <c r="C271" i="10"/>
  <c r="C272" i="10"/>
  <c r="C273" i="10"/>
  <c r="C274" i="10"/>
  <c r="C275" i="10"/>
  <c r="C276" i="10"/>
  <c r="C277" i="10"/>
  <c r="C278" i="10"/>
  <c r="C279" i="10"/>
  <c r="C280" i="10"/>
  <c r="F279" i="10"/>
  <c r="F278" i="10"/>
  <c r="F277" i="10"/>
  <c r="F276" i="10"/>
  <c r="F275" i="10"/>
  <c r="F274" i="10"/>
  <c r="K273" i="10"/>
  <c r="F273" i="10"/>
  <c r="K272" i="10"/>
  <c r="F272" i="10"/>
  <c r="F271" i="10"/>
  <c r="F270" i="10"/>
  <c r="F269" i="10"/>
  <c r="K268" i="10"/>
  <c r="F268" i="10"/>
  <c r="D268" i="10"/>
  <c r="F267" i="10"/>
  <c r="D267" i="10"/>
  <c r="K266" i="10"/>
  <c r="F266" i="10"/>
  <c r="D266" i="10"/>
  <c r="F265" i="10"/>
  <c r="D265" i="10"/>
  <c r="F264" i="10"/>
  <c r="D258" i="10"/>
  <c r="D259" i="10"/>
  <c r="D260" i="10"/>
  <c r="D261" i="10"/>
  <c r="D262" i="10"/>
  <c r="D263" i="10"/>
  <c r="D264" i="10"/>
  <c r="F263" i="10"/>
  <c r="K262" i="10"/>
  <c r="F262" i="10"/>
  <c r="K261" i="10"/>
  <c r="F261" i="10"/>
  <c r="F260" i="10"/>
  <c r="K259" i="10"/>
  <c r="F259" i="10"/>
  <c r="K258" i="10"/>
  <c r="F258" i="10"/>
  <c r="K257" i="10"/>
  <c r="F257" i="10"/>
  <c r="D257" i="10"/>
  <c r="K256" i="10"/>
  <c r="F256" i="10"/>
  <c r="D255" i="10"/>
  <c r="D256" i="10"/>
  <c r="F255" i="10"/>
  <c r="K254" i="10"/>
  <c r="F254" i="10"/>
  <c r="D254" i="10"/>
  <c r="K253" i="10"/>
  <c r="F253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K252" i="10"/>
  <c r="F252" i="10"/>
  <c r="K251" i="10"/>
  <c r="F251" i="10"/>
  <c r="K250" i="10"/>
  <c r="F250" i="10"/>
  <c r="K249" i="10"/>
  <c r="F249" i="10"/>
  <c r="K248" i="10"/>
  <c r="F248" i="10"/>
  <c r="K247" i="10"/>
  <c r="F247" i="10"/>
  <c r="K246" i="10"/>
  <c r="F246" i="10"/>
  <c r="K245" i="10"/>
  <c r="F245" i="10"/>
  <c r="K244" i="10"/>
  <c r="F244" i="10"/>
  <c r="K243" i="10"/>
  <c r="F243" i="10"/>
  <c r="K242" i="10"/>
  <c r="F242" i="10"/>
  <c r="K241" i="10"/>
  <c r="F241" i="10"/>
  <c r="K240" i="10"/>
  <c r="F240" i="10"/>
  <c r="K239" i="10"/>
  <c r="F239" i="10"/>
  <c r="K238" i="10"/>
  <c r="F238" i="10"/>
  <c r="K237" i="10"/>
  <c r="F237" i="10"/>
  <c r="K236" i="10"/>
  <c r="F236" i="10"/>
  <c r="K235" i="10"/>
  <c r="F235" i="10"/>
  <c r="K234" i="10"/>
  <c r="F234" i="10"/>
  <c r="K233" i="10"/>
  <c r="F233" i="10"/>
  <c r="K232" i="10"/>
  <c r="F232" i="10"/>
  <c r="K231" i="10"/>
  <c r="F231" i="10"/>
  <c r="K230" i="10"/>
  <c r="F230" i="10"/>
  <c r="K229" i="10"/>
  <c r="F229" i="10"/>
  <c r="K228" i="10"/>
  <c r="F228" i="10"/>
  <c r="K227" i="10"/>
  <c r="F227" i="10"/>
  <c r="K226" i="10"/>
  <c r="F226" i="10"/>
  <c r="K225" i="10"/>
  <c r="F225" i="10"/>
  <c r="K224" i="10"/>
  <c r="F224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F223" i="10"/>
  <c r="F222" i="10"/>
  <c r="F221" i="10"/>
  <c r="F220" i="10"/>
  <c r="K219" i="10"/>
  <c r="F219" i="10"/>
  <c r="K218" i="10"/>
  <c r="F218" i="10"/>
  <c r="K217" i="10"/>
  <c r="F217" i="10"/>
  <c r="K216" i="10"/>
  <c r="F216" i="10"/>
  <c r="F215" i="10"/>
  <c r="F214" i="10"/>
  <c r="F213" i="10"/>
  <c r="K212" i="10"/>
  <c r="F212" i="10"/>
  <c r="F211" i="10"/>
  <c r="K210" i="10"/>
  <c r="F210" i="10"/>
  <c r="F209" i="10"/>
  <c r="F208" i="10"/>
  <c r="F207" i="10"/>
  <c r="D207" i="10"/>
  <c r="K206" i="10"/>
  <c r="F206" i="10"/>
  <c r="D206" i="10"/>
  <c r="F205" i="10"/>
  <c r="D202" i="10"/>
  <c r="D203" i="10"/>
  <c r="D204" i="10"/>
  <c r="D205" i="10"/>
  <c r="F204" i="10"/>
  <c r="F203" i="10"/>
  <c r="F202" i="10"/>
  <c r="K201" i="10"/>
  <c r="F201" i="10"/>
  <c r="D201" i="10"/>
  <c r="K200" i="10"/>
  <c r="F200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K199" i="10"/>
  <c r="F199" i="10"/>
  <c r="K198" i="10"/>
  <c r="F198" i="10"/>
  <c r="K197" i="10"/>
  <c r="F197" i="10"/>
  <c r="K196" i="10"/>
  <c r="F196" i="10"/>
  <c r="K195" i="10"/>
  <c r="F195" i="10"/>
  <c r="K194" i="10"/>
  <c r="F194" i="10"/>
  <c r="K193" i="10"/>
  <c r="F193" i="10"/>
  <c r="K192" i="10"/>
  <c r="F192" i="10"/>
  <c r="K191" i="10"/>
  <c r="F191" i="10"/>
  <c r="K190" i="10"/>
  <c r="F190" i="10"/>
  <c r="K189" i="10"/>
  <c r="F189" i="10"/>
  <c r="K188" i="10"/>
  <c r="F188" i="10"/>
  <c r="K187" i="10"/>
  <c r="F187" i="10"/>
  <c r="K186" i="10"/>
  <c r="F186" i="10"/>
  <c r="K185" i="10"/>
  <c r="F185" i="10"/>
  <c r="K184" i="10"/>
  <c r="F184" i="10"/>
  <c r="K183" i="10"/>
  <c r="F183" i="10"/>
  <c r="K182" i="10"/>
  <c r="F182" i="10"/>
  <c r="K181" i="10"/>
  <c r="F181" i="10"/>
  <c r="K180" i="10"/>
  <c r="F180" i="10"/>
  <c r="K179" i="10"/>
  <c r="F179" i="10"/>
  <c r="K178" i="10"/>
  <c r="F178" i="10"/>
  <c r="K177" i="10"/>
  <c r="F177" i="10"/>
  <c r="K176" i="10"/>
  <c r="F176" i="10"/>
  <c r="K175" i="10"/>
  <c r="F175" i="10"/>
  <c r="K174" i="10"/>
  <c r="F174" i="10"/>
  <c r="K173" i="10"/>
  <c r="F173" i="10"/>
  <c r="K172" i="10"/>
  <c r="F172" i="10"/>
  <c r="F171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F170" i="10"/>
  <c r="F169" i="10"/>
  <c r="F168" i="10"/>
  <c r="F167" i="10"/>
  <c r="K166" i="10"/>
  <c r="F166" i="10"/>
  <c r="K165" i="10"/>
  <c r="F165" i="10"/>
  <c r="K164" i="10"/>
  <c r="F164" i="10"/>
  <c r="K163" i="10"/>
  <c r="F163" i="10"/>
  <c r="F162" i="10"/>
  <c r="K161" i="10"/>
  <c r="F161" i="10"/>
  <c r="F160" i="10"/>
  <c r="K159" i="10"/>
  <c r="F159" i="10"/>
  <c r="F158" i="10"/>
  <c r="F157" i="10"/>
  <c r="F156" i="10"/>
  <c r="F155" i="10"/>
  <c r="F154" i="10"/>
  <c r="K153" i="10"/>
  <c r="F153" i="10"/>
  <c r="K152" i="10"/>
  <c r="F152" i="10"/>
  <c r="K151" i="10"/>
  <c r="F151" i="10"/>
  <c r="K150" i="10"/>
  <c r="F150" i="10"/>
  <c r="F149" i="10"/>
  <c r="F148" i="10"/>
  <c r="F147" i="10"/>
  <c r="D147" i="10"/>
  <c r="F146" i="10"/>
  <c r="D146" i="10"/>
  <c r="F145" i="10"/>
  <c r="D145" i="10"/>
  <c r="F144" i="10"/>
  <c r="D142" i="10"/>
  <c r="D143" i="10"/>
  <c r="D144" i="10"/>
  <c r="F143" i="10"/>
  <c r="K142" i="10"/>
  <c r="F142" i="10"/>
  <c r="K141" i="10"/>
  <c r="F141" i="10"/>
  <c r="D139" i="10"/>
  <c r="D140" i="10"/>
  <c r="D141" i="10"/>
  <c r="F140" i="10"/>
  <c r="K139" i="10"/>
  <c r="F139" i="10"/>
  <c r="K138" i="10"/>
  <c r="F138" i="10"/>
  <c r="D137" i="10"/>
  <c r="D138" i="10"/>
  <c r="K137" i="10"/>
  <c r="F137" i="10"/>
  <c r="K136" i="10"/>
  <c r="F136" i="10"/>
  <c r="D136" i="10"/>
  <c r="K135" i="10"/>
  <c r="F135" i="10"/>
  <c r="D134" i="10"/>
  <c r="D135" i="10"/>
  <c r="K134" i="10"/>
  <c r="F134" i="10"/>
  <c r="K133" i="10"/>
  <c r="F133" i="10"/>
  <c r="D133" i="10"/>
  <c r="K132" i="10"/>
  <c r="F13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K131" i="10"/>
  <c r="F131" i="10"/>
  <c r="K130" i="10"/>
  <c r="F130" i="10"/>
  <c r="K129" i="10"/>
  <c r="F129" i="10"/>
  <c r="K128" i="10"/>
  <c r="F128" i="10"/>
  <c r="K127" i="10"/>
  <c r="F127" i="10"/>
  <c r="K126" i="10"/>
  <c r="F126" i="10"/>
  <c r="K125" i="10"/>
  <c r="F125" i="10"/>
  <c r="K124" i="10"/>
  <c r="F124" i="10"/>
  <c r="K123" i="10"/>
  <c r="F123" i="10"/>
  <c r="K122" i="10"/>
  <c r="F122" i="10"/>
  <c r="K121" i="10"/>
  <c r="F121" i="10"/>
  <c r="K120" i="10"/>
  <c r="F120" i="10"/>
  <c r="K119" i="10"/>
  <c r="F119" i="10"/>
  <c r="K118" i="10"/>
  <c r="F118" i="10"/>
  <c r="K117" i="10"/>
  <c r="F117" i="10"/>
  <c r="K116" i="10"/>
  <c r="F116" i="10"/>
  <c r="K115" i="10"/>
  <c r="F115" i="10"/>
  <c r="K114" i="10"/>
  <c r="F114" i="10"/>
  <c r="K113" i="10"/>
  <c r="F113" i="10"/>
  <c r="K112" i="10"/>
  <c r="F112" i="10"/>
  <c r="K111" i="10"/>
  <c r="F111" i="10"/>
  <c r="K110" i="10"/>
  <c r="F110" i="10"/>
  <c r="K109" i="10"/>
  <c r="F109" i="10"/>
  <c r="K108" i="10"/>
  <c r="F108" i="10"/>
  <c r="K107" i="10"/>
  <c r="F107" i="10"/>
  <c r="K106" i="10"/>
  <c r="F106" i="10"/>
  <c r="K105" i="10"/>
  <c r="F105" i="10"/>
  <c r="K104" i="10"/>
  <c r="F104" i="10"/>
  <c r="K103" i="10"/>
  <c r="F103" i="10"/>
  <c r="K102" i="10"/>
  <c r="F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D102" i="10"/>
  <c r="K101" i="10"/>
  <c r="F101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K100" i="10"/>
  <c r="F100" i="10"/>
  <c r="K99" i="10"/>
  <c r="F99" i="10"/>
  <c r="F98" i="10"/>
  <c r="K97" i="10"/>
  <c r="F97" i="10"/>
  <c r="F96" i="10"/>
  <c r="K95" i="10"/>
  <c r="F95" i="10"/>
  <c r="F94" i="10"/>
  <c r="K93" i="10"/>
  <c r="F93" i="10"/>
  <c r="F92" i="10"/>
  <c r="K91" i="10"/>
  <c r="F91" i="10"/>
  <c r="K90" i="10"/>
  <c r="F90" i="10"/>
  <c r="F89" i="10"/>
  <c r="F88" i="10"/>
  <c r="K87" i="10"/>
  <c r="F87" i="10"/>
  <c r="K86" i="10"/>
  <c r="F86" i="10"/>
  <c r="F85" i="10"/>
  <c r="K84" i="10"/>
  <c r="F84" i="10"/>
  <c r="K83" i="10"/>
  <c r="F83" i="10"/>
  <c r="K82" i="10"/>
  <c r="F82" i="10"/>
  <c r="K81" i="10"/>
  <c r="F81" i="10"/>
  <c r="K80" i="10"/>
  <c r="F80" i="10"/>
  <c r="D79" i="10"/>
  <c r="D80" i="10"/>
  <c r="K79" i="10"/>
  <c r="F79" i="10"/>
  <c r="K78" i="10"/>
  <c r="F78" i="10"/>
  <c r="D78" i="10"/>
  <c r="K77" i="10"/>
  <c r="F77" i="10"/>
  <c r="D76" i="10"/>
  <c r="D77" i="10"/>
  <c r="K76" i="10"/>
  <c r="F76" i="10"/>
  <c r="K75" i="10"/>
  <c r="F75" i="10"/>
  <c r="D75" i="10"/>
  <c r="K74" i="10"/>
  <c r="F74" i="10"/>
  <c r="D74" i="10"/>
  <c r="K73" i="10"/>
  <c r="F73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K72" i="10"/>
  <c r="F72" i="10"/>
  <c r="K71" i="10"/>
  <c r="F71" i="10"/>
  <c r="K70" i="10"/>
  <c r="F70" i="10"/>
  <c r="K69" i="10"/>
  <c r="F69" i="10"/>
  <c r="K68" i="10"/>
  <c r="F68" i="10"/>
  <c r="K67" i="10"/>
  <c r="F67" i="10"/>
  <c r="K66" i="10"/>
  <c r="F66" i="10"/>
  <c r="K65" i="10"/>
  <c r="F65" i="10"/>
  <c r="K64" i="10"/>
  <c r="F64" i="10"/>
  <c r="K63" i="10"/>
  <c r="F63" i="10"/>
  <c r="K62" i="10"/>
  <c r="F62" i="10"/>
  <c r="K61" i="10"/>
  <c r="F61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K60" i="10"/>
  <c r="F60" i="10"/>
  <c r="K59" i="10"/>
  <c r="F59" i="10"/>
  <c r="K58" i="10"/>
  <c r="F58" i="10"/>
  <c r="K57" i="10"/>
  <c r="F57" i="10"/>
  <c r="K56" i="10"/>
  <c r="F56" i="10"/>
  <c r="K55" i="10"/>
  <c r="F55" i="10"/>
  <c r="K54" i="10"/>
  <c r="F54" i="10"/>
  <c r="K53" i="10"/>
  <c r="F53" i="10"/>
  <c r="K52" i="10"/>
  <c r="F52" i="10"/>
  <c r="K51" i="10"/>
  <c r="F51" i="10"/>
  <c r="K50" i="10"/>
  <c r="F50" i="10"/>
  <c r="K49" i="10"/>
  <c r="F49" i="10"/>
  <c r="K48" i="10"/>
  <c r="F48" i="10"/>
  <c r="K47" i="10"/>
  <c r="F47" i="10"/>
  <c r="K46" i="10"/>
  <c r="F46" i="10"/>
  <c r="K45" i="10"/>
  <c r="F45" i="10"/>
  <c r="D45" i="10"/>
  <c r="F44" i="10"/>
  <c r="D44" i="10"/>
  <c r="F43" i="10"/>
  <c r="D43" i="10"/>
  <c r="F42" i="10"/>
  <c r="D42" i="10"/>
  <c r="F41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F40" i="10"/>
  <c r="K39" i="10"/>
  <c r="F39" i="10"/>
  <c r="K38" i="10"/>
  <c r="F38" i="10"/>
  <c r="K37" i="10"/>
  <c r="F37" i="10"/>
  <c r="K36" i="10"/>
  <c r="F36" i="10"/>
  <c r="F35" i="10"/>
  <c r="F34" i="10"/>
  <c r="F33" i="10"/>
  <c r="K32" i="10"/>
  <c r="F32" i="10"/>
  <c r="F31" i="10"/>
  <c r="K30" i="10"/>
  <c r="F30" i="10"/>
  <c r="K29" i="10"/>
  <c r="F29" i="10"/>
  <c r="F28" i="10"/>
  <c r="F27" i="10"/>
  <c r="F26" i="10"/>
  <c r="F25" i="10"/>
  <c r="F24" i="10"/>
  <c r="K23" i="10"/>
  <c r="F23" i="10"/>
  <c r="K22" i="10"/>
  <c r="F22" i="10"/>
  <c r="K21" i="10"/>
  <c r="F21" i="10"/>
  <c r="F20" i="10"/>
  <c r="D20" i="10"/>
  <c r="F19" i="10"/>
  <c r="D19" i="10"/>
  <c r="K18" i="10"/>
  <c r="F18" i="10"/>
  <c r="D16" i="10"/>
  <c r="D17" i="10"/>
  <c r="D18" i="10"/>
  <c r="F17" i="10"/>
  <c r="K16" i="10"/>
  <c r="F16" i="10"/>
  <c r="K15" i="10"/>
  <c r="F15" i="10"/>
  <c r="D15" i="10"/>
  <c r="K14" i="10"/>
  <c r="F14" i="10"/>
  <c r="D14" i="10"/>
  <c r="F13" i="10"/>
  <c r="D13" i="10"/>
  <c r="K12" i="10"/>
  <c r="F12" i="10"/>
  <c r="D5" i="10"/>
  <c r="D6" i="10"/>
  <c r="D7" i="10"/>
  <c r="D8" i="10"/>
  <c r="D9" i="10"/>
  <c r="D10" i="10"/>
  <c r="D11" i="10"/>
  <c r="D12" i="10"/>
  <c r="K11" i="10"/>
  <c r="F11" i="10"/>
  <c r="K10" i="10"/>
  <c r="F10" i="10"/>
  <c r="K9" i="10"/>
  <c r="F9" i="10"/>
  <c r="K8" i="10"/>
  <c r="F8" i="10"/>
  <c r="K7" i="10"/>
  <c r="F7" i="10"/>
  <c r="K6" i="10"/>
  <c r="F6" i="10"/>
  <c r="K5" i="10"/>
  <c r="F5" i="10"/>
  <c r="K4" i="10"/>
  <c r="F4" i="10"/>
  <c r="E3" i="10"/>
  <c r="E2" i="10"/>
  <c r="C2" i="10"/>
  <c r="C3" i="10"/>
  <c r="C4" i="10"/>
  <c r="D4" i="10"/>
  <c r="K3" i="10"/>
  <c r="F3" i="10"/>
  <c r="D3" i="10"/>
  <c r="K2" i="10"/>
  <c r="F2" i="10"/>
  <c r="D2" i="10"/>
  <c r="R1" i="10"/>
  <c r="S1" i="10"/>
  <c r="T1" i="10"/>
  <c r="U1" i="10"/>
  <c r="V1" i="10"/>
  <c r="W1" i="10"/>
  <c r="X1" i="10"/>
  <c r="Y1" i="10"/>
  <c r="Z1" i="10"/>
  <c r="AA1" i="10"/>
  <c r="AB1" i="10"/>
  <c r="AC1" i="10"/>
  <c r="AU147" i="9"/>
  <c r="AT147" i="9"/>
  <c r="E133" i="9"/>
  <c r="E134" i="9"/>
  <c r="E135" i="9"/>
  <c r="E136" i="9"/>
  <c r="G133" i="9"/>
  <c r="G134" i="9"/>
  <c r="G135" i="9"/>
  <c r="G136" i="9"/>
  <c r="J132" i="9"/>
  <c r="E10" i="9"/>
  <c r="V94" i="9"/>
  <c r="B126" i="9"/>
  <c r="B143" i="9"/>
  <c r="E8" i="9"/>
  <c r="B79" i="9"/>
  <c r="AT79" i="9"/>
  <c r="B80" i="9"/>
  <c r="AT80" i="9"/>
  <c r="AC73" i="9"/>
  <c r="AC31" i="9"/>
  <c r="AC32" i="9"/>
  <c r="AC33" i="9"/>
  <c r="AC34" i="9"/>
  <c r="AC35" i="9"/>
  <c r="AC64" i="9"/>
  <c r="AE64" i="9"/>
  <c r="AC65" i="9"/>
  <c r="AE31" i="9"/>
  <c r="AE32" i="9"/>
  <c r="AE33" i="9"/>
  <c r="AE34" i="9"/>
  <c r="AE35" i="9"/>
  <c r="AE65" i="9"/>
  <c r="AC66" i="9"/>
  <c r="AE66" i="9"/>
  <c r="AC67" i="9"/>
  <c r="AE67" i="9"/>
  <c r="AC68" i="9"/>
  <c r="AE68" i="9"/>
  <c r="AD71" i="9"/>
  <c r="AE73" i="9"/>
  <c r="Z73" i="9"/>
  <c r="AB73" i="9"/>
  <c r="W73" i="9"/>
  <c r="Y73" i="9"/>
  <c r="T64" i="9"/>
  <c r="V64" i="9"/>
  <c r="T31" i="9"/>
  <c r="T32" i="9"/>
  <c r="T33" i="9"/>
  <c r="T34" i="9"/>
  <c r="T35" i="9"/>
  <c r="T65" i="9"/>
  <c r="V65" i="9"/>
  <c r="T66" i="9"/>
  <c r="V31" i="9"/>
  <c r="V32" i="9"/>
  <c r="V33" i="9"/>
  <c r="V34" i="9"/>
  <c r="V35" i="9"/>
  <c r="V66" i="9"/>
  <c r="T67" i="9"/>
  <c r="V67" i="9"/>
  <c r="T68" i="9"/>
  <c r="V68" i="9"/>
  <c r="U71" i="9"/>
  <c r="T73" i="9"/>
  <c r="Q73" i="9"/>
  <c r="S73" i="9"/>
  <c r="N73" i="9"/>
  <c r="P73" i="9"/>
  <c r="K64" i="9"/>
  <c r="M64" i="9"/>
  <c r="K31" i="9"/>
  <c r="K32" i="9"/>
  <c r="K33" i="9"/>
  <c r="K34" i="9"/>
  <c r="K35" i="9"/>
  <c r="K65" i="9"/>
  <c r="M65" i="9"/>
  <c r="K66" i="9"/>
  <c r="M66" i="9"/>
  <c r="K67" i="9"/>
  <c r="M31" i="9"/>
  <c r="M32" i="9"/>
  <c r="M33" i="9"/>
  <c r="M34" i="9"/>
  <c r="M35" i="9"/>
  <c r="M67" i="9"/>
  <c r="K68" i="9"/>
  <c r="M68" i="9"/>
  <c r="L71" i="9"/>
  <c r="K73" i="9"/>
  <c r="H73" i="9"/>
  <c r="J73" i="9"/>
  <c r="E73" i="9"/>
  <c r="G73" i="9"/>
  <c r="B64" i="9"/>
  <c r="D64" i="9"/>
  <c r="B31" i="9"/>
  <c r="B32" i="9"/>
  <c r="B33" i="9"/>
  <c r="B34" i="9"/>
  <c r="B35" i="9"/>
  <c r="B65" i="9"/>
  <c r="D65" i="9"/>
  <c r="B66" i="9"/>
  <c r="D66" i="9"/>
  <c r="B67" i="9"/>
  <c r="D67" i="9"/>
  <c r="B68" i="9"/>
  <c r="D31" i="9"/>
  <c r="D32" i="9"/>
  <c r="D33" i="9"/>
  <c r="D34" i="9"/>
  <c r="D35" i="9"/>
  <c r="D68" i="9"/>
  <c r="C71" i="9"/>
  <c r="B73" i="9"/>
  <c r="C80" i="9"/>
  <c r="B85" i="9"/>
  <c r="B36" i="9"/>
  <c r="E16" i="9"/>
  <c r="B83" i="9"/>
  <c r="C83" i="9"/>
  <c r="D85" i="9"/>
  <c r="D36" i="9"/>
  <c r="B86" i="9"/>
  <c r="B87" i="9"/>
  <c r="D80" i="9"/>
  <c r="G80" i="9"/>
  <c r="J80" i="9"/>
  <c r="K85" i="9"/>
  <c r="K36" i="9"/>
  <c r="H75" i="9"/>
  <c r="J75" i="9"/>
  <c r="E75" i="9"/>
  <c r="E31" i="9"/>
  <c r="E32" i="9"/>
  <c r="E33" i="9"/>
  <c r="E34" i="9"/>
  <c r="E35" i="9"/>
  <c r="E64" i="9"/>
  <c r="G64" i="9"/>
  <c r="E65" i="9"/>
  <c r="G65" i="9"/>
  <c r="E66" i="9"/>
  <c r="G66" i="9"/>
  <c r="E67" i="9"/>
  <c r="G31" i="9"/>
  <c r="G32" i="9"/>
  <c r="G33" i="9"/>
  <c r="G34" i="9"/>
  <c r="G35" i="9"/>
  <c r="G67" i="9"/>
  <c r="E68" i="9"/>
  <c r="G68" i="9"/>
  <c r="F71" i="9"/>
  <c r="G75" i="9"/>
  <c r="B75" i="9"/>
  <c r="D75" i="9"/>
  <c r="E14" i="9"/>
  <c r="B82" i="9"/>
  <c r="C82" i="9"/>
  <c r="D82" i="9"/>
  <c r="G85" i="9"/>
  <c r="G36" i="9"/>
  <c r="B72" i="9"/>
  <c r="D72" i="9"/>
  <c r="C79" i="9"/>
  <c r="D79" i="9"/>
  <c r="E85" i="9"/>
  <c r="E36" i="9"/>
  <c r="G86" i="9"/>
  <c r="G87" i="9"/>
  <c r="G82" i="9"/>
  <c r="J82" i="9"/>
  <c r="M85" i="9"/>
  <c r="M36" i="9"/>
  <c r="K86" i="9"/>
  <c r="K87" i="9"/>
  <c r="M80" i="9"/>
  <c r="P80" i="9"/>
  <c r="S80" i="9"/>
  <c r="T85" i="9"/>
  <c r="T36" i="9"/>
  <c r="Q74" i="9"/>
  <c r="S74" i="9"/>
  <c r="N74" i="9"/>
  <c r="N31" i="9"/>
  <c r="N32" i="9"/>
  <c r="N33" i="9"/>
  <c r="N34" i="9"/>
  <c r="N35" i="9"/>
  <c r="N64" i="9"/>
  <c r="P64" i="9"/>
  <c r="N65" i="9"/>
  <c r="P65" i="9"/>
  <c r="N66" i="9"/>
  <c r="P31" i="9"/>
  <c r="P32" i="9"/>
  <c r="P33" i="9"/>
  <c r="P34" i="9"/>
  <c r="P35" i="9"/>
  <c r="P66" i="9"/>
  <c r="N67" i="9"/>
  <c r="P67" i="9"/>
  <c r="N68" i="9"/>
  <c r="P68" i="9"/>
  <c r="O71" i="9"/>
  <c r="P74" i="9"/>
  <c r="K74" i="9"/>
  <c r="M74" i="9"/>
  <c r="H64" i="9"/>
  <c r="J64" i="9"/>
  <c r="H65" i="9"/>
  <c r="J65" i="9"/>
  <c r="H31" i="9"/>
  <c r="H32" i="9"/>
  <c r="H33" i="9"/>
  <c r="H34" i="9"/>
  <c r="H35" i="9"/>
  <c r="H66" i="9"/>
  <c r="J66" i="9"/>
  <c r="H67" i="9"/>
  <c r="J67" i="9"/>
  <c r="H68" i="9"/>
  <c r="J31" i="9"/>
  <c r="J32" i="9"/>
  <c r="J33" i="9"/>
  <c r="J34" i="9"/>
  <c r="J35" i="9"/>
  <c r="J68" i="9"/>
  <c r="I71" i="9"/>
  <c r="H74" i="9"/>
  <c r="E74" i="9"/>
  <c r="G74" i="9"/>
  <c r="B74" i="9"/>
  <c r="D74" i="9"/>
  <c r="E12" i="9"/>
  <c r="B81" i="9"/>
  <c r="C81" i="9"/>
  <c r="D81" i="9"/>
  <c r="G81" i="9"/>
  <c r="H85" i="9"/>
  <c r="H36" i="9"/>
  <c r="E76" i="9"/>
  <c r="G76" i="9"/>
  <c r="B76" i="9"/>
  <c r="D76" i="9"/>
  <c r="D86" i="9"/>
  <c r="D87" i="9"/>
  <c r="D83" i="9"/>
  <c r="G83" i="9"/>
  <c r="J85" i="9"/>
  <c r="J36" i="9"/>
  <c r="H86" i="9"/>
  <c r="H87" i="9"/>
  <c r="J81" i="9"/>
  <c r="M81" i="9"/>
  <c r="P85" i="9"/>
  <c r="P36" i="9"/>
  <c r="K72" i="9"/>
  <c r="M72" i="9"/>
  <c r="H72" i="9"/>
  <c r="J72" i="9"/>
  <c r="E72" i="9"/>
  <c r="E86" i="9"/>
  <c r="E87" i="9"/>
  <c r="G79" i="9"/>
  <c r="J79" i="9"/>
  <c r="M79" i="9"/>
  <c r="N85" i="9"/>
  <c r="N36" i="9"/>
  <c r="P86" i="9"/>
  <c r="P87" i="9"/>
  <c r="P81" i="9"/>
  <c r="S81" i="9"/>
  <c r="V85" i="9"/>
  <c r="V36" i="9"/>
  <c r="T86" i="9"/>
  <c r="T87" i="9"/>
  <c r="V80" i="9"/>
  <c r="Y80" i="9"/>
  <c r="AB80" i="9"/>
  <c r="AE85" i="9"/>
  <c r="AE36" i="9"/>
  <c r="Z72" i="9"/>
  <c r="AB72" i="9"/>
  <c r="W31" i="9"/>
  <c r="W32" i="9"/>
  <c r="W33" i="9"/>
  <c r="W34" i="9"/>
  <c r="W35" i="9"/>
  <c r="W64" i="9"/>
  <c r="Y64" i="9"/>
  <c r="W65" i="9"/>
  <c r="Y65" i="9"/>
  <c r="W66" i="9"/>
  <c r="Y66" i="9"/>
  <c r="W67" i="9"/>
  <c r="Y67" i="9"/>
  <c r="W68" i="9"/>
  <c r="Y31" i="9"/>
  <c r="Y32" i="9"/>
  <c r="Y33" i="9"/>
  <c r="Y34" i="9"/>
  <c r="Y35" i="9"/>
  <c r="Y68" i="9"/>
  <c r="X71" i="9"/>
  <c r="W72" i="9"/>
  <c r="T72" i="9"/>
  <c r="V72" i="9"/>
  <c r="Q72" i="9"/>
  <c r="S72" i="9"/>
  <c r="N72" i="9"/>
  <c r="N86" i="9"/>
  <c r="N87" i="9"/>
  <c r="P79" i="9"/>
  <c r="S79" i="9"/>
  <c r="V79" i="9"/>
  <c r="W85" i="9"/>
  <c r="W36" i="9"/>
  <c r="T76" i="9"/>
  <c r="V76" i="9"/>
  <c r="Q76" i="9"/>
  <c r="Q64" i="9"/>
  <c r="S64" i="9"/>
  <c r="Q65" i="9"/>
  <c r="S65" i="9"/>
  <c r="Q66" i="9"/>
  <c r="S66" i="9"/>
  <c r="Q31" i="9"/>
  <c r="Q32" i="9"/>
  <c r="Q33" i="9"/>
  <c r="Q34" i="9"/>
  <c r="Q35" i="9"/>
  <c r="Q67" i="9"/>
  <c r="S67" i="9"/>
  <c r="Q68" i="9"/>
  <c r="S31" i="9"/>
  <c r="S32" i="9"/>
  <c r="S33" i="9"/>
  <c r="S34" i="9"/>
  <c r="S35" i="9"/>
  <c r="S68" i="9"/>
  <c r="R71" i="9"/>
  <c r="S76" i="9"/>
  <c r="N76" i="9"/>
  <c r="P76" i="9"/>
  <c r="K76" i="9"/>
  <c r="M76" i="9"/>
  <c r="H76" i="9"/>
  <c r="J76" i="9"/>
  <c r="J86" i="9"/>
  <c r="J87" i="9"/>
  <c r="J83" i="9"/>
  <c r="M83" i="9"/>
  <c r="P83" i="9"/>
  <c r="S85" i="9"/>
  <c r="S36" i="9"/>
  <c r="N75" i="9"/>
  <c r="P75" i="9"/>
  <c r="K75" i="9"/>
  <c r="M75" i="9"/>
  <c r="M86" i="9"/>
  <c r="M87" i="9"/>
  <c r="M82" i="9"/>
  <c r="P82" i="9"/>
  <c r="Q85" i="9"/>
  <c r="Q36" i="9"/>
  <c r="S86" i="9"/>
  <c r="S87" i="9"/>
  <c r="S83" i="9"/>
  <c r="V83" i="9"/>
  <c r="Y85" i="9"/>
  <c r="Y36" i="9"/>
  <c r="W86" i="9"/>
  <c r="W87" i="9"/>
  <c r="Y79" i="9"/>
  <c r="AB79" i="9"/>
  <c r="AC85" i="9"/>
  <c r="AC36" i="9"/>
  <c r="AE86" i="9"/>
  <c r="AE87" i="9"/>
  <c r="AE80" i="9"/>
  <c r="AU80" i="9"/>
  <c r="AX4" i="9"/>
  <c r="C143" i="9"/>
  <c r="D143" i="9"/>
  <c r="G145" i="9"/>
  <c r="L94" i="9"/>
  <c r="B125" i="9"/>
  <c r="B142" i="9"/>
  <c r="AT81" i="9"/>
  <c r="AC74" i="9"/>
  <c r="AE74" i="9"/>
  <c r="Z64" i="9"/>
  <c r="AB64" i="9"/>
  <c r="Z65" i="9"/>
  <c r="AB65" i="9"/>
  <c r="Z31" i="9"/>
  <c r="Z32" i="9"/>
  <c r="Z33" i="9"/>
  <c r="Z34" i="9"/>
  <c r="Z35" i="9"/>
  <c r="Z66" i="9"/>
  <c r="AB66" i="9"/>
  <c r="Z67" i="9"/>
  <c r="AB31" i="9"/>
  <c r="AB32" i="9"/>
  <c r="AB33" i="9"/>
  <c r="AB34" i="9"/>
  <c r="AB35" i="9"/>
  <c r="AB67" i="9"/>
  <c r="Z68" i="9"/>
  <c r="AB68" i="9"/>
  <c r="AA71" i="9"/>
  <c r="Z74" i="9"/>
  <c r="W74" i="9"/>
  <c r="Y74" i="9"/>
  <c r="T74" i="9"/>
  <c r="V74" i="9"/>
  <c r="V86" i="9"/>
  <c r="V87" i="9"/>
  <c r="V81" i="9"/>
  <c r="Y81" i="9"/>
  <c r="Z85" i="9"/>
  <c r="Z36" i="9"/>
  <c r="W75" i="9"/>
  <c r="Y75" i="9"/>
  <c r="T75" i="9"/>
  <c r="V75" i="9"/>
  <c r="Q75" i="9"/>
  <c r="Q86" i="9"/>
  <c r="Q87" i="9"/>
  <c r="S82" i="9"/>
  <c r="V82" i="9"/>
  <c r="Y82" i="9"/>
  <c r="AB85" i="9"/>
  <c r="AB36" i="9"/>
  <c r="Z86" i="9"/>
  <c r="Z87" i="9"/>
  <c r="AB81" i="9"/>
  <c r="AE81" i="9"/>
  <c r="AU81" i="9"/>
  <c r="AX5" i="9"/>
  <c r="C142" i="9"/>
  <c r="D142" i="9"/>
  <c r="E145" i="9"/>
  <c r="G146" i="9"/>
  <c r="G147" i="9"/>
  <c r="G143" i="9"/>
  <c r="J145" i="9"/>
  <c r="J133" i="9"/>
  <c r="J134" i="9"/>
  <c r="J135" i="9"/>
  <c r="J136" i="9"/>
  <c r="H133" i="9"/>
  <c r="H134" i="9"/>
  <c r="H135" i="9"/>
  <c r="H136" i="9"/>
  <c r="B133" i="9"/>
  <c r="B134" i="9"/>
  <c r="B135" i="9"/>
  <c r="B136" i="9"/>
  <c r="D133" i="9"/>
  <c r="D134" i="9"/>
  <c r="D135" i="9"/>
  <c r="D136" i="9"/>
  <c r="H132" i="9"/>
  <c r="B94" i="9"/>
  <c r="B124" i="9"/>
  <c r="B141" i="9"/>
  <c r="AT82" i="9"/>
  <c r="AT83" i="9"/>
  <c r="AC76" i="9"/>
  <c r="AE76" i="9"/>
  <c r="Z76" i="9"/>
  <c r="AB76" i="9"/>
  <c r="W76" i="9"/>
  <c r="Y76" i="9"/>
  <c r="Y86" i="9"/>
  <c r="Y87" i="9"/>
  <c r="Y83" i="9"/>
  <c r="AB83" i="9"/>
  <c r="AE83" i="9"/>
  <c r="AU83" i="9"/>
  <c r="AX7" i="9"/>
  <c r="C141" i="9"/>
  <c r="B145" i="9"/>
  <c r="AF94" i="9"/>
  <c r="B127" i="9"/>
  <c r="B144" i="9"/>
  <c r="AC72" i="9"/>
  <c r="AC86" i="9"/>
  <c r="AC87" i="9"/>
  <c r="AE79" i="9"/>
  <c r="AU79" i="9"/>
  <c r="AX3" i="9"/>
  <c r="C144" i="9"/>
  <c r="D145" i="9"/>
  <c r="B146" i="9"/>
  <c r="B147" i="9"/>
  <c r="D141" i="9"/>
  <c r="G141" i="9"/>
  <c r="H145" i="9"/>
  <c r="J146" i="9"/>
  <c r="J147" i="9"/>
  <c r="H146" i="9"/>
  <c r="H147" i="9"/>
  <c r="E146" i="9"/>
  <c r="E147" i="9"/>
  <c r="D146" i="9"/>
  <c r="D147" i="9"/>
  <c r="AU146" i="9"/>
  <c r="AT146" i="9"/>
  <c r="AU145" i="9"/>
  <c r="AT145" i="9"/>
  <c r="AU144" i="9"/>
  <c r="AT144" i="9"/>
  <c r="D144" i="9"/>
  <c r="G144" i="9"/>
  <c r="J144" i="9"/>
  <c r="AU143" i="9"/>
  <c r="AT143" i="9"/>
  <c r="J143" i="9"/>
  <c r="AU142" i="9"/>
  <c r="AT142" i="9"/>
  <c r="G142" i="9"/>
  <c r="J142" i="9"/>
  <c r="AU141" i="9"/>
  <c r="AT141" i="9"/>
  <c r="J141" i="9"/>
  <c r="AU140" i="9"/>
  <c r="AT140" i="9"/>
  <c r="K137" i="9"/>
  <c r="E9" i="9"/>
  <c r="AL94" i="9"/>
  <c r="K127" i="9"/>
  <c r="E11" i="9"/>
  <c r="AB94" i="9"/>
  <c r="K126" i="9"/>
  <c r="E13" i="9"/>
  <c r="R94" i="9"/>
  <c r="K125" i="9"/>
  <c r="E17" i="9"/>
  <c r="H94" i="9"/>
  <c r="K124" i="9"/>
  <c r="A118" i="9"/>
  <c r="F117" i="9"/>
  <c r="A113" i="9"/>
  <c r="J112" i="9"/>
  <c r="A109" i="9"/>
  <c r="F107" i="9"/>
  <c r="A107" i="9"/>
  <c r="A104" i="9"/>
  <c r="A89" i="9"/>
  <c r="AB86" i="9"/>
  <c r="AB87" i="9"/>
  <c r="AC75" i="9"/>
  <c r="AE75" i="9"/>
  <c r="Z75" i="9"/>
  <c r="AB75" i="9"/>
  <c r="AB82" i="9"/>
  <c r="AE82" i="9"/>
  <c r="AU82" i="9"/>
  <c r="AF76" i="9"/>
  <c r="S75" i="9"/>
  <c r="AF75" i="9"/>
  <c r="J74" i="9"/>
  <c r="AB74" i="9"/>
  <c r="AF74" i="9"/>
  <c r="D73" i="9"/>
  <c r="M73" i="9"/>
  <c r="V73" i="9"/>
  <c r="AF73" i="9"/>
  <c r="G72" i="9"/>
  <c r="P72" i="9"/>
  <c r="Y72" i="9"/>
  <c r="AE72" i="9"/>
  <c r="AF72" i="9"/>
  <c r="AF68" i="9"/>
  <c r="AG68" i="9"/>
  <c r="AF67" i="9"/>
  <c r="AG67" i="9"/>
  <c r="AF66" i="9"/>
  <c r="AG66" i="9"/>
  <c r="AF65" i="9"/>
  <c r="AG65" i="9"/>
  <c r="AF64" i="9"/>
  <c r="AG64" i="9"/>
  <c r="B62" i="9"/>
  <c r="B39" i="9"/>
  <c r="D39" i="9"/>
  <c r="B40" i="9"/>
  <c r="D40" i="9"/>
  <c r="B41" i="9"/>
  <c r="D41" i="9"/>
  <c r="B42" i="9"/>
  <c r="D42" i="9"/>
  <c r="B43" i="9"/>
  <c r="D43" i="9"/>
  <c r="B44" i="9"/>
  <c r="D62" i="9"/>
  <c r="E62" i="9"/>
  <c r="G62" i="9"/>
  <c r="H62" i="9"/>
  <c r="H39" i="9"/>
  <c r="J39" i="9"/>
  <c r="H40" i="9"/>
  <c r="J40" i="9"/>
  <c r="H41" i="9"/>
  <c r="J41" i="9"/>
  <c r="H42" i="9"/>
  <c r="J42" i="9"/>
  <c r="H43" i="9"/>
  <c r="J43" i="9"/>
  <c r="H44" i="9"/>
  <c r="J62" i="9"/>
  <c r="K62" i="9"/>
  <c r="M62" i="9"/>
  <c r="N62" i="9"/>
  <c r="P62" i="9"/>
  <c r="Q62" i="9"/>
  <c r="Q39" i="9"/>
  <c r="S39" i="9"/>
  <c r="Q40" i="9"/>
  <c r="S40" i="9"/>
  <c r="Q41" i="9"/>
  <c r="S41" i="9"/>
  <c r="Q42" i="9"/>
  <c r="S42" i="9"/>
  <c r="Q43" i="9"/>
  <c r="S43" i="9"/>
  <c r="Q44" i="9"/>
  <c r="S62" i="9"/>
  <c r="T62" i="9"/>
  <c r="V62" i="9"/>
  <c r="W62" i="9"/>
  <c r="W39" i="9"/>
  <c r="Y39" i="9"/>
  <c r="W40" i="9"/>
  <c r="Y40" i="9"/>
  <c r="W41" i="9"/>
  <c r="Y41" i="9"/>
  <c r="W42" i="9"/>
  <c r="Y42" i="9"/>
  <c r="W43" i="9"/>
  <c r="Y43" i="9"/>
  <c r="W44" i="9"/>
  <c r="Y62" i="9"/>
  <c r="Z62" i="9"/>
  <c r="AB62" i="9"/>
  <c r="AC62" i="9"/>
  <c r="AE62" i="9"/>
  <c r="AF62" i="9"/>
  <c r="B61" i="9"/>
  <c r="D61" i="9"/>
  <c r="E61" i="9"/>
  <c r="E39" i="9"/>
  <c r="G39" i="9"/>
  <c r="E40" i="9"/>
  <c r="G40" i="9"/>
  <c r="E41" i="9"/>
  <c r="G41" i="9"/>
  <c r="E42" i="9"/>
  <c r="G42" i="9"/>
  <c r="E43" i="9"/>
  <c r="G43" i="9"/>
  <c r="E44" i="9"/>
  <c r="G61" i="9"/>
  <c r="H61" i="9"/>
  <c r="J61" i="9"/>
  <c r="K61" i="9"/>
  <c r="K39" i="9"/>
  <c r="M39" i="9"/>
  <c r="K40" i="9"/>
  <c r="M40" i="9"/>
  <c r="K41" i="9"/>
  <c r="M41" i="9"/>
  <c r="K42" i="9"/>
  <c r="M42" i="9"/>
  <c r="K43" i="9"/>
  <c r="M43" i="9"/>
  <c r="K44" i="9"/>
  <c r="M61" i="9"/>
  <c r="N61" i="9"/>
  <c r="P61" i="9"/>
  <c r="Q61" i="9"/>
  <c r="S61" i="9"/>
  <c r="T61" i="9"/>
  <c r="V61" i="9"/>
  <c r="W61" i="9"/>
  <c r="Y61" i="9"/>
  <c r="Z61" i="9"/>
  <c r="Z39" i="9"/>
  <c r="AB39" i="9"/>
  <c r="Z40" i="9"/>
  <c r="AB40" i="9"/>
  <c r="Z41" i="9"/>
  <c r="AB41" i="9"/>
  <c r="Z42" i="9"/>
  <c r="AB42" i="9"/>
  <c r="Z43" i="9"/>
  <c r="AB43" i="9"/>
  <c r="Z44" i="9"/>
  <c r="AB61" i="9"/>
  <c r="AC61" i="9"/>
  <c r="AE61" i="9"/>
  <c r="AF61" i="9"/>
  <c r="B60" i="9"/>
  <c r="D60" i="9"/>
  <c r="E60" i="9"/>
  <c r="G60" i="9"/>
  <c r="H60" i="9"/>
  <c r="J60" i="9"/>
  <c r="K60" i="9"/>
  <c r="M60" i="9"/>
  <c r="N60" i="9"/>
  <c r="N39" i="9"/>
  <c r="P39" i="9"/>
  <c r="N40" i="9"/>
  <c r="P40" i="9"/>
  <c r="N41" i="9"/>
  <c r="P41" i="9"/>
  <c r="N42" i="9"/>
  <c r="P42" i="9"/>
  <c r="N43" i="9"/>
  <c r="P43" i="9"/>
  <c r="N44" i="9"/>
  <c r="P60" i="9"/>
  <c r="Q60" i="9"/>
  <c r="S60" i="9"/>
  <c r="T60" i="9"/>
  <c r="T39" i="9"/>
  <c r="V39" i="9"/>
  <c r="T40" i="9"/>
  <c r="V40" i="9"/>
  <c r="T41" i="9"/>
  <c r="V41" i="9"/>
  <c r="T42" i="9"/>
  <c r="V42" i="9"/>
  <c r="T43" i="9"/>
  <c r="V43" i="9"/>
  <c r="T44" i="9"/>
  <c r="V60" i="9"/>
  <c r="W60" i="9"/>
  <c r="Y60" i="9"/>
  <c r="Z60" i="9"/>
  <c r="AB60" i="9"/>
  <c r="AC60" i="9"/>
  <c r="AE60" i="9"/>
  <c r="AF60" i="9"/>
  <c r="B59" i="9"/>
  <c r="D59" i="9"/>
  <c r="E59" i="9"/>
  <c r="G59" i="9"/>
  <c r="H59" i="9"/>
  <c r="J59" i="9"/>
  <c r="K59" i="9"/>
  <c r="M59" i="9"/>
  <c r="N59" i="9"/>
  <c r="P59" i="9"/>
  <c r="Q59" i="9"/>
  <c r="S59" i="9"/>
  <c r="T59" i="9"/>
  <c r="V59" i="9"/>
  <c r="W59" i="9"/>
  <c r="Y59" i="9"/>
  <c r="Z59" i="9"/>
  <c r="AB59" i="9"/>
  <c r="AC59" i="9"/>
  <c r="AC39" i="9"/>
  <c r="AE39" i="9"/>
  <c r="AC40" i="9"/>
  <c r="AE40" i="9"/>
  <c r="AC41" i="9"/>
  <c r="AE41" i="9"/>
  <c r="AC42" i="9"/>
  <c r="AE42" i="9"/>
  <c r="AC43" i="9"/>
  <c r="AE43" i="9"/>
  <c r="AC44" i="9"/>
  <c r="AE59" i="9"/>
  <c r="AF59" i="9"/>
  <c r="B58" i="9"/>
  <c r="D58" i="9"/>
  <c r="E58" i="9"/>
  <c r="G58" i="9"/>
  <c r="H58" i="9"/>
  <c r="J58" i="9"/>
  <c r="K58" i="9"/>
  <c r="M58" i="9"/>
  <c r="N58" i="9"/>
  <c r="P58" i="9"/>
  <c r="Q58" i="9"/>
  <c r="S58" i="9"/>
  <c r="T58" i="9"/>
  <c r="V58" i="9"/>
  <c r="W58" i="9"/>
  <c r="Y58" i="9"/>
  <c r="Z58" i="9"/>
  <c r="AB58" i="9"/>
  <c r="AC58" i="9"/>
  <c r="AE58" i="9"/>
  <c r="AF58" i="9"/>
  <c r="B56" i="9"/>
  <c r="B37" i="9"/>
  <c r="D37" i="9"/>
  <c r="C37" i="9"/>
  <c r="D56" i="9"/>
  <c r="E56" i="9"/>
  <c r="G56" i="9"/>
  <c r="H56" i="9"/>
  <c r="H37" i="9"/>
  <c r="J37" i="9"/>
  <c r="I37" i="9"/>
  <c r="J56" i="9"/>
  <c r="K56" i="9"/>
  <c r="M56" i="9"/>
  <c r="N56" i="9"/>
  <c r="P56" i="9"/>
  <c r="Q56" i="9"/>
  <c r="Q37" i="9"/>
  <c r="S37" i="9"/>
  <c r="R37" i="9"/>
  <c r="S56" i="9"/>
  <c r="T56" i="9"/>
  <c r="V56" i="9"/>
  <c r="W56" i="9"/>
  <c r="W37" i="9"/>
  <c r="Y37" i="9"/>
  <c r="X37" i="9"/>
  <c r="Y56" i="9"/>
  <c r="Z56" i="9"/>
  <c r="AB56" i="9"/>
  <c r="AC56" i="9"/>
  <c r="AE56" i="9"/>
  <c r="AF56" i="9"/>
  <c r="B55" i="9"/>
  <c r="D55" i="9"/>
  <c r="E55" i="9"/>
  <c r="E37" i="9"/>
  <c r="G37" i="9"/>
  <c r="F37" i="9"/>
  <c r="G55" i="9"/>
  <c r="H55" i="9"/>
  <c r="J55" i="9"/>
  <c r="K55" i="9"/>
  <c r="K37" i="9"/>
  <c r="M37" i="9"/>
  <c r="L37" i="9"/>
  <c r="M55" i="9"/>
  <c r="N55" i="9"/>
  <c r="P55" i="9"/>
  <c r="Q55" i="9"/>
  <c r="S55" i="9"/>
  <c r="T55" i="9"/>
  <c r="V55" i="9"/>
  <c r="W55" i="9"/>
  <c r="Y55" i="9"/>
  <c r="Z55" i="9"/>
  <c r="Z37" i="9"/>
  <c r="AB37" i="9"/>
  <c r="AA37" i="9"/>
  <c r="AB55" i="9"/>
  <c r="AC55" i="9"/>
  <c r="AE55" i="9"/>
  <c r="AF55" i="9"/>
  <c r="B54" i="9"/>
  <c r="D54" i="9"/>
  <c r="E54" i="9"/>
  <c r="G54" i="9"/>
  <c r="H54" i="9"/>
  <c r="J54" i="9"/>
  <c r="K54" i="9"/>
  <c r="M54" i="9"/>
  <c r="N54" i="9"/>
  <c r="N37" i="9"/>
  <c r="P37" i="9"/>
  <c r="O37" i="9"/>
  <c r="P54" i="9"/>
  <c r="Q54" i="9"/>
  <c r="S54" i="9"/>
  <c r="T54" i="9"/>
  <c r="T37" i="9"/>
  <c r="V37" i="9"/>
  <c r="U37" i="9"/>
  <c r="V54" i="9"/>
  <c r="W54" i="9"/>
  <c r="Y54" i="9"/>
  <c r="Z54" i="9"/>
  <c r="AB54" i="9"/>
  <c r="AC54" i="9"/>
  <c r="AE54" i="9"/>
  <c r="AF54" i="9"/>
  <c r="B53" i="9"/>
  <c r="D53" i="9"/>
  <c r="E53" i="9"/>
  <c r="G53" i="9"/>
  <c r="H53" i="9"/>
  <c r="J53" i="9"/>
  <c r="K53" i="9"/>
  <c r="M53" i="9"/>
  <c r="N53" i="9"/>
  <c r="P53" i="9"/>
  <c r="Q53" i="9"/>
  <c r="S53" i="9"/>
  <c r="T53" i="9"/>
  <c r="V53" i="9"/>
  <c r="W53" i="9"/>
  <c r="Y53" i="9"/>
  <c r="Z53" i="9"/>
  <c r="AB53" i="9"/>
  <c r="AC53" i="9"/>
  <c r="AC37" i="9"/>
  <c r="AE37" i="9"/>
  <c r="AD37" i="9"/>
  <c r="AE53" i="9"/>
  <c r="AF53" i="9"/>
  <c r="B52" i="9"/>
  <c r="D52" i="9"/>
  <c r="E52" i="9"/>
  <c r="G52" i="9"/>
  <c r="H52" i="9"/>
  <c r="J52" i="9"/>
  <c r="K52" i="9"/>
  <c r="M52" i="9"/>
  <c r="N52" i="9"/>
  <c r="P52" i="9"/>
  <c r="Q52" i="9"/>
  <c r="S52" i="9"/>
  <c r="T52" i="9"/>
  <c r="V52" i="9"/>
  <c r="W52" i="9"/>
  <c r="Y52" i="9"/>
  <c r="Z52" i="9"/>
  <c r="AB52" i="9"/>
  <c r="AC52" i="9"/>
  <c r="AE52" i="9"/>
  <c r="AF52" i="9"/>
  <c r="B50" i="9"/>
  <c r="D50" i="9"/>
  <c r="E50" i="9"/>
  <c r="G50" i="9"/>
  <c r="H50" i="9"/>
  <c r="J50" i="9"/>
  <c r="K50" i="9"/>
  <c r="M50" i="9"/>
  <c r="N50" i="9"/>
  <c r="P50" i="9"/>
  <c r="Q50" i="9"/>
  <c r="S50" i="9"/>
  <c r="T50" i="9"/>
  <c r="V50" i="9"/>
  <c r="W50" i="9"/>
  <c r="Y50" i="9"/>
  <c r="Z50" i="9"/>
  <c r="AB50" i="9"/>
  <c r="AC50" i="9"/>
  <c r="AE50" i="9"/>
  <c r="AF50" i="9"/>
  <c r="AG50" i="9"/>
  <c r="B49" i="9"/>
  <c r="D49" i="9"/>
  <c r="E49" i="9"/>
  <c r="G49" i="9"/>
  <c r="H49" i="9"/>
  <c r="J49" i="9"/>
  <c r="K49" i="9"/>
  <c r="M49" i="9"/>
  <c r="N49" i="9"/>
  <c r="P49" i="9"/>
  <c r="Q49" i="9"/>
  <c r="S49" i="9"/>
  <c r="T49" i="9"/>
  <c r="V49" i="9"/>
  <c r="W49" i="9"/>
  <c r="Y49" i="9"/>
  <c r="Z49" i="9"/>
  <c r="AB49" i="9"/>
  <c r="AC49" i="9"/>
  <c r="AE49" i="9"/>
  <c r="AF49" i="9"/>
  <c r="AG49" i="9"/>
  <c r="B48" i="9"/>
  <c r="D48" i="9"/>
  <c r="E48" i="9"/>
  <c r="G48" i="9"/>
  <c r="H48" i="9"/>
  <c r="J48" i="9"/>
  <c r="K48" i="9"/>
  <c r="M48" i="9"/>
  <c r="N48" i="9"/>
  <c r="P48" i="9"/>
  <c r="Q48" i="9"/>
  <c r="S48" i="9"/>
  <c r="T48" i="9"/>
  <c r="V48" i="9"/>
  <c r="W48" i="9"/>
  <c r="Y48" i="9"/>
  <c r="Z48" i="9"/>
  <c r="AB48" i="9"/>
  <c r="AC48" i="9"/>
  <c r="AE48" i="9"/>
  <c r="AF48" i="9"/>
  <c r="AG48" i="9"/>
  <c r="B47" i="9"/>
  <c r="D47" i="9"/>
  <c r="E47" i="9"/>
  <c r="G47" i="9"/>
  <c r="H47" i="9"/>
  <c r="J47" i="9"/>
  <c r="K47" i="9"/>
  <c r="M47" i="9"/>
  <c r="N47" i="9"/>
  <c r="P47" i="9"/>
  <c r="Q47" i="9"/>
  <c r="S47" i="9"/>
  <c r="T47" i="9"/>
  <c r="V47" i="9"/>
  <c r="W47" i="9"/>
  <c r="Y47" i="9"/>
  <c r="Z47" i="9"/>
  <c r="AB47" i="9"/>
  <c r="AC47" i="9"/>
  <c r="AE47" i="9"/>
  <c r="AF47" i="9"/>
  <c r="AG47" i="9"/>
  <c r="B46" i="9"/>
  <c r="D46" i="9"/>
  <c r="E46" i="9"/>
  <c r="G46" i="9"/>
  <c r="H46" i="9"/>
  <c r="J46" i="9"/>
  <c r="K46" i="9"/>
  <c r="M46" i="9"/>
  <c r="N46" i="9"/>
  <c r="P46" i="9"/>
  <c r="Q46" i="9"/>
  <c r="S46" i="9"/>
  <c r="T46" i="9"/>
  <c r="V46" i="9"/>
  <c r="W46" i="9"/>
  <c r="Y46" i="9"/>
  <c r="Z46" i="9"/>
  <c r="AB46" i="9"/>
  <c r="AC46" i="9"/>
  <c r="AE46" i="9"/>
  <c r="AF46" i="9"/>
  <c r="AG46" i="9"/>
  <c r="AE30" i="9"/>
  <c r="AC30" i="9"/>
  <c r="AB30" i="9"/>
  <c r="Z30" i="9"/>
  <c r="Y30" i="9"/>
  <c r="W30" i="9"/>
  <c r="V30" i="9"/>
  <c r="T30" i="9"/>
  <c r="S30" i="9"/>
  <c r="Q30" i="9"/>
  <c r="P30" i="9"/>
  <c r="N30" i="9"/>
  <c r="M30" i="9"/>
  <c r="K30" i="9"/>
  <c r="J30" i="9"/>
  <c r="H30" i="9"/>
  <c r="G30" i="9"/>
  <c r="E30" i="9"/>
  <c r="D30" i="9"/>
  <c r="B30" i="9"/>
  <c r="AD29" i="9"/>
  <c r="AA29" i="9"/>
  <c r="X29" i="9"/>
  <c r="U29" i="9"/>
  <c r="R29" i="9"/>
  <c r="O29" i="9"/>
  <c r="L29" i="9"/>
  <c r="I29" i="9"/>
  <c r="F29" i="9"/>
  <c r="A29" i="9"/>
  <c r="AG28" i="9"/>
  <c r="AH28" i="9"/>
  <c r="AI28" i="9"/>
  <c r="AJ28" i="9"/>
  <c r="AK28" i="9"/>
  <c r="AL28" i="9"/>
  <c r="AM28" i="9"/>
  <c r="AN28" i="9"/>
  <c r="AO28" i="9"/>
  <c r="AP28" i="9"/>
  <c r="AQ28" i="9"/>
  <c r="AF28" i="9"/>
  <c r="AD28" i="9"/>
  <c r="AA28" i="9"/>
  <c r="X28" i="9"/>
  <c r="U28" i="9"/>
  <c r="R28" i="9"/>
  <c r="O28" i="9"/>
  <c r="L28" i="9"/>
  <c r="I28" i="9"/>
  <c r="F28" i="9"/>
  <c r="A28" i="9"/>
  <c r="AG27" i="9"/>
  <c r="AH27" i="9"/>
  <c r="AI27" i="9"/>
  <c r="AJ27" i="9"/>
  <c r="AK27" i="9"/>
  <c r="AL27" i="9"/>
  <c r="AM27" i="9"/>
  <c r="AN27" i="9"/>
  <c r="AO27" i="9"/>
  <c r="AP27" i="9"/>
  <c r="AQ27" i="9"/>
  <c r="AF27" i="9"/>
  <c r="AD27" i="9"/>
  <c r="AA27" i="9"/>
  <c r="X27" i="9"/>
  <c r="U27" i="9"/>
  <c r="R27" i="9"/>
  <c r="O27" i="9"/>
  <c r="L27" i="9"/>
  <c r="I27" i="9"/>
  <c r="F27" i="9"/>
  <c r="A27" i="9"/>
  <c r="AG26" i="9"/>
  <c r="AH26" i="9"/>
  <c r="AI26" i="9"/>
  <c r="AJ26" i="9"/>
  <c r="AK26" i="9"/>
  <c r="AL26" i="9"/>
  <c r="AM26" i="9"/>
  <c r="AN26" i="9"/>
  <c r="AO26" i="9"/>
  <c r="AP26" i="9"/>
  <c r="AQ26" i="9"/>
  <c r="AF26" i="9"/>
  <c r="AD26" i="9"/>
  <c r="AA26" i="9"/>
  <c r="X26" i="9"/>
  <c r="U26" i="9"/>
  <c r="R26" i="9"/>
  <c r="O26" i="9"/>
  <c r="L26" i="9"/>
  <c r="I26" i="9"/>
  <c r="F26" i="9"/>
  <c r="A26" i="9"/>
  <c r="AG25" i="9"/>
  <c r="AH25" i="9"/>
  <c r="AI25" i="9"/>
  <c r="AJ25" i="9"/>
  <c r="AK25" i="9"/>
  <c r="AL25" i="9"/>
  <c r="AM25" i="9"/>
  <c r="AN25" i="9"/>
  <c r="AO25" i="9"/>
  <c r="AP25" i="9"/>
  <c r="AQ25" i="9"/>
  <c r="AF25" i="9"/>
  <c r="AD25" i="9"/>
  <c r="AA25" i="9"/>
  <c r="X25" i="9"/>
  <c r="U25" i="9"/>
  <c r="R25" i="9"/>
  <c r="O25" i="9"/>
  <c r="L25" i="9"/>
  <c r="I25" i="9"/>
  <c r="F25" i="9"/>
  <c r="AG24" i="9"/>
  <c r="AH24" i="9"/>
  <c r="AI24" i="9"/>
  <c r="AJ24" i="9"/>
  <c r="AK24" i="9"/>
  <c r="AL24" i="9"/>
  <c r="AM24" i="9"/>
  <c r="AN24" i="9"/>
  <c r="AO24" i="9"/>
  <c r="AP24" i="9"/>
  <c r="AQ24" i="9"/>
  <c r="AF24" i="9"/>
  <c r="AD24" i="9"/>
  <c r="AA24" i="9"/>
  <c r="X24" i="9"/>
  <c r="U24" i="9"/>
  <c r="R24" i="9"/>
  <c r="O24" i="9"/>
  <c r="L24" i="9"/>
  <c r="I24" i="9"/>
  <c r="F24" i="9"/>
  <c r="AC22" i="9"/>
  <c r="Z22" i="9"/>
  <c r="W22" i="9"/>
  <c r="T22" i="9"/>
  <c r="Q22" i="9"/>
  <c r="N22" i="9"/>
  <c r="K22" i="9"/>
  <c r="H22" i="9"/>
  <c r="E22" i="9"/>
  <c r="AC16" i="9"/>
  <c r="Z16" i="9"/>
  <c r="W16" i="9"/>
  <c r="R16" i="9"/>
  <c r="L16" i="9"/>
  <c r="A16" i="9"/>
  <c r="E15" i="9"/>
  <c r="AC14" i="9"/>
  <c r="Z14" i="9"/>
  <c r="W14" i="9"/>
  <c r="R14" i="9"/>
  <c r="L14" i="9"/>
  <c r="A14" i="9"/>
  <c r="AC12" i="9"/>
  <c r="Z12" i="9"/>
  <c r="W12" i="9"/>
  <c r="R12" i="9"/>
  <c r="L12" i="9"/>
  <c r="A12" i="9"/>
  <c r="AC10" i="9"/>
  <c r="Z10" i="9"/>
  <c r="W10" i="9"/>
  <c r="R10" i="9"/>
  <c r="L10" i="9"/>
  <c r="A10" i="9"/>
  <c r="AC8" i="9"/>
  <c r="Z8" i="9"/>
  <c r="W8" i="9"/>
  <c r="R8" i="9"/>
  <c r="L8" i="9"/>
  <c r="A8" i="9"/>
  <c r="AY7" i="9"/>
  <c r="R7" i="9"/>
  <c r="L7" i="9"/>
  <c r="AX6" i="9"/>
  <c r="AY6" i="9"/>
  <c r="K6" i="9"/>
  <c r="AY5" i="9"/>
  <c r="AY4" i="9"/>
  <c r="AY3" i="9"/>
  <c r="W219" i="8"/>
  <c r="W220" i="8"/>
  <c r="W221" i="8"/>
  <c r="W222" i="8"/>
  <c r="Y219" i="8"/>
  <c r="Y220" i="8"/>
  <c r="Y221" i="8"/>
  <c r="Y222" i="8"/>
  <c r="AC218" i="8"/>
  <c r="Z219" i="8"/>
  <c r="Z220" i="8"/>
  <c r="Z221" i="8"/>
  <c r="Z222" i="8"/>
  <c r="AB219" i="8"/>
  <c r="AB220" i="8"/>
  <c r="AB221" i="8"/>
  <c r="AB222" i="8"/>
  <c r="AE218" i="8"/>
  <c r="E99" i="8"/>
  <c r="AF180" i="8"/>
  <c r="X213" i="8"/>
  <c r="W230" i="8"/>
  <c r="E8" i="8"/>
  <c r="B79" i="8"/>
  <c r="AT79" i="8"/>
  <c r="E10" i="8"/>
  <c r="B80" i="8"/>
  <c r="AT80" i="8"/>
  <c r="E12" i="8"/>
  <c r="B81" i="8"/>
  <c r="AT81" i="8"/>
  <c r="E14" i="8"/>
  <c r="B82" i="8"/>
  <c r="AT82" i="8"/>
  <c r="AC31" i="8"/>
  <c r="AC32" i="8"/>
  <c r="AC33" i="8"/>
  <c r="AC34" i="8"/>
  <c r="AC35" i="8"/>
  <c r="AC64" i="8"/>
  <c r="AE64" i="8"/>
  <c r="AC65" i="8"/>
  <c r="AE31" i="8"/>
  <c r="AE32" i="8"/>
  <c r="AE33" i="8"/>
  <c r="AE34" i="8"/>
  <c r="AE35" i="8"/>
  <c r="AE65" i="8"/>
  <c r="AC66" i="8"/>
  <c r="AE66" i="8"/>
  <c r="AC67" i="8"/>
  <c r="AE67" i="8"/>
  <c r="AC68" i="8"/>
  <c r="AE68" i="8"/>
  <c r="AD71" i="8"/>
  <c r="AC72" i="8"/>
  <c r="Z72" i="8"/>
  <c r="AB72" i="8"/>
  <c r="W31" i="8"/>
  <c r="W32" i="8"/>
  <c r="W33" i="8"/>
  <c r="W34" i="8"/>
  <c r="W35" i="8"/>
  <c r="W64" i="8"/>
  <c r="Y64" i="8"/>
  <c r="W65" i="8"/>
  <c r="Y65" i="8"/>
  <c r="W66" i="8"/>
  <c r="Y66" i="8"/>
  <c r="W67" i="8"/>
  <c r="Y67" i="8"/>
  <c r="W68" i="8"/>
  <c r="Y31" i="8"/>
  <c r="Y32" i="8"/>
  <c r="Y33" i="8"/>
  <c r="Y34" i="8"/>
  <c r="Y35" i="8"/>
  <c r="Y68" i="8"/>
  <c r="X71" i="8"/>
  <c r="W72" i="8"/>
  <c r="T72" i="8"/>
  <c r="V72" i="8"/>
  <c r="Q72" i="8"/>
  <c r="S72" i="8"/>
  <c r="N31" i="8"/>
  <c r="N32" i="8"/>
  <c r="N33" i="8"/>
  <c r="N34" i="8"/>
  <c r="N35" i="8"/>
  <c r="N64" i="8"/>
  <c r="P64" i="8"/>
  <c r="N65" i="8"/>
  <c r="P65" i="8"/>
  <c r="N66" i="8"/>
  <c r="P31" i="8"/>
  <c r="P32" i="8"/>
  <c r="P33" i="8"/>
  <c r="P34" i="8"/>
  <c r="P35" i="8"/>
  <c r="P66" i="8"/>
  <c r="N67" i="8"/>
  <c r="P67" i="8"/>
  <c r="N68" i="8"/>
  <c r="P68" i="8"/>
  <c r="O71" i="8"/>
  <c r="N72" i="8"/>
  <c r="K72" i="8"/>
  <c r="M72" i="8"/>
  <c r="H72" i="8"/>
  <c r="J72" i="8"/>
  <c r="E31" i="8"/>
  <c r="E32" i="8"/>
  <c r="E33" i="8"/>
  <c r="E34" i="8"/>
  <c r="E35" i="8"/>
  <c r="E64" i="8"/>
  <c r="G64" i="8"/>
  <c r="E65" i="8"/>
  <c r="G65" i="8"/>
  <c r="E66" i="8"/>
  <c r="G66" i="8"/>
  <c r="E67" i="8"/>
  <c r="G31" i="8"/>
  <c r="G32" i="8"/>
  <c r="G33" i="8"/>
  <c r="G34" i="8"/>
  <c r="G35" i="8"/>
  <c r="G67" i="8"/>
  <c r="E68" i="8"/>
  <c r="G68" i="8"/>
  <c r="F71" i="8"/>
  <c r="E72" i="8"/>
  <c r="B72" i="8"/>
  <c r="D72" i="8"/>
  <c r="C79" i="8"/>
  <c r="D79" i="8"/>
  <c r="E85" i="8"/>
  <c r="E36" i="8"/>
  <c r="B75" i="8"/>
  <c r="D75" i="8"/>
  <c r="C82" i="8"/>
  <c r="D82" i="8"/>
  <c r="G85" i="8"/>
  <c r="G36" i="8"/>
  <c r="E86" i="8"/>
  <c r="E87" i="8"/>
  <c r="G79" i="8"/>
  <c r="J79" i="8"/>
  <c r="M79" i="8"/>
  <c r="N85" i="8"/>
  <c r="N36" i="8"/>
  <c r="K74" i="8"/>
  <c r="M74" i="8"/>
  <c r="H64" i="8"/>
  <c r="J64" i="8"/>
  <c r="H65" i="8"/>
  <c r="J65" i="8"/>
  <c r="H31" i="8"/>
  <c r="H32" i="8"/>
  <c r="H33" i="8"/>
  <c r="H34" i="8"/>
  <c r="H35" i="8"/>
  <c r="H66" i="8"/>
  <c r="J66" i="8"/>
  <c r="H67" i="8"/>
  <c r="J67" i="8"/>
  <c r="H68" i="8"/>
  <c r="J31" i="8"/>
  <c r="J32" i="8"/>
  <c r="J33" i="8"/>
  <c r="J34" i="8"/>
  <c r="J35" i="8"/>
  <c r="J68" i="8"/>
  <c r="I71" i="8"/>
  <c r="H74" i="8"/>
  <c r="E74" i="8"/>
  <c r="G74" i="8"/>
  <c r="B74" i="8"/>
  <c r="D74" i="8"/>
  <c r="C81" i="8"/>
  <c r="D81" i="8"/>
  <c r="G81" i="8"/>
  <c r="H85" i="8"/>
  <c r="H36" i="8"/>
  <c r="E76" i="8"/>
  <c r="G76" i="8"/>
  <c r="B76" i="8"/>
  <c r="B64" i="8"/>
  <c r="D64" i="8"/>
  <c r="B31" i="8"/>
  <c r="B32" i="8"/>
  <c r="B33" i="8"/>
  <c r="B34" i="8"/>
  <c r="B35" i="8"/>
  <c r="B65" i="8"/>
  <c r="D65" i="8"/>
  <c r="B66" i="8"/>
  <c r="D66" i="8"/>
  <c r="B67" i="8"/>
  <c r="D67" i="8"/>
  <c r="B68" i="8"/>
  <c r="D31" i="8"/>
  <c r="D32" i="8"/>
  <c r="D33" i="8"/>
  <c r="D34" i="8"/>
  <c r="D35" i="8"/>
  <c r="D68" i="8"/>
  <c r="C71" i="8"/>
  <c r="D76" i="8"/>
  <c r="E16" i="8"/>
  <c r="B83" i="8"/>
  <c r="C83" i="8"/>
  <c r="D85" i="8"/>
  <c r="D36" i="8"/>
  <c r="C80" i="8"/>
  <c r="B85" i="8"/>
  <c r="B36" i="8"/>
  <c r="D86" i="8"/>
  <c r="D87" i="8"/>
  <c r="D83" i="8"/>
  <c r="G83" i="8"/>
  <c r="J85" i="8"/>
  <c r="J36" i="8"/>
  <c r="H86" i="8"/>
  <c r="H87" i="8"/>
  <c r="J81" i="8"/>
  <c r="M81" i="8"/>
  <c r="P85" i="8"/>
  <c r="P36" i="8"/>
  <c r="N86" i="8"/>
  <c r="N87" i="8"/>
  <c r="P79" i="8"/>
  <c r="S79" i="8"/>
  <c r="V79" i="8"/>
  <c r="W85" i="8"/>
  <c r="W36" i="8"/>
  <c r="T76" i="8"/>
  <c r="V76" i="8"/>
  <c r="Q76" i="8"/>
  <c r="Q64" i="8"/>
  <c r="S64" i="8"/>
  <c r="Q65" i="8"/>
  <c r="S65" i="8"/>
  <c r="Q66" i="8"/>
  <c r="S66" i="8"/>
  <c r="Q31" i="8"/>
  <c r="Q32" i="8"/>
  <c r="Q33" i="8"/>
  <c r="Q34" i="8"/>
  <c r="Q35" i="8"/>
  <c r="Q67" i="8"/>
  <c r="S67" i="8"/>
  <c r="Q68" i="8"/>
  <c r="S31" i="8"/>
  <c r="S32" i="8"/>
  <c r="S33" i="8"/>
  <c r="S34" i="8"/>
  <c r="S35" i="8"/>
  <c r="S68" i="8"/>
  <c r="R71" i="8"/>
  <c r="S76" i="8"/>
  <c r="N76" i="8"/>
  <c r="P76" i="8"/>
  <c r="K76" i="8"/>
  <c r="M76" i="8"/>
  <c r="H76" i="8"/>
  <c r="J76" i="8"/>
  <c r="J86" i="8"/>
  <c r="J87" i="8"/>
  <c r="J83" i="8"/>
  <c r="M83" i="8"/>
  <c r="P83" i="8"/>
  <c r="S85" i="8"/>
  <c r="S36" i="8"/>
  <c r="N75" i="8"/>
  <c r="P75" i="8"/>
  <c r="K75" i="8"/>
  <c r="K64" i="8"/>
  <c r="M64" i="8"/>
  <c r="K31" i="8"/>
  <c r="K32" i="8"/>
  <c r="K33" i="8"/>
  <c r="K34" i="8"/>
  <c r="K35" i="8"/>
  <c r="K65" i="8"/>
  <c r="M65" i="8"/>
  <c r="K66" i="8"/>
  <c r="M66" i="8"/>
  <c r="K67" i="8"/>
  <c r="M31" i="8"/>
  <c r="M32" i="8"/>
  <c r="M33" i="8"/>
  <c r="M34" i="8"/>
  <c r="M35" i="8"/>
  <c r="M67" i="8"/>
  <c r="K68" i="8"/>
  <c r="M68" i="8"/>
  <c r="L71" i="8"/>
  <c r="M75" i="8"/>
  <c r="H75" i="8"/>
  <c r="J75" i="8"/>
  <c r="E75" i="8"/>
  <c r="G75" i="8"/>
  <c r="G86" i="8"/>
  <c r="G87" i="8"/>
  <c r="G82" i="8"/>
  <c r="J82" i="8"/>
  <c r="M85" i="8"/>
  <c r="M36" i="8"/>
  <c r="H73" i="8"/>
  <c r="J73" i="8"/>
  <c r="E73" i="8"/>
  <c r="G73" i="8"/>
  <c r="B73" i="8"/>
  <c r="B86" i="8"/>
  <c r="B87" i="8"/>
  <c r="D80" i="8"/>
  <c r="G80" i="8"/>
  <c r="J80" i="8"/>
  <c r="K85" i="8"/>
  <c r="K36" i="8"/>
  <c r="M86" i="8"/>
  <c r="M87" i="8"/>
  <c r="M82" i="8"/>
  <c r="P82" i="8"/>
  <c r="Q85" i="8"/>
  <c r="Q36" i="8"/>
  <c r="S86" i="8"/>
  <c r="S87" i="8"/>
  <c r="S83" i="8"/>
  <c r="V83" i="8"/>
  <c r="Y85" i="8"/>
  <c r="Y36" i="8"/>
  <c r="W86" i="8"/>
  <c r="W87" i="8"/>
  <c r="Y79" i="8"/>
  <c r="AB79" i="8"/>
  <c r="AC85" i="8"/>
  <c r="AC36" i="8"/>
  <c r="Z73" i="8"/>
  <c r="AB73" i="8"/>
  <c r="W73" i="8"/>
  <c r="Y73" i="8"/>
  <c r="T64" i="8"/>
  <c r="V64" i="8"/>
  <c r="T31" i="8"/>
  <c r="T32" i="8"/>
  <c r="T33" i="8"/>
  <c r="T34" i="8"/>
  <c r="T35" i="8"/>
  <c r="T65" i="8"/>
  <c r="V65" i="8"/>
  <c r="T66" i="8"/>
  <c r="V31" i="8"/>
  <c r="V32" i="8"/>
  <c r="V33" i="8"/>
  <c r="V34" i="8"/>
  <c r="V35" i="8"/>
  <c r="V66" i="8"/>
  <c r="T67" i="8"/>
  <c r="V67" i="8"/>
  <c r="T68" i="8"/>
  <c r="V68" i="8"/>
  <c r="U71" i="8"/>
  <c r="T73" i="8"/>
  <c r="Q73" i="8"/>
  <c r="S73" i="8"/>
  <c r="N73" i="8"/>
  <c r="P73" i="8"/>
  <c r="K73" i="8"/>
  <c r="K86" i="8"/>
  <c r="K87" i="8"/>
  <c r="M80" i="8"/>
  <c r="P80" i="8"/>
  <c r="S80" i="8"/>
  <c r="T85" i="8"/>
  <c r="T36" i="8"/>
  <c r="Q74" i="8"/>
  <c r="S74" i="8"/>
  <c r="N74" i="8"/>
  <c r="P74" i="8"/>
  <c r="P86" i="8"/>
  <c r="P87" i="8"/>
  <c r="P81" i="8"/>
  <c r="S81" i="8"/>
  <c r="V85" i="8"/>
  <c r="V36" i="8"/>
  <c r="T86" i="8"/>
  <c r="T87" i="8"/>
  <c r="V80" i="8"/>
  <c r="Y80" i="8"/>
  <c r="AB80" i="8"/>
  <c r="AE85" i="8"/>
  <c r="AE36" i="8"/>
  <c r="AC86" i="8"/>
  <c r="AC87" i="8"/>
  <c r="AE79" i="8"/>
  <c r="AU79" i="8"/>
  <c r="AC73" i="8"/>
  <c r="AE73" i="8"/>
  <c r="AE86" i="8"/>
  <c r="AE87" i="8"/>
  <c r="AE80" i="8"/>
  <c r="AU80" i="8"/>
  <c r="AC74" i="8"/>
  <c r="AE74" i="8"/>
  <c r="Z64" i="8"/>
  <c r="AB64" i="8"/>
  <c r="Z65" i="8"/>
  <c r="AB65" i="8"/>
  <c r="Z31" i="8"/>
  <c r="Z32" i="8"/>
  <c r="Z33" i="8"/>
  <c r="Z34" i="8"/>
  <c r="Z35" i="8"/>
  <c r="Z66" i="8"/>
  <c r="AB66" i="8"/>
  <c r="Z67" i="8"/>
  <c r="AB31" i="8"/>
  <c r="AB32" i="8"/>
  <c r="AB33" i="8"/>
  <c r="AB34" i="8"/>
  <c r="AB35" i="8"/>
  <c r="AB67" i="8"/>
  <c r="Z68" i="8"/>
  <c r="AB68" i="8"/>
  <c r="AA71" i="8"/>
  <c r="Z74" i="8"/>
  <c r="W74" i="8"/>
  <c r="Y74" i="8"/>
  <c r="T74" i="8"/>
  <c r="V74" i="8"/>
  <c r="V86" i="8"/>
  <c r="V87" i="8"/>
  <c r="V81" i="8"/>
  <c r="Y81" i="8"/>
  <c r="Z85" i="8"/>
  <c r="Z36" i="8"/>
  <c r="W75" i="8"/>
  <c r="Y75" i="8"/>
  <c r="T75" i="8"/>
  <c r="V75" i="8"/>
  <c r="Q75" i="8"/>
  <c r="Q86" i="8"/>
  <c r="Q87" i="8"/>
  <c r="S82" i="8"/>
  <c r="V82" i="8"/>
  <c r="Y82" i="8"/>
  <c r="AB85" i="8"/>
  <c r="AB36" i="8"/>
  <c r="Z86" i="8"/>
  <c r="Z87" i="8"/>
  <c r="AB81" i="8"/>
  <c r="AE81" i="8"/>
  <c r="AU81" i="8"/>
  <c r="AC75" i="8"/>
  <c r="AE75" i="8"/>
  <c r="Z75" i="8"/>
  <c r="AB75" i="8"/>
  <c r="AB86" i="8"/>
  <c r="AB87" i="8"/>
  <c r="AB82" i="8"/>
  <c r="AE82" i="8"/>
  <c r="AU82" i="8"/>
  <c r="AT83" i="8"/>
  <c r="AC76" i="8"/>
  <c r="AE76" i="8"/>
  <c r="Z76" i="8"/>
  <c r="AB76" i="8"/>
  <c r="W76" i="8"/>
  <c r="Y76" i="8"/>
  <c r="Y86" i="8"/>
  <c r="Y87" i="8"/>
  <c r="Y83" i="8"/>
  <c r="AB83" i="8"/>
  <c r="AE83" i="8"/>
  <c r="AU83" i="8"/>
  <c r="E93" i="8"/>
  <c r="B164" i="8"/>
  <c r="AT164" i="8"/>
  <c r="AC116" i="8"/>
  <c r="AC117" i="8"/>
  <c r="AC118" i="8"/>
  <c r="AC119" i="8"/>
  <c r="AC120" i="8"/>
  <c r="AC149" i="8"/>
  <c r="AE149" i="8"/>
  <c r="AC150" i="8"/>
  <c r="AE116" i="8"/>
  <c r="AE117" i="8"/>
  <c r="AE118" i="8"/>
  <c r="AE119" i="8"/>
  <c r="AE120" i="8"/>
  <c r="AE150" i="8"/>
  <c r="AC151" i="8"/>
  <c r="AE151" i="8"/>
  <c r="AC152" i="8"/>
  <c r="AE152" i="8"/>
  <c r="AC153" i="8"/>
  <c r="AE153" i="8"/>
  <c r="AD156" i="8"/>
  <c r="AC157" i="8"/>
  <c r="Z157" i="8"/>
  <c r="AB157" i="8"/>
  <c r="W116" i="8"/>
  <c r="W117" i="8"/>
  <c r="W118" i="8"/>
  <c r="W119" i="8"/>
  <c r="W120" i="8"/>
  <c r="W149" i="8"/>
  <c r="Y149" i="8"/>
  <c r="W150" i="8"/>
  <c r="Y150" i="8"/>
  <c r="W151" i="8"/>
  <c r="Y151" i="8"/>
  <c r="W152" i="8"/>
  <c r="Y152" i="8"/>
  <c r="W153" i="8"/>
  <c r="Y116" i="8"/>
  <c r="Y117" i="8"/>
  <c r="Y118" i="8"/>
  <c r="Y119" i="8"/>
  <c r="Y120" i="8"/>
  <c r="Y153" i="8"/>
  <c r="X156" i="8"/>
  <c r="W157" i="8"/>
  <c r="T157" i="8"/>
  <c r="V157" i="8"/>
  <c r="Q157" i="8"/>
  <c r="S157" i="8"/>
  <c r="N116" i="8"/>
  <c r="N117" i="8"/>
  <c r="N118" i="8"/>
  <c r="N119" i="8"/>
  <c r="N120" i="8"/>
  <c r="N149" i="8"/>
  <c r="P149" i="8"/>
  <c r="N150" i="8"/>
  <c r="P150" i="8"/>
  <c r="N151" i="8"/>
  <c r="P116" i="8"/>
  <c r="P117" i="8"/>
  <c r="P118" i="8"/>
  <c r="P119" i="8"/>
  <c r="P120" i="8"/>
  <c r="P151" i="8"/>
  <c r="N152" i="8"/>
  <c r="P152" i="8"/>
  <c r="N153" i="8"/>
  <c r="P153" i="8"/>
  <c r="O156" i="8"/>
  <c r="N157" i="8"/>
  <c r="K157" i="8"/>
  <c r="M157" i="8"/>
  <c r="H157" i="8"/>
  <c r="J157" i="8"/>
  <c r="E116" i="8"/>
  <c r="E117" i="8"/>
  <c r="E118" i="8"/>
  <c r="E119" i="8"/>
  <c r="E120" i="8"/>
  <c r="E149" i="8"/>
  <c r="G149" i="8"/>
  <c r="E150" i="8"/>
  <c r="G150" i="8"/>
  <c r="E151" i="8"/>
  <c r="G151" i="8"/>
  <c r="E152" i="8"/>
  <c r="G116" i="8"/>
  <c r="G117" i="8"/>
  <c r="G118" i="8"/>
  <c r="G119" i="8"/>
  <c r="G120" i="8"/>
  <c r="G152" i="8"/>
  <c r="E153" i="8"/>
  <c r="G153" i="8"/>
  <c r="F156" i="8"/>
  <c r="E157" i="8"/>
  <c r="B157" i="8"/>
  <c r="D157" i="8"/>
  <c r="C164" i="8"/>
  <c r="D164" i="8"/>
  <c r="E170" i="8"/>
  <c r="E121" i="8"/>
  <c r="B160" i="8"/>
  <c r="D160" i="8"/>
  <c r="B167" i="8"/>
  <c r="C167" i="8"/>
  <c r="D167" i="8"/>
  <c r="G170" i="8"/>
  <c r="G121" i="8"/>
  <c r="E171" i="8"/>
  <c r="E172" i="8"/>
  <c r="G164" i="8"/>
  <c r="J164" i="8"/>
  <c r="M164" i="8"/>
  <c r="N170" i="8"/>
  <c r="N121" i="8"/>
  <c r="K159" i="8"/>
  <c r="M159" i="8"/>
  <c r="H149" i="8"/>
  <c r="J149" i="8"/>
  <c r="H150" i="8"/>
  <c r="J150" i="8"/>
  <c r="H116" i="8"/>
  <c r="H117" i="8"/>
  <c r="H118" i="8"/>
  <c r="H119" i="8"/>
  <c r="H120" i="8"/>
  <c r="H151" i="8"/>
  <c r="J151" i="8"/>
  <c r="H152" i="8"/>
  <c r="J152" i="8"/>
  <c r="H153" i="8"/>
  <c r="J116" i="8"/>
  <c r="J117" i="8"/>
  <c r="J118" i="8"/>
  <c r="J119" i="8"/>
  <c r="J120" i="8"/>
  <c r="J153" i="8"/>
  <c r="I156" i="8"/>
  <c r="H159" i="8"/>
  <c r="E159" i="8"/>
  <c r="G159" i="8"/>
  <c r="B159" i="8"/>
  <c r="D159" i="8"/>
  <c r="E97" i="8"/>
  <c r="B166" i="8"/>
  <c r="C166" i="8"/>
  <c r="D166" i="8"/>
  <c r="G166" i="8"/>
  <c r="H170" i="8"/>
  <c r="H121" i="8"/>
  <c r="E161" i="8"/>
  <c r="G161" i="8"/>
  <c r="B161" i="8"/>
  <c r="B149" i="8"/>
  <c r="D149" i="8"/>
  <c r="B116" i="8"/>
  <c r="B117" i="8"/>
  <c r="B118" i="8"/>
  <c r="B119" i="8"/>
  <c r="B120" i="8"/>
  <c r="B150" i="8"/>
  <c r="D150" i="8"/>
  <c r="B151" i="8"/>
  <c r="D151" i="8"/>
  <c r="B152" i="8"/>
  <c r="D152" i="8"/>
  <c r="B153" i="8"/>
  <c r="D116" i="8"/>
  <c r="D117" i="8"/>
  <c r="D118" i="8"/>
  <c r="D119" i="8"/>
  <c r="D120" i="8"/>
  <c r="D153" i="8"/>
  <c r="C156" i="8"/>
  <c r="D161" i="8"/>
  <c r="E101" i="8"/>
  <c r="B168" i="8"/>
  <c r="C168" i="8"/>
  <c r="D170" i="8"/>
  <c r="D121" i="8"/>
  <c r="E95" i="8"/>
  <c r="B165" i="8"/>
  <c r="C165" i="8"/>
  <c r="B170" i="8"/>
  <c r="B121" i="8"/>
  <c r="D171" i="8"/>
  <c r="D172" i="8"/>
  <c r="D168" i="8"/>
  <c r="G168" i="8"/>
  <c r="J170" i="8"/>
  <c r="J121" i="8"/>
  <c r="H171" i="8"/>
  <c r="H172" i="8"/>
  <c r="J166" i="8"/>
  <c r="M166" i="8"/>
  <c r="P170" i="8"/>
  <c r="P121" i="8"/>
  <c r="N171" i="8"/>
  <c r="N172" i="8"/>
  <c r="P164" i="8"/>
  <c r="S164" i="8"/>
  <c r="V164" i="8"/>
  <c r="W170" i="8"/>
  <c r="W121" i="8"/>
  <c r="T161" i="8"/>
  <c r="V161" i="8"/>
  <c r="Q161" i="8"/>
  <c r="Q149" i="8"/>
  <c r="S149" i="8"/>
  <c r="Q150" i="8"/>
  <c r="S150" i="8"/>
  <c r="Q151" i="8"/>
  <c r="S151" i="8"/>
  <c r="Q116" i="8"/>
  <c r="Q117" i="8"/>
  <c r="Q118" i="8"/>
  <c r="Q119" i="8"/>
  <c r="Q120" i="8"/>
  <c r="Q152" i="8"/>
  <c r="S152" i="8"/>
  <c r="Q153" i="8"/>
  <c r="S116" i="8"/>
  <c r="S117" i="8"/>
  <c r="S118" i="8"/>
  <c r="S119" i="8"/>
  <c r="S120" i="8"/>
  <c r="S153" i="8"/>
  <c r="R156" i="8"/>
  <c r="S161" i="8"/>
  <c r="N161" i="8"/>
  <c r="P161" i="8"/>
  <c r="K161" i="8"/>
  <c r="M161" i="8"/>
  <c r="H161" i="8"/>
  <c r="J161" i="8"/>
  <c r="J171" i="8"/>
  <c r="J172" i="8"/>
  <c r="J168" i="8"/>
  <c r="M168" i="8"/>
  <c r="P168" i="8"/>
  <c r="S170" i="8"/>
  <c r="S121" i="8"/>
  <c r="N160" i="8"/>
  <c r="P160" i="8"/>
  <c r="K160" i="8"/>
  <c r="K149" i="8"/>
  <c r="M149" i="8"/>
  <c r="K116" i="8"/>
  <c r="K117" i="8"/>
  <c r="K118" i="8"/>
  <c r="K119" i="8"/>
  <c r="K120" i="8"/>
  <c r="K150" i="8"/>
  <c r="M150" i="8"/>
  <c r="K151" i="8"/>
  <c r="M151" i="8"/>
  <c r="K152" i="8"/>
  <c r="M116" i="8"/>
  <c r="M117" i="8"/>
  <c r="M118" i="8"/>
  <c r="M119" i="8"/>
  <c r="M120" i="8"/>
  <c r="M152" i="8"/>
  <c r="K153" i="8"/>
  <c r="M153" i="8"/>
  <c r="L156" i="8"/>
  <c r="M160" i="8"/>
  <c r="H160" i="8"/>
  <c r="J160" i="8"/>
  <c r="E160" i="8"/>
  <c r="G160" i="8"/>
  <c r="G171" i="8"/>
  <c r="G172" i="8"/>
  <c r="G167" i="8"/>
  <c r="J167" i="8"/>
  <c r="M170" i="8"/>
  <c r="M121" i="8"/>
  <c r="H158" i="8"/>
  <c r="J158" i="8"/>
  <c r="E158" i="8"/>
  <c r="G158" i="8"/>
  <c r="B158" i="8"/>
  <c r="B171" i="8"/>
  <c r="B172" i="8"/>
  <c r="D165" i="8"/>
  <c r="G165" i="8"/>
  <c r="J165" i="8"/>
  <c r="K170" i="8"/>
  <c r="K121" i="8"/>
  <c r="M171" i="8"/>
  <c r="M172" i="8"/>
  <c r="M167" i="8"/>
  <c r="P167" i="8"/>
  <c r="Q170" i="8"/>
  <c r="Q121" i="8"/>
  <c r="S171" i="8"/>
  <c r="S172" i="8"/>
  <c r="S168" i="8"/>
  <c r="V168" i="8"/>
  <c r="Y170" i="8"/>
  <c r="Y121" i="8"/>
  <c r="W171" i="8"/>
  <c r="W172" i="8"/>
  <c r="Y164" i="8"/>
  <c r="AB164" i="8"/>
  <c r="AC170" i="8"/>
  <c r="AC121" i="8"/>
  <c r="Z158" i="8"/>
  <c r="AB158" i="8"/>
  <c r="W158" i="8"/>
  <c r="Y158" i="8"/>
  <c r="T149" i="8"/>
  <c r="V149" i="8"/>
  <c r="T116" i="8"/>
  <c r="T117" i="8"/>
  <c r="T118" i="8"/>
  <c r="T119" i="8"/>
  <c r="T120" i="8"/>
  <c r="T150" i="8"/>
  <c r="V150" i="8"/>
  <c r="T151" i="8"/>
  <c r="V116" i="8"/>
  <c r="V117" i="8"/>
  <c r="V118" i="8"/>
  <c r="V119" i="8"/>
  <c r="V120" i="8"/>
  <c r="V151" i="8"/>
  <c r="T152" i="8"/>
  <c r="V152" i="8"/>
  <c r="T153" i="8"/>
  <c r="V153" i="8"/>
  <c r="U156" i="8"/>
  <c r="T158" i="8"/>
  <c r="Q158" i="8"/>
  <c r="S158" i="8"/>
  <c r="N158" i="8"/>
  <c r="P158" i="8"/>
  <c r="K158" i="8"/>
  <c r="K171" i="8"/>
  <c r="K172" i="8"/>
  <c r="M165" i="8"/>
  <c r="P165" i="8"/>
  <c r="S165" i="8"/>
  <c r="T170" i="8"/>
  <c r="T121" i="8"/>
  <c r="Q159" i="8"/>
  <c r="S159" i="8"/>
  <c r="N159" i="8"/>
  <c r="P159" i="8"/>
  <c r="P171" i="8"/>
  <c r="P172" i="8"/>
  <c r="P166" i="8"/>
  <c r="S166" i="8"/>
  <c r="V170" i="8"/>
  <c r="V121" i="8"/>
  <c r="T171" i="8"/>
  <c r="T172" i="8"/>
  <c r="V165" i="8"/>
  <c r="Y165" i="8"/>
  <c r="AB165" i="8"/>
  <c r="AE170" i="8"/>
  <c r="AE121" i="8"/>
  <c r="AC171" i="8"/>
  <c r="AC172" i="8"/>
  <c r="AE164" i="8"/>
  <c r="AU164" i="8"/>
  <c r="AT165" i="8"/>
  <c r="AC158" i="8"/>
  <c r="AE158" i="8"/>
  <c r="AE171" i="8"/>
  <c r="AE172" i="8"/>
  <c r="AE165" i="8"/>
  <c r="AU165" i="8"/>
  <c r="AT166" i="8"/>
  <c r="AC159" i="8"/>
  <c r="AE159" i="8"/>
  <c r="Z149" i="8"/>
  <c r="AB149" i="8"/>
  <c r="Z150" i="8"/>
  <c r="AB150" i="8"/>
  <c r="Z116" i="8"/>
  <c r="Z117" i="8"/>
  <c r="Z118" i="8"/>
  <c r="Z119" i="8"/>
  <c r="Z120" i="8"/>
  <c r="Z151" i="8"/>
  <c r="AB151" i="8"/>
  <c r="Z152" i="8"/>
  <c r="AB116" i="8"/>
  <c r="AB117" i="8"/>
  <c r="AB118" i="8"/>
  <c r="AB119" i="8"/>
  <c r="AB120" i="8"/>
  <c r="AB152" i="8"/>
  <c r="Z153" i="8"/>
  <c r="AB153" i="8"/>
  <c r="AA156" i="8"/>
  <c r="Z159" i="8"/>
  <c r="W159" i="8"/>
  <c r="Y159" i="8"/>
  <c r="T159" i="8"/>
  <c r="V159" i="8"/>
  <c r="V171" i="8"/>
  <c r="V172" i="8"/>
  <c r="V166" i="8"/>
  <c r="Y166" i="8"/>
  <c r="Z170" i="8"/>
  <c r="Z121" i="8"/>
  <c r="W160" i="8"/>
  <c r="Y160" i="8"/>
  <c r="T160" i="8"/>
  <c r="V160" i="8"/>
  <c r="Q160" i="8"/>
  <c r="Q171" i="8"/>
  <c r="Q172" i="8"/>
  <c r="S167" i="8"/>
  <c r="V167" i="8"/>
  <c r="Y167" i="8"/>
  <c r="AB170" i="8"/>
  <c r="AB121" i="8"/>
  <c r="Z171" i="8"/>
  <c r="Z172" i="8"/>
  <c r="AB166" i="8"/>
  <c r="AE166" i="8"/>
  <c r="AU166" i="8"/>
  <c r="AT167" i="8"/>
  <c r="AC160" i="8"/>
  <c r="AE160" i="8"/>
  <c r="Z160" i="8"/>
  <c r="AB160" i="8"/>
  <c r="AB171" i="8"/>
  <c r="AB172" i="8"/>
  <c r="AB167" i="8"/>
  <c r="AE167" i="8"/>
  <c r="AU167" i="8"/>
  <c r="AT168" i="8"/>
  <c r="AC161" i="8"/>
  <c r="AE161" i="8"/>
  <c r="Z161" i="8"/>
  <c r="AB161" i="8"/>
  <c r="W161" i="8"/>
  <c r="Y161" i="8"/>
  <c r="Y171" i="8"/>
  <c r="Y172" i="8"/>
  <c r="Y168" i="8"/>
  <c r="AB168" i="8"/>
  <c r="AE168" i="8"/>
  <c r="AU168" i="8"/>
  <c r="AX9" i="8"/>
  <c r="X230" i="8"/>
  <c r="Y231" i="8"/>
  <c r="V179" i="8"/>
  <c r="X210" i="8"/>
  <c r="W227" i="8"/>
  <c r="AX6" i="8"/>
  <c r="X227" i="8"/>
  <c r="W231" i="8"/>
  <c r="Y232" i="8"/>
  <c r="Y233" i="8"/>
  <c r="Y230" i="8"/>
  <c r="AB230" i="8"/>
  <c r="AE230" i="8"/>
  <c r="AU233" i="8"/>
  <c r="AT233" i="8"/>
  <c r="V180" i="8"/>
  <c r="X211" i="8"/>
  <c r="W228" i="8"/>
  <c r="AX8" i="8"/>
  <c r="X228" i="8"/>
  <c r="Y228" i="8"/>
  <c r="Z231" i="8"/>
  <c r="AF179" i="8"/>
  <c r="X212" i="8"/>
  <c r="W229" i="8"/>
  <c r="AX11" i="8"/>
  <c r="X229" i="8"/>
  <c r="Y229" i="8"/>
  <c r="AB231" i="8"/>
  <c r="Z232" i="8"/>
  <c r="Z233" i="8"/>
  <c r="AB228" i="8"/>
  <c r="AE231" i="8"/>
  <c r="AE219" i="8"/>
  <c r="AE220" i="8"/>
  <c r="AE221" i="8"/>
  <c r="AE222" i="8"/>
  <c r="W232" i="8"/>
  <c r="W233" i="8"/>
  <c r="Y227" i="8"/>
  <c r="AB227" i="8"/>
  <c r="AC231" i="8"/>
  <c r="AC219" i="8"/>
  <c r="AC220" i="8"/>
  <c r="AC221" i="8"/>
  <c r="AC222" i="8"/>
  <c r="AE232" i="8"/>
  <c r="AE233" i="8"/>
  <c r="AC232" i="8"/>
  <c r="AC233" i="8"/>
  <c r="AB232" i="8"/>
  <c r="AB233" i="8"/>
  <c r="E219" i="8"/>
  <c r="E220" i="8"/>
  <c r="E221" i="8"/>
  <c r="E222" i="8"/>
  <c r="G219" i="8"/>
  <c r="G220" i="8"/>
  <c r="G221" i="8"/>
  <c r="G222" i="8"/>
  <c r="J218" i="8"/>
  <c r="B180" i="8"/>
  <c r="B211" i="8"/>
  <c r="B228" i="8"/>
  <c r="AX5" i="8"/>
  <c r="C228" i="8"/>
  <c r="D228" i="8"/>
  <c r="E231" i="8"/>
  <c r="L179" i="8"/>
  <c r="B212" i="8"/>
  <c r="B229" i="8"/>
  <c r="AX7" i="8"/>
  <c r="C229" i="8"/>
  <c r="D229" i="8"/>
  <c r="G231" i="8"/>
  <c r="E232" i="8"/>
  <c r="E233" i="8"/>
  <c r="G228" i="8"/>
  <c r="J231" i="8"/>
  <c r="J219" i="8"/>
  <c r="J220" i="8"/>
  <c r="J221" i="8"/>
  <c r="J222" i="8"/>
  <c r="B219" i="8"/>
  <c r="B220" i="8"/>
  <c r="B221" i="8"/>
  <c r="B222" i="8"/>
  <c r="D219" i="8"/>
  <c r="D220" i="8"/>
  <c r="D221" i="8"/>
  <c r="D222" i="8"/>
  <c r="H218" i="8"/>
  <c r="B179" i="8"/>
  <c r="B210" i="8"/>
  <c r="B227" i="8"/>
  <c r="AX3" i="8"/>
  <c r="C227" i="8"/>
  <c r="B231" i="8"/>
  <c r="L180" i="8"/>
  <c r="B213" i="8"/>
  <c r="B230" i="8"/>
  <c r="AX4" i="8"/>
  <c r="C230" i="8"/>
  <c r="D231" i="8"/>
  <c r="B232" i="8"/>
  <c r="B233" i="8"/>
  <c r="D227" i="8"/>
  <c r="G227" i="8"/>
  <c r="H231" i="8"/>
  <c r="H219" i="8"/>
  <c r="H220" i="8"/>
  <c r="H221" i="8"/>
  <c r="H222" i="8"/>
  <c r="J232" i="8"/>
  <c r="J233" i="8"/>
  <c r="H232" i="8"/>
  <c r="H233" i="8"/>
  <c r="G232" i="8"/>
  <c r="G233" i="8"/>
  <c r="D232" i="8"/>
  <c r="D233" i="8"/>
  <c r="AB229" i="8"/>
  <c r="AE229" i="8"/>
  <c r="AU232" i="8"/>
  <c r="AT232" i="8"/>
  <c r="AE228" i="8"/>
  <c r="AU231" i="8"/>
  <c r="AT231" i="8"/>
  <c r="AE227" i="8"/>
  <c r="AU230" i="8"/>
  <c r="AT230" i="8"/>
  <c r="D230" i="8"/>
  <c r="G230" i="8"/>
  <c r="J230" i="8"/>
  <c r="AU229" i="8"/>
  <c r="AT229" i="8"/>
  <c r="G229" i="8"/>
  <c r="J229" i="8"/>
  <c r="AU228" i="8"/>
  <c r="AT228" i="8"/>
  <c r="J228" i="8"/>
  <c r="AU227" i="8"/>
  <c r="AT227" i="8"/>
  <c r="J227" i="8"/>
  <c r="AU226" i="8"/>
  <c r="AT226" i="8"/>
  <c r="AF223" i="8"/>
  <c r="K223" i="8"/>
  <c r="E100" i="8"/>
  <c r="AL180" i="8"/>
  <c r="AG213" i="8"/>
  <c r="E94" i="8"/>
  <c r="R180" i="8"/>
  <c r="K213" i="8"/>
  <c r="E17" i="8"/>
  <c r="AL179" i="8"/>
  <c r="AG212" i="8"/>
  <c r="E13" i="8"/>
  <c r="R179" i="8"/>
  <c r="K212" i="8"/>
  <c r="E98" i="8"/>
  <c r="AB180" i="8"/>
  <c r="AG211" i="8"/>
  <c r="E96" i="8"/>
  <c r="H180" i="8"/>
  <c r="K211" i="8"/>
  <c r="E11" i="8"/>
  <c r="AB179" i="8"/>
  <c r="AG210" i="8"/>
  <c r="E9" i="8"/>
  <c r="H179" i="8"/>
  <c r="K210" i="8"/>
  <c r="U204" i="8"/>
  <c r="A204" i="8"/>
  <c r="AB203" i="8"/>
  <c r="F203" i="8"/>
  <c r="U199" i="8"/>
  <c r="A199" i="8"/>
  <c r="AF198" i="8"/>
  <c r="J198" i="8"/>
  <c r="U195" i="8"/>
  <c r="A195" i="8"/>
  <c r="AB193" i="8"/>
  <c r="T193" i="8"/>
  <c r="F193" i="8"/>
  <c r="A193" i="8"/>
  <c r="U190" i="8"/>
  <c r="A190" i="8"/>
  <c r="A174" i="8"/>
  <c r="AF161" i="8"/>
  <c r="S160" i="8"/>
  <c r="AF160" i="8"/>
  <c r="J159" i="8"/>
  <c r="AB159" i="8"/>
  <c r="AF159" i="8"/>
  <c r="D158" i="8"/>
  <c r="M158" i="8"/>
  <c r="V158" i="8"/>
  <c r="AF158" i="8"/>
  <c r="G157" i="8"/>
  <c r="P157" i="8"/>
  <c r="Y157" i="8"/>
  <c r="AE157" i="8"/>
  <c r="AF157" i="8"/>
  <c r="AF153" i="8"/>
  <c r="AG153" i="8"/>
  <c r="AF152" i="8"/>
  <c r="AG152" i="8"/>
  <c r="AF151" i="8"/>
  <c r="AG151" i="8"/>
  <c r="AF150" i="8"/>
  <c r="AG150" i="8"/>
  <c r="AF149" i="8"/>
  <c r="AG149" i="8"/>
  <c r="B147" i="8"/>
  <c r="B124" i="8"/>
  <c r="D124" i="8"/>
  <c r="B125" i="8"/>
  <c r="D125" i="8"/>
  <c r="B126" i="8"/>
  <c r="D126" i="8"/>
  <c r="B127" i="8"/>
  <c r="D127" i="8"/>
  <c r="B128" i="8"/>
  <c r="D128" i="8"/>
  <c r="B129" i="8"/>
  <c r="D147" i="8"/>
  <c r="E147" i="8"/>
  <c r="G147" i="8"/>
  <c r="H147" i="8"/>
  <c r="H124" i="8"/>
  <c r="J124" i="8"/>
  <c r="H125" i="8"/>
  <c r="J125" i="8"/>
  <c r="H126" i="8"/>
  <c r="J126" i="8"/>
  <c r="H127" i="8"/>
  <c r="J127" i="8"/>
  <c r="H128" i="8"/>
  <c r="J128" i="8"/>
  <c r="H129" i="8"/>
  <c r="J147" i="8"/>
  <c r="K147" i="8"/>
  <c r="M147" i="8"/>
  <c r="N147" i="8"/>
  <c r="P147" i="8"/>
  <c r="Q147" i="8"/>
  <c r="Q124" i="8"/>
  <c r="S124" i="8"/>
  <c r="Q125" i="8"/>
  <c r="S125" i="8"/>
  <c r="Q126" i="8"/>
  <c r="S126" i="8"/>
  <c r="Q127" i="8"/>
  <c r="S127" i="8"/>
  <c r="Q128" i="8"/>
  <c r="S128" i="8"/>
  <c r="Q129" i="8"/>
  <c r="S147" i="8"/>
  <c r="T147" i="8"/>
  <c r="V147" i="8"/>
  <c r="W147" i="8"/>
  <c r="W124" i="8"/>
  <c r="Y124" i="8"/>
  <c r="W125" i="8"/>
  <c r="Y125" i="8"/>
  <c r="W126" i="8"/>
  <c r="Y126" i="8"/>
  <c r="W127" i="8"/>
  <c r="Y127" i="8"/>
  <c r="W128" i="8"/>
  <c r="Y128" i="8"/>
  <c r="W129" i="8"/>
  <c r="Y147" i="8"/>
  <c r="Z147" i="8"/>
  <c r="AB147" i="8"/>
  <c r="AC147" i="8"/>
  <c r="AE147" i="8"/>
  <c r="AF147" i="8"/>
  <c r="B146" i="8"/>
  <c r="D146" i="8"/>
  <c r="E146" i="8"/>
  <c r="E124" i="8"/>
  <c r="G124" i="8"/>
  <c r="E125" i="8"/>
  <c r="G125" i="8"/>
  <c r="E126" i="8"/>
  <c r="G126" i="8"/>
  <c r="E127" i="8"/>
  <c r="G127" i="8"/>
  <c r="E128" i="8"/>
  <c r="G128" i="8"/>
  <c r="E129" i="8"/>
  <c r="G146" i="8"/>
  <c r="H146" i="8"/>
  <c r="J146" i="8"/>
  <c r="K146" i="8"/>
  <c r="K124" i="8"/>
  <c r="M124" i="8"/>
  <c r="K125" i="8"/>
  <c r="M125" i="8"/>
  <c r="K126" i="8"/>
  <c r="M126" i="8"/>
  <c r="K127" i="8"/>
  <c r="M127" i="8"/>
  <c r="K128" i="8"/>
  <c r="M128" i="8"/>
  <c r="K129" i="8"/>
  <c r="M146" i="8"/>
  <c r="N146" i="8"/>
  <c r="P146" i="8"/>
  <c r="Q146" i="8"/>
  <c r="S146" i="8"/>
  <c r="T146" i="8"/>
  <c r="V146" i="8"/>
  <c r="W146" i="8"/>
  <c r="Y146" i="8"/>
  <c r="Z146" i="8"/>
  <c r="Z124" i="8"/>
  <c r="AB124" i="8"/>
  <c r="Z125" i="8"/>
  <c r="AB125" i="8"/>
  <c r="Z126" i="8"/>
  <c r="AB126" i="8"/>
  <c r="Z127" i="8"/>
  <c r="AB127" i="8"/>
  <c r="Z128" i="8"/>
  <c r="AB128" i="8"/>
  <c r="Z129" i="8"/>
  <c r="AB146" i="8"/>
  <c r="AC146" i="8"/>
  <c r="AE146" i="8"/>
  <c r="AF146" i="8"/>
  <c r="B145" i="8"/>
  <c r="D145" i="8"/>
  <c r="E145" i="8"/>
  <c r="G145" i="8"/>
  <c r="H145" i="8"/>
  <c r="J145" i="8"/>
  <c r="K145" i="8"/>
  <c r="M145" i="8"/>
  <c r="N145" i="8"/>
  <c r="N124" i="8"/>
  <c r="P124" i="8"/>
  <c r="N125" i="8"/>
  <c r="P125" i="8"/>
  <c r="N126" i="8"/>
  <c r="P126" i="8"/>
  <c r="N127" i="8"/>
  <c r="P127" i="8"/>
  <c r="N128" i="8"/>
  <c r="P128" i="8"/>
  <c r="N129" i="8"/>
  <c r="P145" i="8"/>
  <c r="Q145" i="8"/>
  <c r="S145" i="8"/>
  <c r="T145" i="8"/>
  <c r="T124" i="8"/>
  <c r="V124" i="8"/>
  <c r="T125" i="8"/>
  <c r="V125" i="8"/>
  <c r="T126" i="8"/>
  <c r="V126" i="8"/>
  <c r="T127" i="8"/>
  <c r="V127" i="8"/>
  <c r="T128" i="8"/>
  <c r="V128" i="8"/>
  <c r="T129" i="8"/>
  <c r="V145" i="8"/>
  <c r="W145" i="8"/>
  <c r="Y145" i="8"/>
  <c r="Z145" i="8"/>
  <c r="AB145" i="8"/>
  <c r="AC145" i="8"/>
  <c r="AE145" i="8"/>
  <c r="AF145" i="8"/>
  <c r="B144" i="8"/>
  <c r="D144" i="8"/>
  <c r="E144" i="8"/>
  <c r="G144" i="8"/>
  <c r="H144" i="8"/>
  <c r="J144" i="8"/>
  <c r="K144" i="8"/>
  <c r="M144" i="8"/>
  <c r="N144" i="8"/>
  <c r="P144" i="8"/>
  <c r="Q144" i="8"/>
  <c r="S144" i="8"/>
  <c r="T144" i="8"/>
  <c r="V144" i="8"/>
  <c r="W144" i="8"/>
  <c r="Y144" i="8"/>
  <c r="Z144" i="8"/>
  <c r="AB144" i="8"/>
  <c r="AC144" i="8"/>
  <c r="AC124" i="8"/>
  <c r="AE124" i="8"/>
  <c r="AC125" i="8"/>
  <c r="AE125" i="8"/>
  <c r="AC126" i="8"/>
  <c r="AE126" i="8"/>
  <c r="AC127" i="8"/>
  <c r="AE127" i="8"/>
  <c r="AC128" i="8"/>
  <c r="AE128" i="8"/>
  <c r="AC129" i="8"/>
  <c r="AE144" i="8"/>
  <c r="AF144" i="8"/>
  <c r="B143" i="8"/>
  <c r="D143" i="8"/>
  <c r="E143" i="8"/>
  <c r="G143" i="8"/>
  <c r="H143" i="8"/>
  <c r="J143" i="8"/>
  <c r="K143" i="8"/>
  <c r="M143" i="8"/>
  <c r="N143" i="8"/>
  <c r="P143" i="8"/>
  <c r="Q143" i="8"/>
  <c r="S143" i="8"/>
  <c r="T143" i="8"/>
  <c r="V143" i="8"/>
  <c r="W143" i="8"/>
  <c r="Y143" i="8"/>
  <c r="Z143" i="8"/>
  <c r="AB143" i="8"/>
  <c r="AC143" i="8"/>
  <c r="AE143" i="8"/>
  <c r="AF143" i="8"/>
  <c r="B141" i="8"/>
  <c r="B122" i="8"/>
  <c r="D122" i="8"/>
  <c r="C122" i="8"/>
  <c r="D141" i="8"/>
  <c r="E141" i="8"/>
  <c r="G141" i="8"/>
  <c r="H141" i="8"/>
  <c r="H122" i="8"/>
  <c r="J122" i="8"/>
  <c r="I122" i="8"/>
  <c r="J141" i="8"/>
  <c r="K141" i="8"/>
  <c r="M141" i="8"/>
  <c r="N141" i="8"/>
  <c r="P141" i="8"/>
  <c r="Q141" i="8"/>
  <c r="Q122" i="8"/>
  <c r="S122" i="8"/>
  <c r="R122" i="8"/>
  <c r="S141" i="8"/>
  <c r="T141" i="8"/>
  <c r="V141" i="8"/>
  <c r="W141" i="8"/>
  <c r="W122" i="8"/>
  <c r="Y122" i="8"/>
  <c r="X122" i="8"/>
  <c r="Y141" i="8"/>
  <c r="Z141" i="8"/>
  <c r="AB141" i="8"/>
  <c r="AC141" i="8"/>
  <c r="AE141" i="8"/>
  <c r="AF141" i="8"/>
  <c r="B140" i="8"/>
  <c r="D140" i="8"/>
  <c r="E140" i="8"/>
  <c r="E122" i="8"/>
  <c r="G122" i="8"/>
  <c r="F122" i="8"/>
  <c r="G140" i="8"/>
  <c r="H140" i="8"/>
  <c r="J140" i="8"/>
  <c r="K140" i="8"/>
  <c r="K122" i="8"/>
  <c r="M122" i="8"/>
  <c r="L122" i="8"/>
  <c r="M140" i="8"/>
  <c r="N140" i="8"/>
  <c r="P140" i="8"/>
  <c r="Q140" i="8"/>
  <c r="S140" i="8"/>
  <c r="T140" i="8"/>
  <c r="V140" i="8"/>
  <c r="W140" i="8"/>
  <c r="Y140" i="8"/>
  <c r="Z140" i="8"/>
  <c r="Z122" i="8"/>
  <c r="AB122" i="8"/>
  <c r="AA122" i="8"/>
  <c r="AB140" i="8"/>
  <c r="AC140" i="8"/>
  <c r="AE140" i="8"/>
  <c r="AF140" i="8"/>
  <c r="B139" i="8"/>
  <c r="D139" i="8"/>
  <c r="E139" i="8"/>
  <c r="G139" i="8"/>
  <c r="H139" i="8"/>
  <c r="J139" i="8"/>
  <c r="K139" i="8"/>
  <c r="M139" i="8"/>
  <c r="N139" i="8"/>
  <c r="N122" i="8"/>
  <c r="P122" i="8"/>
  <c r="O122" i="8"/>
  <c r="P139" i="8"/>
  <c r="Q139" i="8"/>
  <c r="S139" i="8"/>
  <c r="T139" i="8"/>
  <c r="T122" i="8"/>
  <c r="V122" i="8"/>
  <c r="U122" i="8"/>
  <c r="V139" i="8"/>
  <c r="W139" i="8"/>
  <c r="Y139" i="8"/>
  <c r="Z139" i="8"/>
  <c r="AB139" i="8"/>
  <c r="AC139" i="8"/>
  <c r="AE139" i="8"/>
  <c r="AF139" i="8"/>
  <c r="B138" i="8"/>
  <c r="D138" i="8"/>
  <c r="E138" i="8"/>
  <c r="G138" i="8"/>
  <c r="H138" i="8"/>
  <c r="J138" i="8"/>
  <c r="K138" i="8"/>
  <c r="M138" i="8"/>
  <c r="N138" i="8"/>
  <c r="P138" i="8"/>
  <c r="Q138" i="8"/>
  <c r="S138" i="8"/>
  <c r="T138" i="8"/>
  <c r="V138" i="8"/>
  <c r="W138" i="8"/>
  <c r="Y138" i="8"/>
  <c r="Z138" i="8"/>
  <c r="AB138" i="8"/>
  <c r="AC138" i="8"/>
  <c r="AC122" i="8"/>
  <c r="AE122" i="8"/>
  <c r="AD122" i="8"/>
  <c r="AE138" i="8"/>
  <c r="AF138" i="8"/>
  <c r="B137" i="8"/>
  <c r="D137" i="8"/>
  <c r="E137" i="8"/>
  <c r="G137" i="8"/>
  <c r="H137" i="8"/>
  <c r="J137" i="8"/>
  <c r="K137" i="8"/>
  <c r="M137" i="8"/>
  <c r="N137" i="8"/>
  <c r="P137" i="8"/>
  <c r="Q137" i="8"/>
  <c r="S137" i="8"/>
  <c r="T137" i="8"/>
  <c r="V137" i="8"/>
  <c r="W137" i="8"/>
  <c r="Y137" i="8"/>
  <c r="Z137" i="8"/>
  <c r="AB137" i="8"/>
  <c r="AC137" i="8"/>
  <c r="AE137" i="8"/>
  <c r="AF137" i="8"/>
  <c r="B135" i="8"/>
  <c r="D135" i="8"/>
  <c r="E135" i="8"/>
  <c r="G135" i="8"/>
  <c r="H135" i="8"/>
  <c r="J135" i="8"/>
  <c r="K135" i="8"/>
  <c r="M135" i="8"/>
  <c r="N135" i="8"/>
  <c r="P135" i="8"/>
  <c r="Q135" i="8"/>
  <c r="S135" i="8"/>
  <c r="T135" i="8"/>
  <c r="V135" i="8"/>
  <c r="W135" i="8"/>
  <c r="Y135" i="8"/>
  <c r="Z135" i="8"/>
  <c r="AB135" i="8"/>
  <c r="AC135" i="8"/>
  <c r="AE135" i="8"/>
  <c r="AF135" i="8"/>
  <c r="AG135" i="8"/>
  <c r="B134" i="8"/>
  <c r="D134" i="8"/>
  <c r="E134" i="8"/>
  <c r="G134" i="8"/>
  <c r="H134" i="8"/>
  <c r="J134" i="8"/>
  <c r="K134" i="8"/>
  <c r="M134" i="8"/>
  <c r="N134" i="8"/>
  <c r="P134" i="8"/>
  <c r="Q134" i="8"/>
  <c r="S134" i="8"/>
  <c r="T134" i="8"/>
  <c r="V134" i="8"/>
  <c r="W134" i="8"/>
  <c r="Y134" i="8"/>
  <c r="Z134" i="8"/>
  <c r="AB134" i="8"/>
  <c r="AC134" i="8"/>
  <c r="AE134" i="8"/>
  <c r="AF134" i="8"/>
  <c r="AG134" i="8"/>
  <c r="B133" i="8"/>
  <c r="D133" i="8"/>
  <c r="E133" i="8"/>
  <c r="G133" i="8"/>
  <c r="H133" i="8"/>
  <c r="J133" i="8"/>
  <c r="K133" i="8"/>
  <c r="M133" i="8"/>
  <c r="N133" i="8"/>
  <c r="P133" i="8"/>
  <c r="Q133" i="8"/>
  <c r="S133" i="8"/>
  <c r="T133" i="8"/>
  <c r="V133" i="8"/>
  <c r="W133" i="8"/>
  <c r="Y133" i="8"/>
  <c r="Z133" i="8"/>
  <c r="AB133" i="8"/>
  <c r="AC133" i="8"/>
  <c r="AE133" i="8"/>
  <c r="AF133" i="8"/>
  <c r="AG133" i="8"/>
  <c r="B132" i="8"/>
  <c r="D132" i="8"/>
  <c r="E132" i="8"/>
  <c r="G132" i="8"/>
  <c r="H132" i="8"/>
  <c r="J132" i="8"/>
  <c r="K132" i="8"/>
  <c r="M132" i="8"/>
  <c r="N132" i="8"/>
  <c r="P132" i="8"/>
  <c r="Q132" i="8"/>
  <c r="S132" i="8"/>
  <c r="T132" i="8"/>
  <c r="V132" i="8"/>
  <c r="W132" i="8"/>
  <c r="Y132" i="8"/>
  <c r="Z132" i="8"/>
  <c r="AB132" i="8"/>
  <c r="AC132" i="8"/>
  <c r="AE132" i="8"/>
  <c r="AF132" i="8"/>
  <c r="AG132" i="8"/>
  <c r="B131" i="8"/>
  <c r="D131" i="8"/>
  <c r="E131" i="8"/>
  <c r="G131" i="8"/>
  <c r="H131" i="8"/>
  <c r="J131" i="8"/>
  <c r="K131" i="8"/>
  <c r="M131" i="8"/>
  <c r="N131" i="8"/>
  <c r="P131" i="8"/>
  <c r="Q131" i="8"/>
  <c r="S131" i="8"/>
  <c r="T131" i="8"/>
  <c r="V131" i="8"/>
  <c r="W131" i="8"/>
  <c r="Y131" i="8"/>
  <c r="Z131" i="8"/>
  <c r="AB131" i="8"/>
  <c r="AC131" i="8"/>
  <c r="AE131" i="8"/>
  <c r="AF131" i="8"/>
  <c r="AG131" i="8"/>
  <c r="AE115" i="8"/>
  <c r="AC115" i="8"/>
  <c r="AB115" i="8"/>
  <c r="Z115" i="8"/>
  <c r="Y115" i="8"/>
  <c r="W115" i="8"/>
  <c r="V115" i="8"/>
  <c r="T115" i="8"/>
  <c r="S115" i="8"/>
  <c r="Q115" i="8"/>
  <c r="P115" i="8"/>
  <c r="N115" i="8"/>
  <c r="M115" i="8"/>
  <c r="K115" i="8"/>
  <c r="J115" i="8"/>
  <c r="H115" i="8"/>
  <c r="G115" i="8"/>
  <c r="E115" i="8"/>
  <c r="D115" i="8"/>
  <c r="B115" i="8"/>
  <c r="AD114" i="8"/>
  <c r="AA114" i="8"/>
  <c r="X114" i="8"/>
  <c r="U114" i="8"/>
  <c r="R114" i="8"/>
  <c r="O114" i="8"/>
  <c r="L114" i="8"/>
  <c r="I114" i="8"/>
  <c r="F114" i="8"/>
  <c r="A114" i="8"/>
  <c r="AG113" i="8"/>
  <c r="AH113" i="8"/>
  <c r="AI113" i="8"/>
  <c r="AJ113" i="8"/>
  <c r="AK113" i="8"/>
  <c r="AL113" i="8"/>
  <c r="AM113" i="8"/>
  <c r="AN113" i="8"/>
  <c r="AO113" i="8"/>
  <c r="AP113" i="8"/>
  <c r="AQ113" i="8"/>
  <c r="AF113" i="8"/>
  <c r="AD113" i="8"/>
  <c r="AA113" i="8"/>
  <c r="X113" i="8"/>
  <c r="U113" i="8"/>
  <c r="R113" i="8"/>
  <c r="O113" i="8"/>
  <c r="L113" i="8"/>
  <c r="I113" i="8"/>
  <c r="F113" i="8"/>
  <c r="A113" i="8"/>
  <c r="AG112" i="8"/>
  <c r="AH112" i="8"/>
  <c r="AI112" i="8"/>
  <c r="AJ112" i="8"/>
  <c r="AK112" i="8"/>
  <c r="AL112" i="8"/>
  <c r="AM112" i="8"/>
  <c r="AN112" i="8"/>
  <c r="AO112" i="8"/>
  <c r="AP112" i="8"/>
  <c r="AQ112" i="8"/>
  <c r="AF112" i="8"/>
  <c r="AD112" i="8"/>
  <c r="AA112" i="8"/>
  <c r="X112" i="8"/>
  <c r="U112" i="8"/>
  <c r="R112" i="8"/>
  <c r="O112" i="8"/>
  <c r="L112" i="8"/>
  <c r="I112" i="8"/>
  <c r="F112" i="8"/>
  <c r="A112" i="8"/>
  <c r="AG111" i="8"/>
  <c r="AH111" i="8"/>
  <c r="AI111" i="8"/>
  <c r="AJ111" i="8"/>
  <c r="AK111" i="8"/>
  <c r="AL111" i="8"/>
  <c r="AM111" i="8"/>
  <c r="AN111" i="8"/>
  <c r="AO111" i="8"/>
  <c r="AP111" i="8"/>
  <c r="AQ111" i="8"/>
  <c r="AF111" i="8"/>
  <c r="AD111" i="8"/>
  <c r="AA111" i="8"/>
  <c r="X111" i="8"/>
  <c r="U111" i="8"/>
  <c r="R111" i="8"/>
  <c r="O111" i="8"/>
  <c r="L111" i="8"/>
  <c r="I111" i="8"/>
  <c r="F111" i="8"/>
  <c r="A111" i="8"/>
  <c r="AG110" i="8"/>
  <c r="AH110" i="8"/>
  <c r="AI110" i="8"/>
  <c r="AJ110" i="8"/>
  <c r="AK110" i="8"/>
  <c r="AL110" i="8"/>
  <c r="AM110" i="8"/>
  <c r="AN110" i="8"/>
  <c r="AO110" i="8"/>
  <c r="AP110" i="8"/>
  <c r="AQ110" i="8"/>
  <c r="AF110" i="8"/>
  <c r="AD110" i="8"/>
  <c r="AA110" i="8"/>
  <c r="X110" i="8"/>
  <c r="U110" i="8"/>
  <c r="R110" i="8"/>
  <c r="O110" i="8"/>
  <c r="L110" i="8"/>
  <c r="I110" i="8"/>
  <c r="F110" i="8"/>
  <c r="AG109" i="8"/>
  <c r="AH109" i="8"/>
  <c r="AI109" i="8"/>
  <c r="AJ109" i="8"/>
  <c r="AK109" i="8"/>
  <c r="AL109" i="8"/>
  <c r="AM109" i="8"/>
  <c r="AN109" i="8"/>
  <c r="AO109" i="8"/>
  <c r="AP109" i="8"/>
  <c r="AQ109" i="8"/>
  <c r="AF109" i="8"/>
  <c r="AD109" i="8"/>
  <c r="AA109" i="8"/>
  <c r="X109" i="8"/>
  <c r="U109" i="8"/>
  <c r="R109" i="8"/>
  <c r="O109" i="8"/>
  <c r="L109" i="8"/>
  <c r="I109" i="8"/>
  <c r="F109" i="8"/>
  <c r="AC107" i="8"/>
  <c r="Z107" i="8"/>
  <c r="W107" i="8"/>
  <c r="T107" i="8"/>
  <c r="Q107" i="8"/>
  <c r="N107" i="8"/>
  <c r="K107" i="8"/>
  <c r="H107" i="8"/>
  <c r="E107" i="8"/>
  <c r="E102" i="8"/>
  <c r="AC101" i="8"/>
  <c r="Z101" i="8"/>
  <c r="W101" i="8"/>
  <c r="R101" i="8"/>
  <c r="L101" i="8"/>
  <c r="A101" i="8"/>
  <c r="AC99" i="8"/>
  <c r="Z99" i="8"/>
  <c r="W99" i="8"/>
  <c r="R99" i="8"/>
  <c r="L99" i="8"/>
  <c r="A99" i="8"/>
  <c r="AC97" i="8"/>
  <c r="Z97" i="8"/>
  <c r="W97" i="8"/>
  <c r="R97" i="8"/>
  <c r="L97" i="8"/>
  <c r="A97" i="8"/>
  <c r="AC95" i="8"/>
  <c r="Z95" i="8"/>
  <c r="W95" i="8"/>
  <c r="R95" i="8"/>
  <c r="L95" i="8"/>
  <c r="A95" i="8"/>
  <c r="AC93" i="8"/>
  <c r="Z93" i="8"/>
  <c r="W93" i="8"/>
  <c r="R93" i="8"/>
  <c r="L93" i="8"/>
  <c r="A93" i="8"/>
  <c r="R92" i="8"/>
  <c r="L92" i="8"/>
  <c r="K91" i="8"/>
  <c r="A89" i="8"/>
  <c r="AF76" i="8"/>
  <c r="S75" i="8"/>
  <c r="AF75" i="8"/>
  <c r="J74" i="8"/>
  <c r="AB74" i="8"/>
  <c r="AF74" i="8"/>
  <c r="D73" i="8"/>
  <c r="M73" i="8"/>
  <c r="V73" i="8"/>
  <c r="AF73" i="8"/>
  <c r="G72" i="8"/>
  <c r="P72" i="8"/>
  <c r="Y72" i="8"/>
  <c r="AE72" i="8"/>
  <c r="AF72" i="8"/>
  <c r="AF68" i="8"/>
  <c r="AG68" i="8"/>
  <c r="AF67" i="8"/>
  <c r="AG67" i="8"/>
  <c r="AF66" i="8"/>
  <c r="AG66" i="8"/>
  <c r="AF65" i="8"/>
  <c r="AG65" i="8"/>
  <c r="AF64" i="8"/>
  <c r="AG64" i="8"/>
  <c r="B62" i="8"/>
  <c r="B39" i="8"/>
  <c r="D39" i="8"/>
  <c r="B40" i="8"/>
  <c r="D40" i="8"/>
  <c r="B41" i="8"/>
  <c r="D41" i="8"/>
  <c r="B42" i="8"/>
  <c r="D42" i="8"/>
  <c r="B43" i="8"/>
  <c r="D43" i="8"/>
  <c r="B44" i="8"/>
  <c r="D62" i="8"/>
  <c r="E62" i="8"/>
  <c r="G62" i="8"/>
  <c r="H62" i="8"/>
  <c r="H39" i="8"/>
  <c r="J39" i="8"/>
  <c r="H40" i="8"/>
  <c r="J40" i="8"/>
  <c r="H41" i="8"/>
  <c r="J41" i="8"/>
  <c r="H42" i="8"/>
  <c r="J42" i="8"/>
  <c r="H43" i="8"/>
  <c r="J43" i="8"/>
  <c r="H44" i="8"/>
  <c r="J62" i="8"/>
  <c r="K62" i="8"/>
  <c r="M62" i="8"/>
  <c r="N62" i="8"/>
  <c r="P62" i="8"/>
  <c r="Q62" i="8"/>
  <c r="Q39" i="8"/>
  <c r="S39" i="8"/>
  <c r="Q40" i="8"/>
  <c r="S40" i="8"/>
  <c r="Q41" i="8"/>
  <c r="S41" i="8"/>
  <c r="Q42" i="8"/>
  <c r="S42" i="8"/>
  <c r="Q43" i="8"/>
  <c r="S43" i="8"/>
  <c r="Q44" i="8"/>
  <c r="S62" i="8"/>
  <c r="T62" i="8"/>
  <c r="V62" i="8"/>
  <c r="W62" i="8"/>
  <c r="W39" i="8"/>
  <c r="Y39" i="8"/>
  <c r="W40" i="8"/>
  <c r="Y40" i="8"/>
  <c r="W41" i="8"/>
  <c r="Y41" i="8"/>
  <c r="W42" i="8"/>
  <c r="Y42" i="8"/>
  <c r="W43" i="8"/>
  <c r="Y43" i="8"/>
  <c r="W44" i="8"/>
  <c r="Y62" i="8"/>
  <c r="Z62" i="8"/>
  <c r="AB62" i="8"/>
  <c r="AC62" i="8"/>
  <c r="AE62" i="8"/>
  <c r="AF62" i="8"/>
  <c r="B61" i="8"/>
  <c r="D61" i="8"/>
  <c r="E61" i="8"/>
  <c r="E39" i="8"/>
  <c r="G39" i="8"/>
  <c r="E40" i="8"/>
  <c r="G40" i="8"/>
  <c r="E41" i="8"/>
  <c r="G41" i="8"/>
  <c r="E42" i="8"/>
  <c r="G42" i="8"/>
  <c r="E43" i="8"/>
  <c r="G43" i="8"/>
  <c r="E44" i="8"/>
  <c r="G61" i="8"/>
  <c r="H61" i="8"/>
  <c r="J61" i="8"/>
  <c r="K61" i="8"/>
  <c r="K39" i="8"/>
  <c r="M39" i="8"/>
  <c r="K40" i="8"/>
  <c r="M40" i="8"/>
  <c r="K41" i="8"/>
  <c r="M41" i="8"/>
  <c r="K42" i="8"/>
  <c r="M42" i="8"/>
  <c r="K43" i="8"/>
  <c r="M43" i="8"/>
  <c r="K44" i="8"/>
  <c r="M61" i="8"/>
  <c r="N61" i="8"/>
  <c r="P61" i="8"/>
  <c r="Q61" i="8"/>
  <c r="S61" i="8"/>
  <c r="T61" i="8"/>
  <c r="V61" i="8"/>
  <c r="W61" i="8"/>
  <c r="Y61" i="8"/>
  <c r="Z61" i="8"/>
  <c r="Z39" i="8"/>
  <c r="AB39" i="8"/>
  <c r="Z40" i="8"/>
  <c r="AB40" i="8"/>
  <c r="Z41" i="8"/>
  <c r="AB41" i="8"/>
  <c r="Z42" i="8"/>
  <c r="AB42" i="8"/>
  <c r="Z43" i="8"/>
  <c r="AB43" i="8"/>
  <c r="Z44" i="8"/>
  <c r="AB61" i="8"/>
  <c r="AC61" i="8"/>
  <c r="AE61" i="8"/>
  <c r="AF61" i="8"/>
  <c r="B60" i="8"/>
  <c r="D60" i="8"/>
  <c r="E60" i="8"/>
  <c r="G60" i="8"/>
  <c r="H60" i="8"/>
  <c r="J60" i="8"/>
  <c r="K60" i="8"/>
  <c r="M60" i="8"/>
  <c r="N60" i="8"/>
  <c r="N39" i="8"/>
  <c r="P39" i="8"/>
  <c r="N40" i="8"/>
  <c r="P40" i="8"/>
  <c r="N41" i="8"/>
  <c r="P41" i="8"/>
  <c r="N42" i="8"/>
  <c r="P42" i="8"/>
  <c r="N43" i="8"/>
  <c r="P43" i="8"/>
  <c r="N44" i="8"/>
  <c r="P60" i="8"/>
  <c r="Q60" i="8"/>
  <c r="S60" i="8"/>
  <c r="T60" i="8"/>
  <c r="T39" i="8"/>
  <c r="V39" i="8"/>
  <c r="T40" i="8"/>
  <c r="V40" i="8"/>
  <c r="T41" i="8"/>
  <c r="V41" i="8"/>
  <c r="T42" i="8"/>
  <c r="V42" i="8"/>
  <c r="T43" i="8"/>
  <c r="V43" i="8"/>
  <c r="T44" i="8"/>
  <c r="V60" i="8"/>
  <c r="W60" i="8"/>
  <c r="Y60" i="8"/>
  <c r="Z60" i="8"/>
  <c r="AB60" i="8"/>
  <c r="AC60" i="8"/>
  <c r="AE60" i="8"/>
  <c r="AF60" i="8"/>
  <c r="B59" i="8"/>
  <c r="D59" i="8"/>
  <c r="E59" i="8"/>
  <c r="G59" i="8"/>
  <c r="H59" i="8"/>
  <c r="J59" i="8"/>
  <c r="K59" i="8"/>
  <c r="M59" i="8"/>
  <c r="N59" i="8"/>
  <c r="P59" i="8"/>
  <c r="Q59" i="8"/>
  <c r="S59" i="8"/>
  <c r="T59" i="8"/>
  <c r="V59" i="8"/>
  <c r="W59" i="8"/>
  <c r="Y59" i="8"/>
  <c r="Z59" i="8"/>
  <c r="AB59" i="8"/>
  <c r="AC59" i="8"/>
  <c r="AC39" i="8"/>
  <c r="AE39" i="8"/>
  <c r="AC40" i="8"/>
  <c r="AE40" i="8"/>
  <c r="AC41" i="8"/>
  <c r="AE41" i="8"/>
  <c r="AC42" i="8"/>
  <c r="AE42" i="8"/>
  <c r="AC43" i="8"/>
  <c r="AE43" i="8"/>
  <c r="AC44" i="8"/>
  <c r="AE59" i="8"/>
  <c r="AF59" i="8"/>
  <c r="B58" i="8"/>
  <c r="D58" i="8"/>
  <c r="E58" i="8"/>
  <c r="G58" i="8"/>
  <c r="H58" i="8"/>
  <c r="J58" i="8"/>
  <c r="K58" i="8"/>
  <c r="M58" i="8"/>
  <c r="N58" i="8"/>
  <c r="P58" i="8"/>
  <c r="Q58" i="8"/>
  <c r="S58" i="8"/>
  <c r="T58" i="8"/>
  <c r="V58" i="8"/>
  <c r="W58" i="8"/>
  <c r="Y58" i="8"/>
  <c r="Z58" i="8"/>
  <c r="AB58" i="8"/>
  <c r="AC58" i="8"/>
  <c r="AE58" i="8"/>
  <c r="AF58" i="8"/>
  <c r="B56" i="8"/>
  <c r="B37" i="8"/>
  <c r="D37" i="8"/>
  <c r="C37" i="8"/>
  <c r="D56" i="8"/>
  <c r="E56" i="8"/>
  <c r="G56" i="8"/>
  <c r="H56" i="8"/>
  <c r="H37" i="8"/>
  <c r="J37" i="8"/>
  <c r="I37" i="8"/>
  <c r="J56" i="8"/>
  <c r="K56" i="8"/>
  <c r="M56" i="8"/>
  <c r="N56" i="8"/>
  <c r="P56" i="8"/>
  <c r="Q56" i="8"/>
  <c r="Q37" i="8"/>
  <c r="S37" i="8"/>
  <c r="R37" i="8"/>
  <c r="S56" i="8"/>
  <c r="T56" i="8"/>
  <c r="V56" i="8"/>
  <c r="W56" i="8"/>
  <c r="W37" i="8"/>
  <c r="Y37" i="8"/>
  <c r="X37" i="8"/>
  <c r="Y56" i="8"/>
  <c r="Z56" i="8"/>
  <c r="AB56" i="8"/>
  <c r="AC56" i="8"/>
  <c r="AE56" i="8"/>
  <c r="AF56" i="8"/>
  <c r="B55" i="8"/>
  <c r="D55" i="8"/>
  <c r="E55" i="8"/>
  <c r="E37" i="8"/>
  <c r="G37" i="8"/>
  <c r="F37" i="8"/>
  <c r="G55" i="8"/>
  <c r="H55" i="8"/>
  <c r="J55" i="8"/>
  <c r="K55" i="8"/>
  <c r="K37" i="8"/>
  <c r="M37" i="8"/>
  <c r="L37" i="8"/>
  <c r="M55" i="8"/>
  <c r="N55" i="8"/>
  <c r="P55" i="8"/>
  <c r="Q55" i="8"/>
  <c r="S55" i="8"/>
  <c r="T55" i="8"/>
  <c r="V55" i="8"/>
  <c r="W55" i="8"/>
  <c r="Y55" i="8"/>
  <c r="Z55" i="8"/>
  <c r="Z37" i="8"/>
  <c r="AB37" i="8"/>
  <c r="AA37" i="8"/>
  <c r="AB55" i="8"/>
  <c r="AC55" i="8"/>
  <c r="AE55" i="8"/>
  <c r="AF55" i="8"/>
  <c r="B54" i="8"/>
  <c r="D54" i="8"/>
  <c r="E54" i="8"/>
  <c r="G54" i="8"/>
  <c r="H54" i="8"/>
  <c r="J54" i="8"/>
  <c r="K54" i="8"/>
  <c r="M54" i="8"/>
  <c r="N54" i="8"/>
  <c r="N37" i="8"/>
  <c r="P37" i="8"/>
  <c r="O37" i="8"/>
  <c r="P54" i="8"/>
  <c r="Q54" i="8"/>
  <c r="S54" i="8"/>
  <c r="T54" i="8"/>
  <c r="T37" i="8"/>
  <c r="V37" i="8"/>
  <c r="U37" i="8"/>
  <c r="V54" i="8"/>
  <c r="W54" i="8"/>
  <c r="Y54" i="8"/>
  <c r="Z54" i="8"/>
  <c r="AB54" i="8"/>
  <c r="AC54" i="8"/>
  <c r="AE54" i="8"/>
  <c r="AF54" i="8"/>
  <c r="B53" i="8"/>
  <c r="D53" i="8"/>
  <c r="E53" i="8"/>
  <c r="G53" i="8"/>
  <c r="H53" i="8"/>
  <c r="J53" i="8"/>
  <c r="K53" i="8"/>
  <c r="M53" i="8"/>
  <c r="N53" i="8"/>
  <c r="P53" i="8"/>
  <c r="Q53" i="8"/>
  <c r="S53" i="8"/>
  <c r="T53" i="8"/>
  <c r="V53" i="8"/>
  <c r="W53" i="8"/>
  <c r="Y53" i="8"/>
  <c r="Z53" i="8"/>
  <c r="AB53" i="8"/>
  <c r="AC53" i="8"/>
  <c r="AC37" i="8"/>
  <c r="AE37" i="8"/>
  <c r="AD37" i="8"/>
  <c r="AE53" i="8"/>
  <c r="AF53" i="8"/>
  <c r="B52" i="8"/>
  <c r="D52" i="8"/>
  <c r="E52" i="8"/>
  <c r="G52" i="8"/>
  <c r="H52" i="8"/>
  <c r="J52" i="8"/>
  <c r="K52" i="8"/>
  <c r="M52" i="8"/>
  <c r="N52" i="8"/>
  <c r="P52" i="8"/>
  <c r="Q52" i="8"/>
  <c r="S52" i="8"/>
  <c r="T52" i="8"/>
  <c r="V52" i="8"/>
  <c r="W52" i="8"/>
  <c r="Y52" i="8"/>
  <c r="Z52" i="8"/>
  <c r="AB52" i="8"/>
  <c r="AC52" i="8"/>
  <c r="AE52" i="8"/>
  <c r="AF52" i="8"/>
  <c r="B50" i="8"/>
  <c r="D50" i="8"/>
  <c r="E50" i="8"/>
  <c r="G50" i="8"/>
  <c r="H50" i="8"/>
  <c r="J50" i="8"/>
  <c r="K50" i="8"/>
  <c r="M50" i="8"/>
  <c r="N50" i="8"/>
  <c r="P50" i="8"/>
  <c r="Q50" i="8"/>
  <c r="S50" i="8"/>
  <c r="T50" i="8"/>
  <c r="V50" i="8"/>
  <c r="W50" i="8"/>
  <c r="Y50" i="8"/>
  <c r="Z50" i="8"/>
  <c r="AB50" i="8"/>
  <c r="AC50" i="8"/>
  <c r="AE50" i="8"/>
  <c r="AF50" i="8"/>
  <c r="AG50" i="8"/>
  <c r="B49" i="8"/>
  <c r="D49" i="8"/>
  <c r="E49" i="8"/>
  <c r="G49" i="8"/>
  <c r="H49" i="8"/>
  <c r="J49" i="8"/>
  <c r="K49" i="8"/>
  <c r="M49" i="8"/>
  <c r="N49" i="8"/>
  <c r="P49" i="8"/>
  <c r="Q49" i="8"/>
  <c r="S49" i="8"/>
  <c r="T49" i="8"/>
  <c r="V49" i="8"/>
  <c r="W49" i="8"/>
  <c r="Y49" i="8"/>
  <c r="Z49" i="8"/>
  <c r="AB49" i="8"/>
  <c r="AC49" i="8"/>
  <c r="AE49" i="8"/>
  <c r="AF49" i="8"/>
  <c r="AG49" i="8"/>
  <c r="B48" i="8"/>
  <c r="D48" i="8"/>
  <c r="E48" i="8"/>
  <c r="G48" i="8"/>
  <c r="H48" i="8"/>
  <c r="J48" i="8"/>
  <c r="K48" i="8"/>
  <c r="M48" i="8"/>
  <c r="N48" i="8"/>
  <c r="P48" i="8"/>
  <c r="Q48" i="8"/>
  <c r="S48" i="8"/>
  <c r="T48" i="8"/>
  <c r="V48" i="8"/>
  <c r="W48" i="8"/>
  <c r="Y48" i="8"/>
  <c r="Z48" i="8"/>
  <c r="AB48" i="8"/>
  <c r="AC48" i="8"/>
  <c r="AE48" i="8"/>
  <c r="AF48" i="8"/>
  <c r="AG48" i="8"/>
  <c r="B47" i="8"/>
  <c r="D47" i="8"/>
  <c r="E47" i="8"/>
  <c r="G47" i="8"/>
  <c r="H47" i="8"/>
  <c r="J47" i="8"/>
  <c r="K47" i="8"/>
  <c r="M47" i="8"/>
  <c r="N47" i="8"/>
  <c r="P47" i="8"/>
  <c r="Q47" i="8"/>
  <c r="S47" i="8"/>
  <c r="T47" i="8"/>
  <c r="V47" i="8"/>
  <c r="W47" i="8"/>
  <c r="Y47" i="8"/>
  <c r="Z47" i="8"/>
  <c r="AB47" i="8"/>
  <c r="AC47" i="8"/>
  <c r="AE47" i="8"/>
  <c r="AF47" i="8"/>
  <c r="AG47" i="8"/>
  <c r="B46" i="8"/>
  <c r="D46" i="8"/>
  <c r="E46" i="8"/>
  <c r="G46" i="8"/>
  <c r="H46" i="8"/>
  <c r="J46" i="8"/>
  <c r="K46" i="8"/>
  <c r="M46" i="8"/>
  <c r="N46" i="8"/>
  <c r="P46" i="8"/>
  <c r="Q46" i="8"/>
  <c r="S46" i="8"/>
  <c r="T46" i="8"/>
  <c r="V46" i="8"/>
  <c r="W46" i="8"/>
  <c r="Y46" i="8"/>
  <c r="Z46" i="8"/>
  <c r="AB46" i="8"/>
  <c r="AC46" i="8"/>
  <c r="AE46" i="8"/>
  <c r="AF46" i="8"/>
  <c r="AG46" i="8"/>
  <c r="AE30" i="8"/>
  <c r="AC30" i="8"/>
  <c r="AB30" i="8"/>
  <c r="Z30" i="8"/>
  <c r="Y30" i="8"/>
  <c r="W30" i="8"/>
  <c r="V30" i="8"/>
  <c r="T30" i="8"/>
  <c r="S30" i="8"/>
  <c r="Q30" i="8"/>
  <c r="P30" i="8"/>
  <c r="N30" i="8"/>
  <c r="M30" i="8"/>
  <c r="K30" i="8"/>
  <c r="J30" i="8"/>
  <c r="H30" i="8"/>
  <c r="G30" i="8"/>
  <c r="E30" i="8"/>
  <c r="D30" i="8"/>
  <c r="B30" i="8"/>
  <c r="AD29" i="8"/>
  <c r="AA29" i="8"/>
  <c r="X29" i="8"/>
  <c r="U29" i="8"/>
  <c r="R29" i="8"/>
  <c r="O29" i="8"/>
  <c r="L29" i="8"/>
  <c r="I29" i="8"/>
  <c r="F29" i="8"/>
  <c r="A29" i="8"/>
  <c r="AG28" i="8"/>
  <c r="AH28" i="8"/>
  <c r="AI28" i="8"/>
  <c r="AJ28" i="8"/>
  <c r="AK28" i="8"/>
  <c r="AL28" i="8"/>
  <c r="AM28" i="8"/>
  <c r="AN28" i="8"/>
  <c r="AO28" i="8"/>
  <c r="AP28" i="8"/>
  <c r="AQ28" i="8"/>
  <c r="AF28" i="8"/>
  <c r="AD28" i="8"/>
  <c r="AA28" i="8"/>
  <c r="X28" i="8"/>
  <c r="U28" i="8"/>
  <c r="R28" i="8"/>
  <c r="O28" i="8"/>
  <c r="L28" i="8"/>
  <c r="I28" i="8"/>
  <c r="F28" i="8"/>
  <c r="A28" i="8"/>
  <c r="AG27" i="8"/>
  <c r="AH27" i="8"/>
  <c r="AI27" i="8"/>
  <c r="AJ27" i="8"/>
  <c r="AK27" i="8"/>
  <c r="AL27" i="8"/>
  <c r="AM27" i="8"/>
  <c r="AN27" i="8"/>
  <c r="AO27" i="8"/>
  <c r="AP27" i="8"/>
  <c r="AQ27" i="8"/>
  <c r="AF27" i="8"/>
  <c r="AD27" i="8"/>
  <c r="AA27" i="8"/>
  <c r="X27" i="8"/>
  <c r="U27" i="8"/>
  <c r="R27" i="8"/>
  <c r="O27" i="8"/>
  <c r="L27" i="8"/>
  <c r="I27" i="8"/>
  <c r="F27" i="8"/>
  <c r="A27" i="8"/>
  <c r="AG26" i="8"/>
  <c r="AH26" i="8"/>
  <c r="AI26" i="8"/>
  <c r="AJ26" i="8"/>
  <c r="AK26" i="8"/>
  <c r="AL26" i="8"/>
  <c r="AM26" i="8"/>
  <c r="AN26" i="8"/>
  <c r="AO26" i="8"/>
  <c r="AP26" i="8"/>
  <c r="AQ26" i="8"/>
  <c r="AF26" i="8"/>
  <c r="AD26" i="8"/>
  <c r="AA26" i="8"/>
  <c r="X26" i="8"/>
  <c r="U26" i="8"/>
  <c r="R26" i="8"/>
  <c r="O26" i="8"/>
  <c r="L26" i="8"/>
  <c r="I26" i="8"/>
  <c r="F26" i="8"/>
  <c r="A26" i="8"/>
  <c r="AG25" i="8"/>
  <c r="AH25" i="8"/>
  <c r="AI25" i="8"/>
  <c r="AJ25" i="8"/>
  <c r="AK25" i="8"/>
  <c r="AL25" i="8"/>
  <c r="AM25" i="8"/>
  <c r="AN25" i="8"/>
  <c r="AO25" i="8"/>
  <c r="AP25" i="8"/>
  <c r="AQ25" i="8"/>
  <c r="AF25" i="8"/>
  <c r="AD25" i="8"/>
  <c r="AA25" i="8"/>
  <c r="X25" i="8"/>
  <c r="U25" i="8"/>
  <c r="R25" i="8"/>
  <c r="O25" i="8"/>
  <c r="L25" i="8"/>
  <c r="I25" i="8"/>
  <c r="F25" i="8"/>
  <c r="AG24" i="8"/>
  <c r="AH24" i="8"/>
  <c r="AI24" i="8"/>
  <c r="AJ24" i="8"/>
  <c r="AK24" i="8"/>
  <c r="AL24" i="8"/>
  <c r="AM24" i="8"/>
  <c r="AN24" i="8"/>
  <c r="AO24" i="8"/>
  <c r="AP24" i="8"/>
  <c r="AQ24" i="8"/>
  <c r="AF24" i="8"/>
  <c r="AD24" i="8"/>
  <c r="AA24" i="8"/>
  <c r="X24" i="8"/>
  <c r="U24" i="8"/>
  <c r="R24" i="8"/>
  <c r="O24" i="8"/>
  <c r="L24" i="8"/>
  <c r="I24" i="8"/>
  <c r="F24" i="8"/>
  <c r="AC22" i="8"/>
  <c r="Z22" i="8"/>
  <c r="W22" i="8"/>
  <c r="T22" i="8"/>
  <c r="Q22" i="8"/>
  <c r="N22" i="8"/>
  <c r="K22" i="8"/>
  <c r="H22" i="8"/>
  <c r="E22" i="8"/>
  <c r="AC16" i="8"/>
  <c r="Z16" i="8"/>
  <c r="W16" i="8"/>
  <c r="R16" i="8"/>
  <c r="L16" i="8"/>
  <c r="A16" i="8"/>
  <c r="E15" i="8"/>
  <c r="AC14" i="8"/>
  <c r="Z14" i="8"/>
  <c r="W14" i="8"/>
  <c r="R14" i="8"/>
  <c r="L14" i="8"/>
  <c r="A14" i="8"/>
  <c r="AX12" i="8"/>
  <c r="AY12" i="8"/>
  <c r="AC12" i="8"/>
  <c r="Z12" i="8"/>
  <c r="W12" i="8"/>
  <c r="R12" i="8"/>
  <c r="L12" i="8"/>
  <c r="A12" i="8"/>
  <c r="AY11" i="8"/>
  <c r="AX10" i="8"/>
  <c r="AY10" i="8"/>
  <c r="AC10" i="8"/>
  <c r="Z10" i="8"/>
  <c r="W10" i="8"/>
  <c r="R10" i="8"/>
  <c r="L10" i="8"/>
  <c r="A10" i="8"/>
  <c r="AY9" i="8"/>
  <c r="AY8" i="8"/>
  <c r="AC8" i="8"/>
  <c r="Z8" i="8"/>
  <c r="W8" i="8"/>
  <c r="R8" i="8"/>
  <c r="L8" i="8"/>
  <c r="A8" i="8"/>
  <c r="AY7" i="8"/>
  <c r="R7" i="8"/>
  <c r="L7" i="8"/>
  <c r="AY6" i="8"/>
  <c r="K6" i="8"/>
  <c r="AY5" i="8"/>
  <c r="AY4" i="8"/>
  <c r="AY3" i="8"/>
  <c r="W219" i="7"/>
  <c r="W220" i="7"/>
  <c r="W221" i="7"/>
  <c r="W222" i="7"/>
  <c r="Y219" i="7"/>
  <c r="Y220" i="7"/>
  <c r="Y221" i="7"/>
  <c r="Y222" i="7"/>
  <c r="AC218" i="7"/>
  <c r="Z219" i="7"/>
  <c r="Z220" i="7"/>
  <c r="Z221" i="7"/>
  <c r="Z222" i="7"/>
  <c r="AB219" i="7"/>
  <c r="AB220" i="7"/>
  <c r="AB221" i="7"/>
  <c r="AB222" i="7"/>
  <c r="AE218" i="7"/>
  <c r="E97" i="7"/>
  <c r="AF180" i="7"/>
  <c r="X213" i="7"/>
  <c r="W230" i="7"/>
  <c r="E8" i="7"/>
  <c r="B79" i="7"/>
  <c r="AT79" i="7"/>
  <c r="E10" i="7"/>
  <c r="B80" i="7"/>
  <c r="AT80" i="7"/>
  <c r="E12" i="7"/>
  <c r="B81" i="7"/>
  <c r="AT81" i="7"/>
  <c r="E14" i="7"/>
  <c r="B82" i="7"/>
  <c r="AT82" i="7"/>
  <c r="AC31" i="7"/>
  <c r="AC32" i="7"/>
  <c r="AC33" i="7"/>
  <c r="AC34" i="7"/>
  <c r="AC35" i="7"/>
  <c r="AC64" i="7"/>
  <c r="AE64" i="7"/>
  <c r="AC65" i="7"/>
  <c r="AE31" i="7"/>
  <c r="AE32" i="7"/>
  <c r="AE33" i="7"/>
  <c r="AE34" i="7"/>
  <c r="AE35" i="7"/>
  <c r="AE65" i="7"/>
  <c r="AC66" i="7"/>
  <c r="AE66" i="7"/>
  <c r="AC67" i="7"/>
  <c r="AE67" i="7"/>
  <c r="AC68" i="7"/>
  <c r="AE68" i="7"/>
  <c r="AD71" i="7"/>
  <c r="AC72" i="7"/>
  <c r="AE72" i="7"/>
  <c r="Z72" i="7"/>
  <c r="AB72" i="7"/>
  <c r="W31" i="7"/>
  <c r="W32" i="7"/>
  <c r="W33" i="7"/>
  <c r="W34" i="7"/>
  <c r="W35" i="7"/>
  <c r="W64" i="7"/>
  <c r="Y64" i="7"/>
  <c r="W65" i="7"/>
  <c r="Y65" i="7"/>
  <c r="W66" i="7"/>
  <c r="Y66" i="7"/>
  <c r="W67" i="7"/>
  <c r="Y67" i="7"/>
  <c r="W68" i="7"/>
  <c r="Y31" i="7"/>
  <c r="Y32" i="7"/>
  <c r="Y33" i="7"/>
  <c r="Y34" i="7"/>
  <c r="Y35" i="7"/>
  <c r="Y68" i="7"/>
  <c r="X71" i="7"/>
  <c r="W72" i="7"/>
  <c r="Y72" i="7"/>
  <c r="T72" i="7"/>
  <c r="V72" i="7"/>
  <c r="Q31" i="7"/>
  <c r="Q32" i="7"/>
  <c r="Q33" i="7"/>
  <c r="Q34" i="7"/>
  <c r="Q35" i="7"/>
  <c r="Q64" i="7"/>
  <c r="S64" i="7"/>
  <c r="Q65" i="7"/>
  <c r="S31" i="7"/>
  <c r="S32" i="7"/>
  <c r="S33" i="7"/>
  <c r="S34" i="7"/>
  <c r="S35" i="7"/>
  <c r="S65" i="7"/>
  <c r="Q66" i="7"/>
  <c r="S66" i="7"/>
  <c r="Q67" i="7"/>
  <c r="S67" i="7"/>
  <c r="Q68" i="7"/>
  <c r="S68" i="7"/>
  <c r="R71" i="7"/>
  <c r="Q72" i="7"/>
  <c r="N72" i="7"/>
  <c r="P72" i="7"/>
  <c r="K31" i="7"/>
  <c r="K32" i="7"/>
  <c r="K33" i="7"/>
  <c r="K34" i="7"/>
  <c r="K35" i="7"/>
  <c r="K64" i="7"/>
  <c r="M64" i="7"/>
  <c r="K65" i="7"/>
  <c r="M65" i="7"/>
  <c r="K66" i="7"/>
  <c r="M31" i="7"/>
  <c r="M32" i="7"/>
  <c r="M33" i="7"/>
  <c r="M34" i="7"/>
  <c r="M35" i="7"/>
  <c r="M66" i="7"/>
  <c r="K67" i="7"/>
  <c r="M67" i="7"/>
  <c r="K68" i="7"/>
  <c r="M68" i="7"/>
  <c r="L71" i="7"/>
  <c r="K72" i="7"/>
  <c r="H72" i="7"/>
  <c r="J72" i="7"/>
  <c r="E31" i="7"/>
  <c r="E32" i="7"/>
  <c r="E33" i="7"/>
  <c r="E34" i="7"/>
  <c r="E35" i="7"/>
  <c r="E64" i="7"/>
  <c r="G64" i="7"/>
  <c r="E65" i="7"/>
  <c r="G65" i="7"/>
  <c r="E66" i="7"/>
  <c r="G66" i="7"/>
  <c r="E67" i="7"/>
  <c r="G31" i="7"/>
  <c r="G32" i="7"/>
  <c r="G33" i="7"/>
  <c r="G34" i="7"/>
  <c r="G35" i="7"/>
  <c r="G67" i="7"/>
  <c r="E68" i="7"/>
  <c r="G68" i="7"/>
  <c r="F71" i="7"/>
  <c r="E72" i="7"/>
  <c r="B72" i="7"/>
  <c r="D72" i="7"/>
  <c r="C79" i="7"/>
  <c r="D79" i="7"/>
  <c r="E85" i="7"/>
  <c r="E36" i="7"/>
  <c r="B75" i="7"/>
  <c r="D75" i="7"/>
  <c r="C82" i="7"/>
  <c r="D82" i="7"/>
  <c r="G85" i="7"/>
  <c r="G36" i="7"/>
  <c r="E86" i="7"/>
  <c r="E87" i="7"/>
  <c r="G79" i="7"/>
  <c r="J79" i="7"/>
  <c r="K85" i="7"/>
  <c r="K36" i="7"/>
  <c r="H74" i="7"/>
  <c r="J74" i="7"/>
  <c r="E74" i="7"/>
  <c r="G74" i="7"/>
  <c r="B74" i="7"/>
  <c r="B64" i="7"/>
  <c r="D64" i="7"/>
  <c r="B31" i="7"/>
  <c r="B32" i="7"/>
  <c r="B33" i="7"/>
  <c r="B34" i="7"/>
  <c r="B35" i="7"/>
  <c r="B65" i="7"/>
  <c r="D65" i="7"/>
  <c r="B66" i="7"/>
  <c r="D31" i="7"/>
  <c r="D32" i="7"/>
  <c r="D33" i="7"/>
  <c r="D34" i="7"/>
  <c r="D35" i="7"/>
  <c r="D66" i="7"/>
  <c r="B67" i="7"/>
  <c r="D67" i="7"/>
  <c r="B68" i="7"/>
  <c r="D68" i="7"/>
  <c r="C71" i="7"/>
  <c r="D74" i="7"/>
  <c r="C81" i="7"/>
  <c r="D85" i="7"/>
  <c r="D36" i="7"/>
  <c r="C80" i="7"/>
  <c r="B85" i="7"/>
  <c r="B36" i="7"/>
  <c r="D86" i="7"/>
  <c r="D87" i="7"/>
  <c r="D81" i="7"/>
  <c r="G81" i="7"/>
  <c r="J81" i="7"/>
  <c r="M85" i="7"/>
  <c r="M36" i="7"/>
  <c r="K86" i="7"/>
  <c r="K87" i="7"/>
  <c r="M79" i="7"/>
  <c r="P79" i="7"/>
  <c r="Q85" i="7"/>
  <c r="Q36" i="7"/>
  <c r="N73" i="7"/>
  <c r="P73" i="7"/>
  <c r="K73" i="7"/>
  <c r="M73" i="7"/>
  <c r="H64" i="7"/>
  <c r="J64" i="7"/>
  <c r="H31" i="7"/>
  <c r="H32" i="7"/>
  <c r="H33" i="7"/>
  <c r="H34" i="7"/>
  <c r="H35" i="7"/>
  <c r="H65" i="7"/>
  <c r="J65" i="7"/>
  <c r="H66" i="7"/>
  <c r="J66" i="7"/>
  <c r="H67" i="7"/>
  <c r="J31" i="7"/>
  <c r="J32" i="7"/>
  <c r="J33" i="7"/>
  <c r="J34" i="7"/>
  <c r="J35" i="7"/>
  <c r="J67" i="7"/>
  <c r="H68" i="7"/>
  <c r="J68" i="7"/>
  <c r="I71" i="7"/>
  <c r="H73" i="7"/>
  <c r="E73" i="7"/>
  <c r="G73" i="7"/>
  <c r="B73" i="7"/>
  <c r="B86" i="7"/>
  <c r="B87" i="7"/>
  <c r="D80" i="7"/>
  <c r="G80" i="7"/>
  <c r="H85" i="7"/>
  <c r="H36" i="7"/>
  <c r="E75" i="7"/>
  <c r="G75" i="7"/>
  <c r="G86" i="7"/>
  <c r="G87" i="7"/>
  <c r="G82" i="7"/>
  <c r="J85" i="7"/>
  <c r="J36" i="7"/>
  <c r="H86" i="7"/>
  <c r="H87" i="7"/>
  <c r="J80" i="7"/>
  <c r="M80" i="7"/>
  <c r="P80" i="7"/>
  <c r="S85" i="7"/>
  <c r="S36" i="7"/>
  <c r="Q86" i="7"/>
  <c r="Q87" i="7"/>
  <c r="S79" i="7"/>
  <c r="V79" i="7"/>
  <c r="Y79" i="7"/>
  <c r="AB79" i="7"/>
  <c r="AE79" i="7"/>
  <c r="AU79" i="7"/>
  <c r="AC73" i="7"/>
  <c r="AE73" i="7"/>
  <c r="Z73" i="7"/>
  <c r="AB73" i="7"/>
  <c r="W73" i="7"/>
  <c r="Y73" i="7"/>
  <c r="T64" i="7"/>
  <c r="V64" i="7"/>
  <c r="T31" i="7"/>
  <c r="T32" i="7"/>
  <c r="T33" i="7"/>
  <c r="T34" i="7"/>
  <c r="T35" i="7"/>
  <c r="T65" i="7"/>
  <c r="V65" i="7"/>
  <c r="T66" i="7"/>
  <c r="V31" i="7"/>
  <c r="V32" i="7"/>
  <c r="V33" i="7"/>
  <c r="V34" i="7"/>
  <c r="V35" i="7"/>
  <c r="V66" i="7"/>
  <c r="T67" i="7"/>
  <c r="V67" i="7"/>
  <c r="T68" i="7"/>
  <c r="V68" i="7"/>
  <c r="U71" i="7"/>
  <c r="T73" i="7"/>
  <c r="V73" i="7"/>
  <c r="Q73" i="7"/>
  <c r="S73" i="7"/>
  <c r="S86" i="7"/>
  <c r="S87" i="7"/>
  <c r="S80" i="7"/>
  <c r="V80" i="7"/>
  <c r="Y80" i="7"/>
  <c r="AB80" i="7"/>
  <c r="AE80" i="7"/>
  <c r="AU80" i="7"/>
  <c r="AC74" i="7"/>
  <c r="AE74" i="7"/>
  <c r="Z64" i="7"/>
  <c r="AB64" i="7"/>
  <c r="Z65" i="7"/>
  <c r="AB65" i="7"/>
  <c r="Z31" i="7"/>
  <c r="Z32" i="7"/>
  <c r="Z33" i="7"/>
  <c r="Z34" i="7"/>
  <c r="Z35" i="7"/>
  <c r="Z66" i="7"/>
  <c r="AB66" i="7"/>
  <c r="Z67" i="7"/>
  <c r="AB31" i="7"/>
  <c r="AB32" i="7"/>
  <c r="AB33" i="7"/>
  <c r="AB34" i="7"/>
  <c r="AB35" i="7"/>
  <c r="AB67" i="7"/>
  <c r="Z68" i="7"/>
  <c r="AB68" i="7"/>
  <c r="AA71" i="7"/>
  <c r="Z74" i="7"/>
  <c r="AB74" i="7"/>
  <c r="W74" i="7"/>
  <c r="Y74" i="7"/>
  <c r="T74" i="7"/>
  <c r="V74" i="7"/>
  <c r="Q74" i="7"/>
  <c r="S74" i="7"/>
  <c r="N64" i="7"/>
  <c r="P64" i="7"/>
  <c r="N65" i="7"/>
  <c r="P65" i="7"/>
  <c r="N31" i="7"/>
  <c r="N32" i="7"/>
  <c r="N33" i="7"/>
  <c r="N34" i="7"/>
  <c r="N35" i="7"/>
  <c r="N66" i="7"/>
  <c r="P66" i="7"/>
  <c r="N67" i="7"/>
  <c r="P31" i="7"/>
  <c r="P32" i="7"/>
  <c r="P33" i="7"/>
  <c r="P34" i="7"/>
  <c r="P35" i="7"/>
  <c r="P67" i="7"/>
  <c r="N68" i="7"/>
  <c r="P68" i="7"/>
  <c r="O71" i="7"/>
  <c r="N74" i="7"/>
  <c r="K74" i="7"/>
  <c r="M74" i="7"/>
  <c r="M86" i="7"/>
  <c r="M87" i="7"/>
  <c r="M81" i="7"/>
  <c r="N85" i="7"/>
  <c r="N36" i="7"/>
  <c r="K75" i="7"/>
  <c r="M75" i="7"/>
  <c r="H75" i="7"/>
  <c r="J75" i="7"/>
  <c r="J86" i="7"/>
  <c r="J87" i="7"/>
  <c r="J82" i="7"/>
  <c r="M82" i="7"/>
  <c r="P85" i="7"/>
  <c r="P36" i="7"/>
  <c r="N86" i="7"/>
  <c r="N87" i="7"/>
  <c r="P81" i="7"/>
  <c r="S81" i="7"/>
  <c r="V81" i="7"/>
  <c r="Y81" i="7"/>
  <c r="AB81" i="7"/>
  <c r="AE81" i="7"/>
  <c r="AU81" i="7"/>
  <c r="AC75" i="7"/>
  <c r="AE75" i="7"/>
  <c r="Z75" i="7"/>
  <c r="AB75" i="7"/>
  <c r="W75" i="7"/>
  <c r="Y75" i="7"/>
  <c r="T75" i="7"/>
  <c r="V75" i="7"/>
  <c r="Q75" i="7"/>
  <c r="S75" i="7"/>
  <c r="N75" i="7"/>
  <c r="P75" i="7"/>
  <c r="P86" i="7"/>
  <c r="P87" i="7"/>
  <c r="P82" i="7"/>
  <c r="S82" i="7"/>
  <c r="V82" i="7"/>
  <c r="Y82" i="7"/>
  <c r="AB82" i="7"/>
  <c r="AE82" i="7"/>
  <c r="AU82" i="7"/>
  <c r="E16" i="7"/>
  <c r="B83" i="7"/>
  <c r="AT83" i="7"/>
  <c r="AC76" i="7"/>
  <c r="AE76" i="7"/>
  <c r="Z76" i="7"/>
  <c r="AB76" i="7"/>
  <c r="W76" i="7"/>
  <c r="Y76" i="7"/>
  <c r="T76" i="7"/>
  <c r="V76" i="7"/>
  <c r="Q76" i="7"/>
  <c r="S76" i="7"/>
  <c r="N76" i="7"/>
  <c r="P76" i="7"/>
  <c r="K76" i="7"/>
  <c r="M76" i="7"/>
  <c r="H76" i="7"/>
  <c r="J76" i="7"/>
  <c r="E76" i="7"/>
  <c r="G76" i="7"/>
  <c r="B76" i="7"/>
  <c r="D76" i="7"/>
  <c r="C83" i="7"/>
  <c r="D83" i="7"/>
  <c r="G83" i="7"/>
  <c r="J83" i="7"/>
  <c r="M83" i="7"/>
  <c r="P83" i="7"/>
  <c r="S83" i="7"/>
  <c r="V83" i="7"/>
  <c r="Y83" i="7"/>
  <c r="AB83" i="7"/>
  <c r="AE83" i="7"/>
  <c r="AU83" i="7"/>
  <c r="E93" i="7"/>
  <c r="B164" i="7"/>
  <c r="AT164" i="7"/>
  <c r="AC116" i="7"/>
  <c r="AC117" i="7"/>
  <c r="AC118" i="7"/>
  <c r="AC119" i="7"/>
  <c r="AC120" i="7"/>
  <c r="AC149" i="7"/>
  <c r="AE149" i="7"/>
  <c r="AC150" i="7"/>
  <c r="AE116" i="7"/>
  <c r="AE117" i="7"/>
  <c r="AE118" i="7"/>
  <c r="AE119" i="7"/>
  <c r="AE120" i="7"/>
  <c r="AE150" i="7"/>
  <c r="AC151" i="7"/>
  <c r="AE151" i="7"/>
  <c r="AC152" i="7"/>
  <c r="AE152" i="7"/>
  <c r="AC153" i="7"/>
  <c r="AE153" i="7"/>
  <c r="AD156" i="7"/>
  <c r="AC157" i="7"/>
  <c r="AE157" i="7"/>
  <c r="Z157" i="7"/>
  <c r="AB157" i="7"/>
  <c r="W116" i="7"/>
  <c r="W117" i="7"/>
  <c r="W118" i="7"/>
  <c r="W119" i="7"/>
  <c r="W120" i="7"/>
  <c r="W149" i="7"/>
  <c r="Y149" i="7"/>
  <c r="W150" i="7"/>
  <c r="Y150" i="7"/>
  <c r="W151" i="7"/>
  <c r="Y151" i="7"/>
  <c r="W152" i="7"/>
  <c r="Y152" i="7"/>
  <c r="W153" i="7"/>
  <c r="Y116" i="7"/>
  <c r="Y117" i="7"/>
  <c r="Y118" i="7"/>
  <c r="Y119" i="7"/>
  <c r="Y120" i="7"/>
  <c r="Y153" i="7"/>
  <c r="X156" i="7"/>
  <c r="W157" i="7"/>
  <c r="Y157" i="7"/>
  <c r="T157" i="7"/>
  <c r="V157" i="7"/>
  <c r="Q116" i="7"/>
  <c r="Q117" i="7"/>
  <c r="Q118" i="7"/>
  <c r="Q119" i="7"/>
  <c r="Q120" i="7"/>
  <c r="Q149" i="7"/>
  <c r="S149" i="7"/>
  <c r="Q150" i="7"/>
  <c r="S116" i="7"/>
  <c r="S117" i="7"/>
  <c r="S118" i="7"/>
  <c r="S119" i="7"/>
  <c r="S120" i="7"/>
  <c r="S150" i="7"/>
  <c r="Q151" i="7"/>
  <c r="S151" i="7"/>
  <c r="Q152" i="7"/>
  <c r="S152" i="7"/>
  <c r="Q153" i="7"/>
  <c r="S153" i="7"/>
  <c r="R156" i="7"/>
  <c r="Q157" i="7"/>
  <c r="N157" i="7"/>
  <c r="P157" i="7"/>
  <c r="K116" i="7"/>
  <c r="K117" i="7"/>
  <c r="K118" i="7"/>
  <c r="K119" i="7"/>
  <c r="K120" i="7"/>
  <c r="K149" i="7"/>
  <c r="M149" i="7"/>
  <c r="K150" i="7"/>
  <c r="M150" i="7"/>
  <c r="K151" i="7"/>
  <c r="M116" i="7"/>
  <c r="M117" i="7"/>
  <c r="M118" i="7"/>
  <c r="M119" i="7"/>
  <c r="M120" i="7"/>
  <c r="M151" i="7"/>
  <c r="K152" i="7"/>
  <c r="M152" i="7"/>
  <c r="K153" i="7"/>
  <c r="M153" i="7"/>
  <c r="L156" i="7"/>
  <c r="K157" i="7"/>
  <c r="H157" i="7"/>
  <c r="J157" i="7"/>
  <c r="E116" i="7"/>
  <c r="E117" i="7"/>
  <c r="E118" i="7"/>
  <c r="E119" i="7"/>
  <c r="E120" i="7"/>
  <c r="E149" i="7"/>
  <c r="G149" i="7"/>
  <c r="E150" i="7"/>
  <c r="G150" i="7"/>
  <c r="E151" i="7"/>
  <c r="G151" i="7"/>
  <c r="E152" i="7"/>
  <c r="G116" i="7"/>
  <c r="G117" i="7"/>
  <c r="G118" i="7"/>
  <c r="G119" i="7"/>
  <c r="G120" i="7"/>
  <c r="G152" i="7"/>
  <c r="E153" i="7"/>
  <c r="G153" i="7"/>
  <c r="F156" i="7"/>
  <c r="E157" i="7"/>
  <c r="B157" i="7"/>
  <c r="D157" i="7"/>
  <c r="C164" i="7"/>
  <c r="D164" i="7"/>
  <c r="E170" i="7"/>
  <c r="E121" i="7"/>
  <c r="B160" i="7"/>
  <c r="D160" i="7"/>
  <c r="E99" i="7"/>
  <c r="B167" i="7"/>
  <c r="C167" i="7"/>
  <c r="D167" i="7"/>
  <c r="G170" i="7"/>
  <c r="G121" i="7"/>
  <c r="E171" i="7"/>
  <c r="E172" i="7"/>
  <c r="G164" i="7"/>
  <c r="J164" i="7"/>
  <c r="K170" i="7"/>
  <c r="K121" i="7"/>
  <c r="H159" i="7"/>
  <c r="J159" i="7"/>
  <c r="E159" i="7"/>
  <c r="G159" i="7"/>
  <c r="B159" i="7"/>
  <c r="B149" i="7"/>
  <c r="D149" i="7"/>
  <c r="B116" i="7"/>
  <c r="B117" i="7"/>
  <c r="B118" i="7"/>
  <c r="B119" i="7"/>
  <c r="B120" i="7"/>
  <c r="B150" i="7"/>
  <c r="D150" i="7"/>
  <c r="B151" i="7"/>
  <c r="D116" i="7"/>
  <c r="D117" i="7"/>
  <c r="D118" i="7"/>
  <c r="D119" i="7"/>
  <c r="D120" i="7"/>
  <c r="D151" i="7"/>
  <c r="B152" i="7"/>
  <c r="D152" i="7"/>
  <c r="B153" i="7"/>
  <c r="D153" i="7"/>
  <c r="C156" i="7"/>
  <c r="D159" i="7"/>
  <c r="B166" i="7"/>
  <c r="C166" i="7"/>
  <c r="D170" i="7"/>
  <c r="D121" i="7"/>
  <c r="E95" i="7"/>
  <c r="B165" i="7"/>
  <c r="C165" i="7"/>
  <c r="B170" i="7"/>
  <c r="B121" i="7"/>
  <c r="D171" i="7"/>
  <c r="D172" i="7"/>
  <c r="D166" i="7"/>
  <c r="G166" i="7"/>
  <c r="J166" i="7"/>
  <c r="M170" i="7"/>
  <c r="M121" i="7"/>
  <c r="K171" i="7"/>
  <c r="K172" i="7"/>
  <c r="M164" i="7"/>
  <c r="P164" i="7"/>
  <c r="Q170" i="7"/>
  <c r="Q121" i="7"/>
  <c r="N158" i="7"/>
  <c r="P158" i="7"/>
  <c r="K158" i="7"/>
  <c r="M158" i="7"/>
  <c r="H149" i="7"/>
  <c r="J149" i="7"/>
  <c r="H116" i="7"/>
  <c r="H117" i="7"/>
  <c r="H118" i="7"/>
  <c r="H119" i="7"/>
  <c r="H120" i="7"/>
  <c r="H150" i="7"/>
  <c r="J150" i="7"/>
  <c r="H151" i="7"/>
  <c r="J151" i="7"/>
  <c r="H152" i="7"/>
  <c r="J116" i="7"/>
  <c r="J117" i="7"/>
  <c r="J118" i="7"/>
  <c r="J119" i="7"/>
  <c r="J120" i="7"/>
  <c r="J152" i="7"/>
  <c r="H153" i="7"/>
  <c r="J153" i="7"/>
  <c r="I156" i="7"/>
  <c r="H158" i="7"/>
  <c r="E158" i="7"/>
  <c r="G158" i="7"/>
  <c r="B158" i="7"/>
  <c r="B171" i="7"/>
  <c r="B172" i="7"/>
  <c r="D165" i="7"/>
  <c r="G165" i="7"/>
  <c r="H170" i="7"/>
  <c r="H121" i="7"/>
  <c r="E160" i="7"/>
  <c r="G160" i="7"/>
  <c r="G171" i="7"/>
  <c r="G172" i="7"/>
  <c r="G167" i="7"/>
  <c r="J170" i="7"/>
  <c r="J121" i="7"/>
  <c r="H171" i="7"/>
  <c r="H172" i="7"/>
  <c r="J165" i="7"/>
  <c r="M165" i="7"/>
  <c r="P165" i="7"/>
  <c r="S170" i="7"/>
  <c r="S121" i="7"/>
  <c r="Q171" i="7"/>
  <c r="Q172" i="7"/>
  <c r="S164" i="7"/>
  <c r="V164" i="7"/>
  <c r="Y164" i="7"/>
  <c r="AB164" i="7"/>
  <c r="AE164" i="7"/>
  <c r="AU164" i="7"/>
  <c r="AT165" i="7"/>
  <c r="AC158" i="7"/>
  <c r="AE158" i="7"/>
  <c r="Z158" i="7"/>
  <c r="AB158" i="7"/>
  <c r="W158" i="7"/>
  <c r="Y158" i="7"/>
  <c r="T149" i="7"/>
  <c r="V149" i="7"/>
  <c r="T116" i="7"/>
  <c r="T117" i="7"/>
  <c r="T118" i="7"/>
  <c r="T119" i="7"/>
  <c r="T120" i="7"/>
  <c r="T150" i="7"/>
  <c r="V150" i="7"/>
  <c r="T151" i="7"/>
  <c r="V116" i="7"/>
  <c r="V117" i="7"/>
  <c r="V118" i="7"/>
  <c r="V119" i="7"/>
  <c r="V120" i="7"/>
  <c r="V151" i="7"/>
  <c r="T152" i="7"/>
  <c r="V152" i="7"/>
  <c r="T153" i="7"/>
  <c r="V153" i="7"/>
  <c r="U156" i="7"/>
  <c r="T158" i="7"/>
  <c r="V158" i="7"/>
  <c r="Q158" i="7"/>
  <c r="S158" i="7"/>
  <c r="S171" i="7"/>
  <c r="S172" i="7"/>
  <c r="S165" i="7"/>
  <c r="V165" i="7"/>
  <c r="Y165" i="7"/>
  <c r="AB165" i="7"/>
  <c r="AE165" i="7"/>
  <c r="AU165" i="7"/>
  <c r="AT166" i="7"/>
  <c r="AC159" i="7"/>
  <c r="AE159" i="7"/>
  <c r="Z149" i="7"/>
  <c r="AB149" i="7"/>
  <c r="Z150" i="7"/>
  <c r="AB150" i="7"/>
  <c r="Z116" i="7"/>
  <c r="Z117" i="7"/>
  <c r="Z118" i="7"/>
  <c r="Z119" i="7"/>
  <c r="Z120" i="7"/>
  <c r="Z151" i="7"/>
  <c r="AB151" i="7"/>
  <c r="Z152" i="7"/>
  <c r="AB116" i="7"/>
  <c r="AB117" i="7"/>
  <c r="AB118" i="7"/>
  <c r="AB119" i="7"/>
  <c r="AB120" i="7"/>
  <c r="AB152" i="7"/>
  <c r="Z153" i="7"/>
  <c r="AB153" i="7"/>
  <c r="AA156" i="7"/>
  <c r="Z159" i="7"/>
  <c r="AB159" i="7"/>
  <c r="W159" i="7"/>
  <c r="Y159" i="7"/>
  <c r="T159" i="7"/>
  <c r="V159" i="7"/>
  <c r="Q159" i="7"/>
  <c r="S159" i="7"/>
  <c r="N149" i="7"/>
  <c r="P149" i="7"/>
  <c r="N150" i="7"/>
  <c r="P150" i="7"/>
  <c r="N116" i="7"/>
  <c r="N117" i="7"/>
  <c r="N118" i="7"/>
  <c r="N119" i="7"/>
  <c r="N120" i="7"/>
  <c r="N151" i="7"/>
  <c r="P151" i="7"/>
  <c r="N152" i="7"/>
  <c r="P116" i="7"/>
  <c r="P117" i="7"/>
  <c r="P118" i="7"/>
  <c r="P119" i="7"/>
  <c r="P120" i="7"/>
  <c r="P152" i="7"/>
  <c r="N153" i="7"/>
  <c r="P153" i="7"/>
  <c r="O156" i="7"/>
  <c r="N159" i="7"/>
  <c r="K159" i="7"/>
  <c r="M159" i="7"/>
  <c r="M171" i="7"/>
  <c r="M172" i="7"/>
  <c r="M166" i="7"/>
  <c r="N170" i="7"/>
  <c r="N121" i="7"/>
  <c r="K160" i="7"/>
  <c r="M160" i="7"/>
  <c r="H160" i="7"/>
  <c r="J160" i="7"/>
  <c r="J171" i="7"/>
  <c r="J172" i="7"/>
  <c r="J167" i="7"/>
  <c r="M167" i="7"/>
  <c r="P170" i="7"/>
  <c r="P121" i="7"/>
  <c r="N171" i="7"/>
  <c r="N172" i="7"/>
  <c r="P166" i="7"/>
  <c r="S166" i="7"/>
  <c r="V166" i="7"/>
  <c r="Y166" i="7"/>
  <c r="AB166" i="7"/>
  <c r="AE166" i="7"/>
  <c r="AU166" i="7"/>
  <c r="AT167" i="7"/>
  <c r="AC160" i="7"/>
  <c r="AE160" i="7"/>
  <c r="Z160" i="7"/>
  <c r="AB160" i="7"/>
  <c r="W160" i="7"/>
  <c r="Y160" i="7"/>
  <c r="T160" i="7"/>
  <c r="V160" i="7"/>
  <c r="Q160" i="7"/>
  <c r="S160" i="7"/>
  <c r="N160" i="7"/>
  <c r="P160" i="7"/>
  <c r="P171" i="7"/>
  <c r="P172" i="7"/>
  <c r="P167" i="7"/>
  <c r="S167" i="7"/>
  <c r="V167" i="7"/>
  <c r="Y167" i="7"/>
  <c r="AB167" i="7"/>
  <c r="AE167" i="7"/>
  <c r="AU167" i="7"/>
  <c r="E101" i="7"/>
  <c r="B168" i="7"/>
  <c r="AT168" i="7"/>
  <c r="AC161" i="7"/>
  <c r="AE161" i="7"/>
  <c r="Z161" i="7"/>
  <c r="AB161" i="7"/>
  <c r="W161" i="7"/>
  <c r="Y161" i="7"/>
  <c r="T161" i="7"/>
  <c r="V161" i="7"/>
  <c r="Q161" i="7"/>
  <c r="S161" i="7"/>
  <c r="N161" i="7"/>
  <c r="P161" i="7"/>
  <c r="K161" i="7"/>
  <c r="M161" i="7"/>
  <c r="H161" i="7"/>
  <c r="J161" i="7"/>
  <c r="E161" i="7"/>
  <c r="G161" i="7"/>
  <c r="B161" i="7"/>
  <c r="D161" i="7"/>
  <c r="C168" i="7"/>
  <c r="D168" i="7"/>
  <c r="G168" i="7"/>
  <c r="J168" i="7"/>
  <c r="M168" i="7"/>
  <c r="P168" i="7"/>
  <c r="S168" i="7"/>
  <c r="V168" i="7"/>
  <c r="Y168" i="7"/>
  <c r="AB168" i="7"/>
  <c r="AE168" i="7"/>
  <c r="AU168" i="7"/>
  <c r="AX8" i="7"/>
  <c r="X230" i="7"/>
  <c r="Y231" i="7"/>
  <c r="W22" i="7"/>
  <c r="V179" i="7"/>
  <c r="X210" i="7"/>
  <c r="W227" i="7"/>
  <c r="AX3" i="7"/>
  <c r="X227" i="7"/>
  <c r="W231" i="7"/>
  <c r="Y232" i="7"/>
  <c r="Y233" i="7"/>
  <c r="Y230" i="7"/>
  <c r="AB230" i="7"/>
  <c r="AE230" i="7"/>
  <c r="AU233" i="7"/>
  <c r="AT233" i="7"/>
  <c r="V180" i="7"/>
  <c r="X211" i="7"/>
  <c r="W228" i="7"/>
  <c r="AX9" i="7"/>
  <c r="X228" i="7"/>
  <c r="Y228" i="7"/>
  <c r="Z231" i="7"/>
  <c r="AF179" i="7"/>
  <c r="X212" i="7"/>
  <c r="W229" i="7"/>
  <c r="AX7" i="7"/>
  <c r="X229" i="7"/>
  <c r="Y229" i="7"/>
  <c r="AB231" i="7"/>
  <c r="Z232" i="7"/>
  <c r="Z233" i="7"/>
  <c r="AB228" i="7"/>
  <c r="AE231" i="7"/>
  <c r="AE219" i="7"/>
  <c r="AE220" i="7"/>
  <c r="AE221" i="7"/>
  <c r="AE222" i="7"/>
  <c r="AC22" i="7"/>
  <c r="W232" i="7"/>
  <c r="W233" i="7"/>
  <c r="Y227" i="7"/>
  <c r="AB227" i="7"/>
  <c r="AC231" i="7"/>
  <c r="AC219" i="7"/>
  <c r="AC220" i="7"/>
  <c r="AC221" i="7"/>
  <c r="AC222" i="7"/>
  <c r="AE232" i="7"/>
  <c r="AE233" i="7"/>
  <c r="AC232" i="7"/>
  <c r="AC233" i="7"/>
  <c r="Z22" i="7"/>
  <c r="AB232" i="7"/>
  <c r="AB233" i="7"/>
  <c r="E219" i="7"/>
  <c r="E220" i="7"/>
  <c r="E221" i="7"/>
  <c r="E222" i="7"/>
  <c r="G219" i="7"/>
  <c r="G220" i="7"/>
  <c r="G221" i="7"/>
  <c r="G222" i="7"/>
  <c r="J218" i="7"/>
  <c r="L179" i="7"/>
  <c r="B212" i="7"/>
  <c r="B229" i="7"/>
  <c r="AX10" i="7"/>
  <c r="C229" i="7"/>
  <c r="D229" i="7"/>
  <c r="G231" i="7"/>
  <c r="E22" i="7"/>
  <c r="B180" i="7"/>
  <c r="B211" i="7"/>
  <c r="B228" i="7"/>
  <c r="AX4" i="7"/>
  <c r="C228" i="7"/>
  <c r="D228" i="7"/>
  <c r="E231" i="7"/>
  <c r="G232" i="7"/>
  <c r="G233" i="7"/>
  <c r="G229" i="7"/>
  <c r="J231" i="7"/>
  <c r="J219" i="7"/>
  <c r="J220" i="7"/>
  <c r="J221" i="7"/>
  <c r="J222" i="7"/>
  <c r="H22" i="7"/>
  <c r="B219" i="7"/>
  <c r="B220" i="7"/>
  <c r="B221" i="7"/>
  <c r="B222" i="7"/>
  <c r="D219" i="7"/>
  <c r="D220" i="7"/>
  <c r="D221" i="7"/>
  <c r="D222" i="7"/>
  <c r="H218" i="7"/>
  <c r="B179" i="7"/>
  <c r="B210" i="7"/>
  <c r="B227" i="7"/>
  <c r="AX6" i="7"/>
  <c r="C227" i="7"/>
  <c r="B231" i="7"/>
  <c r="L180" i="7"/>
  <c r="B213" i="7"/>
  <c r="B230" i="7"/>
  <c r="AX5" i="7"/>
  <c r="C230" i="7"/>
  <c r="D231" i="7"/>
  <c r="B232" i="7"/>
  <c r="B233" i="7"/>
  <c r="D227" i="7"/>
  <c r="G227" i="7"/>
  <c r="H231" i="7"/>
  <c r="H219" i="7"/>
  <c r="H220" i="7"/>
  <c r="H221" i="7"/>
  <c r="H222" i="7"/>
  <c r="J232" i="7"/>
  <c r="J233" i="7"/>
  <c r="H232" i="7"/>
  <c r="H233" i="7"/>
  <c r="E232" i="7"/>
  <c r="E233" i="7"/>
  <c r="D232" i="7"/>
  <c r="D233" i="7"/>
  <c r="AB229" i="7"/>
  <c r="AE229" i="7"/>
  <c r="AU232" i="7"/>
  <c r="AT232" i="7"/>
  <c r="AE228" i="7"/>
  <c r="AU231" i="7"/>
  <c r="AT231" i="7"/>
  <c r="AE227" i="7"/>
  <c r="AU230" i="7"/>
  <c r="AT230" i="7"/>
  <c r="D230" i="7"/>
  <c r="G230" i="7"/>
  <c r="J230" i="7"/>
  <c r="AU229" i="7"/>
  <c r="AT229" i="7"/>
  <c r="J229" i="7"/>
  <c r="AU228" i="7"/>
  <c r="AT228" i="7"/>
  <c r="G228" i="7"/>
  <c r="J228" i="7"/>
  <c r="AU227" i="7"/>
  <c r="AT227" i="7"/>
  <c r="J227" i="7"/>
  <c r="AU226" i="7"/>
  <c r="AT226" i="7"/>
  <c r="AF223" i="7"/>
  <c r="K223" i="7"/>
  <c r="E98" i="7"/>
  <c r="AL180" i="7"/>
  <c r="AG213" i="7"/>
  <c r="E96" i="7"/>
  <c r="R180" i="7"/>
  <c r="K213" i="7"/>
  <c r="E13" i="7"/>
  <c r="AL179" i="7"/>
  <c r="AG212" i="7"/>
  <c r="E15" i="7"/>
  <c r="R179" i="7"/>
  <c r="K212" i="7"/>
  <c r="E100" i="7"/>
  <c r="AB180" i="7"/>
  <c r="AG211" i="7"/>
  <c r="E94" i="7"/>
  <c r="H180" i="7"/>
  <c r="K211" i="7"/>
  <c r="E9" i="7"/>
  <c r="AB179" i="7"/>
  <c r="AG210" i="7"/>
  <c r="E11" i="7"/>
  <c r="H179" i="7"/>
  <c r="K210" i="7"/>
  <c r="U204" i="7"/>
  <c r="A204" i="7"/>
  <c r="AB203" i="7"/>
  <c r="F203" i="7"/>
  <c r="U199" i="7"/>
  <c r="A199" i="7"/>
  <c r="AF198" i="7"/>
  <c r="J198" i="7"/>
  <c r="U195" i="7"/>
  <c r="A195" i="7"/>
  <c r="AB193" i="7"/>
  <c r="T193" i="7"/>
  <c r="F193" i="7"/>
  <c r="A193" i="7"/>
  <c r="U190" i="7"/>
  <c r="A190" i="7"/>
  <c r="A174" i="7"/>
  <c r="AE170" i="7"/>
  <c r="AE121" i="7"/>
  <c r="AC170" i="7"/>
  <c r="AC121" i="7"/>
  <c r="AE171" i="7"/>
  <c r="AE172" i="7"/>
  <c r="AC171" i="7"/>
  <c r="AC172" i="7"/>
  <c r="AB170" i="7"/>
  <c r="AB121" i="7"/>
  <c r="Z170" i="7"/>
  <c r="Z121" i="7"/>
  <c r="AB171" i="7"/>
  <c r="AB172" i="7"/>
  <c r="Z171" i="7"/>
  <c r="Z172" i="7"/>
  <c r="Y170" i="7"/>
  <c r="Y121" i="7"/>
  <c r="W170" i="7"/>
  <c r="W121" i="7"/>
  <c r="Y171" i="7"/>
  <c r="Y172" i="7"/>
  <c r="W171" i="7"/>
  <c r="W172" i="7"/>
  <c r="V170" i="7"/>
  <c r="V121" i="7"/>
  <c r="T170" i="7"/>
  <c r="T121" i="7"/>
  <c r="V171" i="7"/>
  <c r="V172" i="7"/>
  <c r="T171" i="7"/>
  <c r="T172" i="7"/>
  <c r="AF161" i="7"/>
  <c r="AF160" i="7"/>
  <c r="P159" i="7"/>
  <c r="AF159" i="7"/>
  <c r="D158" i="7"/>
  <c r="J158" i="7"/>
  <c r="AF158" i="7"/>
  <c r="G157" i="7"/>
  <c r="M157" i="7"/>
  <c r="S157" i="7"/>
  <c r="AF157" i="7"/>
  <c r="AF153" i="7"/>
  <c r="AG153" i="7"/>
  <c r="AF152" i="7"/>
  <c r="AG152" i="7"/>
  <c r="AF151" i="7"/>
  <c r="AG151" i="7"/>
  <c r="AF150" i="7"/>
  <c r="AG150" i="7"/>
  <c r="AF149" i="7"/>
  <c r="AG149" i="7"/>
  <c r="B147" i="7"/>
  <c r="D147" i="7"/>
  <c r="E147" i="7"/>
  <c r="G147" i="7"/>
  <c r="H147" i="7"/>
  <c r="J147" i="7"/>
  <c r="K147" i="7"/>
  <c r="M147" i="7"/>
  <c r="N147" i="7"/>
  <c r="P147" i="7"/>
  <c r="Q147" i="7"/>
  <c r="S147" i="7"/>
  <c r="T147" i="7"/>
  <c r="V147" i="7"/>
  <c r="W147" i="7"/>
  <c r="W124" i="7"/>
  <c r="Y124" i="7"/>
  <c r="W125" i="7"/>
  <c r="Y125" i="7"/>
  <c r="W126" i="7"/>
  <c r="Y126" i="7"/>
  <c r="W127" i="7"/>
  <c r="Y127" i="7"/>
  <c r="W128" i="7"/>
  <c r="Y128" i="7"/>
  <c r="W129" i="7"/>
  <c r="Y147" i="7"/>
  <c r="Z147" i="7"/>
  <c r="AB147" i="7"/>
  <c r="AC147" i="7"/>
  <c r="AE147" i="7"/>
  <c r="AF147" i="7"/>
  <c r="B146" i="7"/>
  <c r="D146" i="7"/>
  <c r="E146" i="7"/>
  <c r="E124" i="7"/>
  <c r="G124" i="7"/>
  <c r="E125" i="7"/>
  <c r="G125" i="7"/>
  <c r="E126" i="7"/>
  <c r="G126" i="7"/>
  <c r="E127" i="7"/>
  <c r="G127" i="7"/>
  <c r="E128" i="7"/>
  <c r="G128" i="7"/>
  <c r="E129" i="7"/>
  <c r="G146" i="7"/>
  <c r="H146" i="7"/>
  <c r="H124" i="7"/>
  <c r="J124" i="7"/>
  <c r="H125" i="7"/>
  <c r="J125" i="7"/>
  <c r="H126" i="7"/>
  <c r="J126" i="7"/>
  <c r="H127" i="7"/>
  <c r="J127" i="7"/>
  <c r="H128" i="7"/>
  <c r="J128" i="7"/>
  <c r="H129" i="7"/>
  <c r="J146" i="7"/>
  <c r="K146" i="7"/>
  <c r="M146" i="7"/>
  <c r="N146" i="7"/>
  <c r="N124" i="7"/>
  <c r="P124" i="7"/>
  <c r="N125" i="7"/>
  <c r="P125" i="7"/>
  <c r="N126" i="7"/>
  <c r="P126" i="7"/>
  <c r="N127" i="7"/>
  <c r="P127" i="7"/>
  <c r="N128" i="7"/>
  <c r="P128" i="7"/>
  <c r="N129" i="7"/>
  <c r="P146" i="7"/>
  <c r="Q146" i="7"/>
  <c r="S146" i="7"/>
  <c r="T146" i="7"/>
  <c r="V146" i="7"/>
  <c r="W146" i="7"/>
  <c r="Y146" i="7"/>
  <c r="Z146" i="7"/>
  <c r="Z124" i="7"/>
  <c r="AB124" i="7"/>
  <c r="Z125" i="7"/>
  <c r="AB125" i="7"/>
  <c r="Z126" i="7"/>
  <c r="AB126" i="7"/>
  <c r="Z127" i="7"/>
  <c r="AB127" i="7"/>
  <c r="Z128" i="7"/>
  <c r="AB128" i="7"/>
  <c r="Z129" i="7"/>
  <c r="AB146" i="7"/>
  <c r="AC146" i="7"/>
  <c r="AE146" i="7"/>
  <c r="AF146" i="7"/>
  <c r="B145" i="7"/>
  <c r="B124" i="7"/>
  <c r="D124" i="7"/>
  <c r="B125" i="7"/>
  <c r="D125" i="7"/>
  <c r="B126" i="7"/>
  <c r="D126" i="7"/>
  <c r="B127" i="7"/>
  <c r="D127" i="7"/>
  <c r="B128" i="7"/>
  <c r="D128" i="7"/>
  <c r="B129" i="7"/>
  <c r="D145" i="7"/>
  <c r="E145" i="7"/>
  <c r="G145" i="7"/>
  <c r="H145" i="7"/>
  <c r="J145" i="7"/>
  <c r="K145" i="7"/>
  <c r="K124" i="7"/>
  <c r="M124" i="7"/>
  <c r="K125" i="7"/>
  <c r="M125" i="7"/>
  <c r="K126" i="7"/>
  <c r="M126" i="7"/>
  <c r="K127" i="7"/>
  <c r="M127" i="7"/>
  <c r="K128" i="7"/>
  <c r="M128" i="7"/>
  <c r="K129" i="7"/>
  <c r="M145" i="7"/>
  <c r="N145" i="7"/>
  <c r="P145" i="7"/>
  <c r="Q145" i="7"/>
  <c r="S145" i="7"/>
  <c r="T145" i="7"/>
  <c r="T124" i="7"/>
  <c r="V124" i="7"/>
  <c r="T125" i="7"/>
  <c r="V125" i="7"/>
  <c r="T126" i="7"/>
  <c r="V126" i="7"/>
  <c r="T127" i="7"/>
  <c r="V127" i="7"/>
  <c r="T128" i="7"/>
  <c r="V128" i="7"/>
  <c r="T129" i="7"/>
  <c r="V145" i="7"/>
  <c r="W145" i="7"/>
  <c r="Y145" i="7"/>
  <c r="Z145" i="7"/>
  <c r="AB145" i="7"/>
  <c r="AC145" i="7"/>
  <c r="AE145" i="7"/>
  <c r="AF145" i="7"/>
  <c r="B144" i="7"/>
  <c r="D144" i="7"/>
  <c r="E144" i="7"/>
  <c r="G144" i="7"/>
  <c r="H144" i="7"/>
  <c r="J144" i="7"/>
  <c r="K144" i="7"/>
  <c r="M144" i="7"/>
  <c r="N144" i="7"/>
  <c r="P144" i="7"/>
  <c r="Q144" i="7"/>
  <c r="Q124" i="7"/>
  <c r="S124" i="7"/>
  <c r="Q125" i="7"/>
  <c r="S125" i="7"/>
  <c r="Q126" i="7"/>
  <c r="S126" i="7"/>
  <c r="Q127" i="7"/>
  <c r="S127" i="7"/>
  <c r="Q128" i="7"/>
  <c r="S128" i="7"/>
  <c r="Q129" i="7"/>
  <c r="S144" i="7"/>
  <c r="T144" i="7"/>
  <c r="V144" i="7"/>
  <c r="W144" i="7"/>
  <c r="Y144" i="7"/>
  <c r="Z144" i="7"/>
  <c r="AB144" i="7"/>
  <c r="AC144" i="7"/>
  <c r="AC124" i="7"/>
  <c r="AE124" i="7"/>
  <c r="AC125" i="7"/>
  <c r="AE125" i="7"/>
  <c r="AC126" i="7"/>
  <c r="AE126" i="7"/>
  <c r="AC127" i="7"/>
  <c r="AE127" i="7"/>
  <c r="AC128" i="7"/>
  <c r="AE128" i="7"/>
  <c r="AC129" i="7"/>
  <c r="AE144" i="7"/>
  <c r="AF144" i="7"/>
  <c r="B143" i="7"/>
  <c r="D143" i="7"/>
  <c r="E143" i="7"/>
  <c r="G143" i="7"/>
  <c r="H143" i="7"/>
  <c r="J143" i="7"/>
  <c r="K143" i="7"/>
  <c r="M143" i="7"/>
  <c r="N143" i="7"/>
  <c r="P143" i="7"/>
  <c r="Q143" i="7"/>
  <c r="S143" i="7"/>
  <c r="T143" i="7"/>
  <c r="V143" i="7"/>
  <c r="W143" i="7"/>
  <c r="Y143" i="7"/>
  <c r="Z143" i="7"/>
  <c r="AB143" i="7"/>
  <c r="AC143" i="7"/>
  <c r="AE143" i="7"/>
  <c r="AF143" i="7"/>
  <c r="B141" i="7"/>
  <c r="D141" i="7"/>
  <c r="E141" i="7"/>
  <c r="G141" i="7"/>
  <c r="H141" i="7"/>
  <c r="J141" i="7"/>
  <c r="K141" i="7"/>
  <c r="M141" i="7"/>
  <c r="N141" i="7"/>
  <c r="P141" i="7"/>
  <c r="Q141" i="7"/>
  <c r="S141" i="7"/>
  <c r="T141" i="7"/>
  <c r="V141" i="7"/>
  <c r="W141" i="7"/>
  <c r="W122" i="7"/>
  <c r="Y122" i="7"/>
  <c r="X122" i="7"/>
  <c r="Y141" i="7"/>
  <c r="Z141" i="7"/>
  <c r="AB141" i="7"/>
  <c r="AC141" i="7"/>
  <c r="AE141" i="7"/>
  <c r="AF141" i="7"/>
  <c r="B140" i="7"/>
  <c r="D140" i="7"/>
  <c r="E140" i="7"/>
  <c r="E122" i="7"/>
  <c r="G122" i="7"/>
  <c r="F122" i="7"/>
  <c r="G140" i="7"/>
  <c r="H140" i="7"/>
  <c r="H122" i="7"/>
  <c r="J122" i="7"/>
  <c r="I122" i="7"/>
  <c r="J140" i="7"/>
  <c r="K140" i="7"/>
  <c r="M140" i="7"/>
  <c r="N140" i="7"/>
  <c r="N122" i="7"/>
  <c r="P122" i="7"/>
  <c r="O122" i="7"/>
  <c r="P140" i="7"/>
  <c r="Q140" i="7"/>
  <c r="S140" i="7"/>
  <c r="T140" i="7"/>
  <c r="V140" i="7"/>
  <c r="W140" i="7"/>
  <c r="Y140" i="7"/>
  <c r="Z140" i="7"/>
  <c r="Z122" i="7"/>
  <c r="AB122" i="7"/>
  <c r="AA122" i="7"/>
  <c r="AB140" i="7"/>
  <c r="AC140" i="7"/>
  <c r="AE140" i="7"/>
  <c r="AF140" i="7"/>
  <c r="B139" i="7"/>
  <c r="B122" i="7"/>
  <c r="D122" i="7"/>
  <c r="C122" i="7"/>
  <c r="D139" i="7"/>
  <c r="E139" i="7"/>
  <c r="G139" i="7"/>
  <c r="H139" i="7"/>
  <c r="J139" i="7"/>
  <c r="K139" i="7"/>
  <c r="K122" i="7"/>
  <c r="M122" i="7"/>
  <c r="L122" i="7"/>
  <c r="M139" i="7"/>
  <c r="N139" i="7"/>
  <c r="P139" i="7"/>
  <c r="Q139" i="7"/>
  <c r="S139" i="7"/>
  <c r="T139" i="7"/>
  <c r="T122" i="7"/>
  <c r="V122" i="7"/>
  <c r="U122" i="7"/>
  <c r="V139" i="7"/>
  <c r="W139" i="7"/>
  <c r="Y139" i="7"/>
  <c r="Z139" i="7"/>
  <c r="AB139" i="7"/>
  <c r="AC139" i="7"/>
  <c r="AE139" i="7"/>
  <c r="AF139" i="7"/>
  <c r="B138" i="7"/>
  <c r="D138" i="7"/>
  <c r="E138" i="7"/>
  <c r="G138" i="7"/>
  <c r="H138" i="7"/>
  <c r="J138" i="7"/>
  <c r="K138" i="7"/>
  <c r="M138" i="7"/>
  <c r="N138" i="7"/>
  <c r="P138" i="7"/>
  <c r="Q138" i="7"/>
  <c r="Q122" i="7"/>
  <c r="S122" i="7"/>
  <c r="R122" i="7"/>
  <c r="S138" i="7"/>
  <c r="T138" i="7"/>
  <c r="V138" i="7"/>
  <c r="W138" i="7"/>
  <c r="Y138" i="7"/>
  <c r="Z138" i="7"/>
  <c r="AB138" i="7"/>
  <c r="AC138" i="7"/>
  <c r="AC122" i="7"/>
  <c r="AE122" i="7"/>
  <c r="AD122" i="7"/>
  <c r="AE138" i="7"/>
  <c r="AF138" i="7"/>
  <c r="B137" i="7"/>
  <c r="D137" i="7"/>
  <c r="E137" i="7"/>
  <c r="G137" i="7"/>
  <c r="H137" i="7"/>
  <c r="J137" i="7"/>
  <c r="K137" i="7"/>
  <c r="M137" i="7"/>
  <c r="N137" i="7"/>
  <c r="P137" i="7"/>
  <c r="Q137" i="7"/>
  <c r="S137" i="7"/>
  <c r="T137" i="7"/>
  <c r="V137" i="7"/>
  <c r="W137" i="7"/>
  <c r="Y137" i="7"/>
  <c r="Z137" i="7"/>
  <c r="AB137" i="7"/>
  <c r="AC137" i="7"/>
  <c r="AE137" i="7"/>
  <c r="AF137" i="7"/>
  <c r="B135" i="7"/>
  <c r="D135" i="7"/>
  <c r="E135" i="7"/>
  <c r="G135" i="7"/>
  <c r="H135" i="7"/>
  <c r="J135" i="7"/>
  <c r="K135" i="7"/>
  <c r="M135" i="7"/>
  <c r="N135" i="7"/>
  <c r="P135" i="7"/>
  <c r="Q135" i="7"/>
  <c r="S135" i="7"/>
  <c r="T135" i="7"/>
  <c r="V135" i="7"/>
  <c r="W135" i="7"/>
  <c r="Y135" i="7"/>
  <c r="Z135" i="7"/>
  <c r="AB135" i="7"/>
  <c r="AC135" i="7"/>
  <c r="AE135" i="7"/>
  <c r="AF135" i="7"/>
  <c r="AG135" i="7"/>
  <c r="B134" i="7"/>
  <c r="D134" i="7"/>
  <c r="E134" i="7"/>
  <c r="G134" i="7"/>
  <c r="H134" i="7"/>
  <c r="J134" i="7"/>
  <c r="K134" i="7"/>
  <c r="M134" i="7"/>
  <c r="N134" i="7"/>
  <c r="P134" i="7"/>
  <c r="Q134" i="7"/>
  <c r="S134" i="7"/>
  <c r="T134" i="7"/>
  <c r="V134" i="7"/>
  <c r="W134" i="7"/>
  <c r="Y134" i="7"/>
  <c r="Z134" i="7"/>
  <c r="AB134" i="7"/>
  <c r="AC134" i="7"/>
  <c r="AE134" i="7"/>
  <c r="AF134" i="7"/>
  <c r="AG134" i="7"/>
  <c r="B133" i="7"/>
  <c r="D133" i="7"/>
  <c r="E133" i="7"/>
  <c r="G133" i="7"/>
  <c r="H133" i="7"/>
  <c r="J133" i="7"/>
  <c r="K133" i="7"/>
  <c r="M133" i="7"/>
  <c r="N133" i="7"/>
  <c r="P133" i="7"/>
  <c r="Q133" i="7"/>
  <c r="S133" i="7"/>
  <c r="T133" i="7"/>
  <c r="V133" i="7"/>
  <c r="W133" i="7"/>
  <c r="Y133" i="7"/>
  <c r="Z133" i="7"/>
  <c r="AB133" i="7"/>
  <c r="AC133" i="7"/>
  <c r="AE133" i="7"/>
  <c r="AF133" i="7"/>
  <c r="AG133" i="7"/>
  <c r="B132" i="7"/>
  <c r="D132" i="7"/>
  <c r="E132" i="7"/>
  <c r="G132" i="7"/>
  <c r="H132" i="7"/>
  <c r="J132" i="7"/>
  <c r="K132" i="7"/>
  <c r="M132" i="7"/>
  <c r="N132" i="7"/>
  <c r="P132" i="7"/>
  <c r="Q132" i="7"/>
  <c r="S132" i="7"/>
  <c r="T132" i="7"/>
  <c r="V132" i="7"/>
  <c r="W132" i="7"/>
  <c r="Y132" i="7"/>
  <c r="Z132" i="7"/>
  <c r="AB132" i="7"/>
  <c r="AC132" i="7"/>
  <c r="AE132" i="7"/>
  <c r="AF132" i="7"/>
  <c r="AG132" i="7"/>
  <c r="B131" i="7"/>
  <c r="D131" i="7"/>
  <c r="E131" i="7"/>
  <c r="G131" i="7"/>
  <c r="H131" i="7"/>
  <c r="J131" i="7"/>
  <c r="K131" i="7"/>
  <c r="M131" i="7"/>
  <c r="N131" i="7"/>
  <c r="P131" i="7"/>
  <c r="Q131" i="7"/>
  <c r="S131" i="7"/>
  <c r="T131" i="7"/>
  <c r="V131" i="7"/>
  <c r="W131" i="7"/>
  <c r="Y131" i="7"/>
  <c r="Z131" i="7"/>
  <c r="AB131" i="7"/>
  <c r="AC131" i="7"/>
  <c r="AE131" i="7"/>
  <c r="AF131" i="7"/>
  <c r="AG131" i="7"/>
  <c r="AE115" i="7"/>
  <c r="AC115" i="7"/>
  <c r="AB115" i="7"/>
  <c r="Z115" i="7"/>
  <c r="Y115" i="7"/>
  <c r="W115" i="7"/>
  <c r="V115" i="7"/>
  <c r="T115" i="7"/>
  <c r="S115" i="7"/>
  <c r="Q115" i="7"/>
  <c r="P115" i="7"/>
  <c r="N115" i="7"/>
  <c r="M115" i="7"/>
  <c r="K115" i="7"/>
  <c r="J115" i="7"/>
  <c r="H115" i="7"/>
  <c r="G115" i="7"/>
  <c r="E115" i="7"/>
  <c r="D115" i="7"/>
  <c r="B115" i="7"/>
  <c r="AD114" i="7"/>
  <c r="AA114" i="7"/>
  <c r="X114" i="7"/>
  <c r="U114" i="7"/>
  <c r="R114" i="7"/>
  <c r="O114" i="7"/>
  <c r="L114" i="7"/>
  <c r="I114" i="7"/>
  <c r="F114" i="7"/>
  <c r="A114" i="7"/>
  <c r="AG113" i="7"/>
  <c r="AH113" i="7"/>
  <c r="AI113" i="7"/>
  <c r="AJ113" i="7"/>
  <c r="AK113" i="7"/>
  <c r="AL113" i="7"/>
  <c r="AM113" i="7"/>
  <c r="AN113" i="7"/>
  <c r="AO113" i="7"/>
  <c r="AP113" i="7"/>
  <c r="AQ113" i="7"/>
  <c r="AF113" i="7"/>
  <c r="AD113" i="7"/>
  <c r="AA113" i="7"/>
  <c r="X113" i="7"/>
  <c r="U113" i="7"/>
  <c r="R113" i="7"/>
  <c r="O113" i="7"/>
  <c r="L113" i="7"/>
  <c r="I113" i="7"/>
  <c r="F113" i="7"/>
  <c r="A113" i="7"/>
  <c r="AG112" i="7"/>
  <c r="AH112" i="7"/>
  <c r="AI112" i="7"/>
  <c r="AJ112" i="7"/>
  <c r="AK112" i="7"/>
  <c r="AL112" i="7"/>
  <c r="AM112" i="7"/>
  <c r="AN112" i="7"/>
  <c r="AO112" i="7"/>
  <c r="AP112" i="7"/>
  <c r="AQ112" i="7"/>
  <c r="AF112" i="7"/>
  <c r="AD112" i="7"/>
  <c r="AA112" i="7"/>
  <c r="X112" i="7"/>
  <c r="U112" i="7"/>
  <c r="R112" i="7"/>
  <c r="O112" i="7"/>
  <c r="L112" i="7"/>
  <c r="I112" i="7"/>
  <c r="F112" i="7"/>
  <c r="A112" i="7"/>
  <c r="AG111" i="7"/>
  <c r="AH111" i="7"/>
  <c r="AI111" i="7"/>
  <c r="AJ111" i="7"/>
  <c r="AK111" i="7"/>
  <c r="AL111" i="7"/>
  <c r="AM111" i="7"/>
  <c r="AN111" i="7"/>
  <c r="AO111" i="7"/>
  <c r="AP111" i="7"/>
  <c r="AQ111" i="7"/>
  <c r="AF111" i="7"/>
  <c r="AD111" i="7"/>
  <c r="AA111" i="7"/>
  <c r="X111" i="7"/>
  <c r="U111" i="7"/>
  <c r="R111" i="7"/>
  <c r="O111" i="7"/>
  <c r="L111" i="7"/>
  <c r="I111" i="7"/>
  <c r="F111" i="7"/>
  <c r="A111" i="7"/>
  <c r="AG110" i="7"/>
  <c r="AH110" i="7"/>
  <c r="AI110" i="7"/>
  <c r="AJ110" i="7"/>
  <c r="AK110" i="7"/>
  <c r="AL110" i="7"/>
  <c r="AM110" i="7"/>
  <c r="AN110" i="7"/>
  <c r="AO110" i="7"/>
  <c r="AP110" i="7"/>
  <c r="AQ110" i="7"/>
  <c r="AF110" i="7"/>
  <c r="AD110" i="7"/>
  <c r="AA110" i="7"/>
  <c r="X110" i="7"/>
  <c r="U110" i="7"/>
  <c r="R110" i="7"/>
  <c r="O110" i="7"/>
  <c r="L110" i="7"/>
  <c r="I110" i="7"/>
  <c r="F110" i="7"/>
  <c r="AG109" i="7"/>
  <c r="AH109" i="7"/>
  <c r="AI109" i="7"/>
  <c r="AJ109" i="7"/>
  <c r="AK109" i="7"/>
  <c r="AL109" i="7"/>
  <c r="AM109" i="7"/>
  <c r="AN109" i="7"/>
  <c r="AO109" i="7"/>
  <c r="AP109" i="7"/>
  <c r="AQ109" i="7"/>
  <c r="AF109" i="7"/>
  <c r="AD109" i="7"/>
  <c r="AA109" i="7"/>
  <c r="X109" i="7"/>
  <c r="U109" i="7"/>
  <c r="R109" i="7"/>
  <c r="O109" i="7"/>
  <c r="L109" i="7"/>
  <c r="I109" i="7"/>
  <c r="F109" i="7"/>
  <c r="AC107" i="7"/>
  <c r="Z107" i="7"/>
  <c r="W107" i="7"/>
  <c r="T107" i="7"/>
  <c r="Q107" i="7"/>
  <c r="N107" i="7"/>
  <c r="K107" i="7"/>
  <c r="H107" i="7"/>
  <c r="E107" i="7"/>
  <c r="E102" i="7"/>
  <c r="AC101" i="7"/>
  <c r="Z101" i="7"/>
  <c r="W101" i="7"/>
  <c r="R101" i="7"/>
  <c r="L101" i="7"/>
  <c r="A101" i="7"/>
  <c r="AC99" i="7"/>
  <c r="Z99" i="7"/>
  <c r="W99" i="7"/>
  <c r="R99" i="7"/>
  <c r="L99" i="7"/>
  <c r="A99" i="7"/>
  <c r="AC97" i="7"/>
  <c r="Z97" i="7"/>
  <c r="W97" i="7"/>
  <c r="R97" i="7"/>
  <c r="L97" i="7"/>
  <c r="A97" i="7"/>
  <c r="AC95" i="7"/>
  <c r="Z95" i="7"/>
  <c r="W95" i="7"/>
  <c r="R95" i="7"/>
  <c r="L95" i="7"/>
  <c r="A95" i="7"/>
  <c r="AC93" i="7"/>
  <c r="Z93" i="7"/>
  <c r="W93" i="7"/>
  <c r="R93" i="7"/>
  <c r="L93" i="7"/>
  <c r="A93" i="7"/>
  <c r="R92" i="7"/>
  <c r="L92" i="7"/>
  <c r="K91" i="7"/>
  <c r="A89" i="7"/>
  <c r="AE85" i="7"/>
  <c r="AE36" i="7"/>
  <c r="AC85" i="7"/>
  <c r="AC36" i="7"/>
  <c r="AE86" i="7"/>
  <c r="AE87" i="7"/>
  <c r="AC86" i="7"/>
  <c r="AC87" i="7"/>
  <c r="AB85" i="7"/>
  <c r="AB36" i="7"/>
  <c r="Z85" i="7"/>
  <c r="Z36" i="7"/>
  <c r="AB86" i="7"/>
  <c r="AB87" i="7"/>
  <c r="Z86" i="7"/>
  <c r="Z87" i="7"/>
  <c r="Y85" i="7"/>
  <c r="Y36" i="7"/>
  <c r="W85" i="7"/>
  <c r="W36" i="7"/>
  <c r="Y86" i="7"/>
  <c r="Y87" i="7"/>
  <c r="W86" i="7"/>
  <c r="W87" i="7"/>
  <c r="V85" i="7"/>
  <c r="V36" i="7"/>
  <c r="T85" i="7"/>
  <c r="T36" i="7"/>
  <c r="V86" i="7"/>
  <c r="V87" i="7"/>
  <c r="T86" i="7"/>
  <c r="T87" i="7"/>
  <c r="AF76" i="7"/>
  <c r="AF75" i="7"/>
  <c r="P74" i="7"/>
  <c r="AF74" i="7"/>
  <c r="D73" i="7"/>
  <c r="J73" i="7"/>
  <c r="AF73" i="7"/>
  <c r="G72" i="7"/>
  <c r="M72" i="7"/>
  <c r="S72" i="7"/>
  <c r="AF72" i="7"/>
  <c r="AF68" i="7"/>
  <c r="AG68" i="7"/>
  <c r="AF67" i="7"/>
  <c r="AG67" i="7"/>
  <c r="AF66" i="7"/>
  <c r="AG66" i="7"/>
  <c r="AF65" i="7"/>
  <c r="AG65" i="7"/>
  <c r="AF64" i="7"/>
  <c r="AG64" i="7"/>
  <c r="B62" i="7"/>
  <c r="D62" i="7"/>
  <c r="E62" i="7"/>
  <c r="G62" i="7"/>
  <c r="H62" i="7"/>
  <c r="J62" i="7"/>
  <c r="K62" i="7"/>
  <c r="M62" i="7"/>
  <c r="N62" i="7"/>
  <c r="P62" i="7"/>
  <c r="Q62" i="7"/>
  <c r="S62" i="7"/>
  <c r="T62" i="7"/>
  <c r="V62" i="7"/>
  <c r="W62" i="7"/>
  <c r="W39" i="7"/>
  <c r="Y39" i="7"/>
  <c r="W40" i="7"/>
  <c r="Y40" i="7"/>
  <c r="W41" i="7"/>
  <c r="Y41" i="7"/>
  <c r="W42" i="7"/>
  <c r="Y42" i="7"/>
  <c r="W43" i="7"/>
  <c r="Y43" i="7"/>
  <c r="W44" i="7"/>
  <c r="Y62" i="7"/>
  <c r="Z62" i="7"/>
  <c r="AB62" i="7"/>
  <c r="AC62" i="7"/>
  <c r="AE62" i="7"/>
  <c r="AF62" i="7"/>
  <c r="B61" i="7"/>
  <c r="D61" i="7"/>
  <c r="E61" i="7"/>
  <c r="E39" i="7"/>
  <c r="G39" i="7"/>
  <c r="E40" i="7"/>
  <c r="G40" i="7"/>
  <c r="E41" i="7"/>
  <c r="G41" i="7"/>
  <c r="E42" i="7"/>
  <c r="G42" i="7"/>
  <c r="E43" i="7"/>
  <c r="G43" i="7"/>
  <c r="E44" i="7"/>
  <c r="G61" i="7"/>
  <c r="H61" i="7"/>
  <c r="H39" i="7"/>
  <c r="J39" i="7"/>
  <c r="H40" i="7"/>
  <c r="J40" i="7"/>
  <c r="H41" i="7"/>
  <c r="J41" i="7"/>
  <c r="H42" i="7"/>
  <c r="J42" i="7"/>
  <c r="H43" i="7"/>
  <c r="J43" i="7"/>
  <c r="H44" i="7"/>
  <c r="J61" i="7"/>
  <c r="K61" i="7"/>
  <c r="M61" i="7"/>
  <c r="N61" i="7"/>
  <c r="N39" i="7"/>
  <c r="P39" i="7"/>
  <c r="N40" i="7"/>
  <c r="P40" i="7"/>
  <c r="N41" i="7"/>
  <c r="P41" i="7"/>
  <c r="N42" i="7"/>
  <c r="P42" i="7"/>
  <c r="N43" i="7"/>
  <c r="P43" i="7"/>
  <c r="N44" i="7"/>
  <c r="P61" i="7"/>
  <c r="Q61" i="7"/>
  <c r="S61" i="7"/>
  <c r="T61" i="7"/>
  <c r="V61" i="7"/>
  <c r="W61" i="7"/>
  <c r="Y61" i="7"/>
  <c r="Z61" i="7"/>
  <c r="Z39" i="7"/>
  <c r="AB39" i="7"/>
  <c r="Z40" i="7"/>
  <c r="AB40" i="7"/>
  <c r="Z41" i="7"/>
  <c r="AB41" i="7"/>
  <c r="Z42" i="7"/>
  <c r="AB42" i="7"/>
  <c r="Z43" i="7"/>
  <c r="AB43" i="7"/>
  <c r="Z44" i="7"/>
  <c r="AB61" i="7"/>
  <c r="AC61" i="7"/>
  <c r="AE61" i="7"/>
  <c r="AF61" i="7"/>
  <c r="B60" i="7"/>
  <c r="B39" i="7"/>
  <c r="D39" i="7"/>
  <c r="B40" i="7"/>
  <c r="D40" i="7"/>
  <c r="B41" i="7"/>
  <c r="D41" i="7"/>
  <c r="B42" i="7"/>
  <c r="D42" i="7"/>
  <c r="B43" i="7"/>
  <c r="D43" i="7"/>
  <c r="B44" i="7"/>
  <c r="D60" i="7"/>
  <c r="E60" i="7"/>
  <c r="G60" i="7"/>
  <c r="H60" i="7"/>
  <c r="J60" i="7"/>
  <c r="K60" i="7"/>
  <c r="K39" i="7"/>
  <c r="M39" i="7"/>
  <c r="K40" i="7"/>
  <c r="M40" i="7"/>
  <c r="K41" i="7"/>
  <c r="M41" i="7"/>
  <c r="K42" i="7"/>
  <c r="M42" i="7"/>
  <c r="K43" i="7"/>
  <c r="M43" i="7"/>
  <c r="K44" i="7"/>
  <c r="M60" i="7"/>
  <c r="N60" i="7"/>
  <c r="P60" i="7"/>
  <c r="Q60" i="7"/>
  <c r="S60" i="7"/>
  <c r="T60" i="7"/>
  <c r="T39" i="7"/>
  <c r="V39" i="7"/>
  <c r="T40" i="7"/>
  <c r="V40" i="7"/>
  <c r="T41" i="7"/>
  <c r="V41" i="7"/>
  <c r="T42" i="7"/>
  <c r="V42" i="7"/>
  <c r="T43" i="7"/>
  <c r="V43" i="7"/>
  <c r="T44" i="7"/>
  <c r="V60" i="7"/>
  <c r="W60" i="7"/>
  <c r="Y60" i="7"/>
  <c r="Z60" i="7"/>
  <c r="AB60" i="7"/>
  <c r="AC60" i="7"/>
  <c r="AE60" i="7"/>
  <c r="AF60" i="7"/>
  <c r="B59" i="7"/>
  <c r="D59" i="7"/>
  <c r="E59" i="7"/>
  <c r="G59" i="7"/>
  <c r="H59" i="7"/>
  <c r="J59" i="7"/>
  <c r="K59" i="7"/>
  <c r="M59" i="7"/>
  <c r="N59" i="7"/>
  <c r="P59" i="7"/>
  <c r="Q59" i="7"/>
  <c r="Q39" i="7"/>
  <c r="S39" i="7"/>
  <c r="Q40" i="7"/>
  <c r="S40" i="7"/>
  <c r="Q41" i="7"/>
  <c r="S41" i="7"/>
  <c r="Q42" i="7"/>
  <c r="S42" i="7"/>
  <c r="Q43" i="7"/>
  <c r="S43" i="7"/>
  <c r="Q44" i="7"/>
  <c r="S59" i="7"/>
  <c r="T59" i="7"/>
  <c r="V59" i="7"/>
  <c r="W59" i="7"/>
  <c r="Y59" i="7"/>
  <c r="Z59" i="7"/>
  <c r="AB59" i="7"/>
  <c r="AC59" i="7"/>
  <c r="AC39" i="7"/>
  <c r="AE39" i="7"/>
  <c r="AC40" i="7"/>
  <c r="AE40" i="7"/>
  <c r="AC41" i="7"/>
  <c r="AE41" i="7"/>
  <c r="AC42" i="7"/>
  <c r="AE42" i="7"/>
  <c r="AC43" i="7"/>
  <c r="AE43" i="7"/>
  <c r="AC44" i="7"/>
  <c r="AE59" i="7"/>
  <c r="AF59" i="7"/>
  <c r="B58" i="7"/>
  <c r="D58" i="7"/>
  <c r="E58" i="7"/>
  <c r="G58" i="7"/>
  <c r="H58" i="7"/>
  <c r="J58" i="7"/>
  <c r="K58" i="7"/>
  <c r="M58" i="7"/>
  <c r="N58" i="7"/>
  <c r="P58" i="7"/>
  <c r="Q58" i="7"/>
  <c r="S58" i="7"/>
  <c r="T58" i="7"/>
  <c r="V58" i="7"/>
  <c r="W58" i="7"/>
  <c r="Y58" i="7"/>
  <c r="Z58" i="7"/>
  <c r="AB58" i="7"/>
  <c r="AC58" i="7"/>
  <c r="AE58" i="7"/>
  <c r="AF58" i="7"/>
  <c r="B56" i="7"/>
  <c r="D56" i="7"/>
  <c r="E56" i="7"/>
  <c r="G56" i="7"/>
  <c r="H56" i="7"/>
  <c r="J56" i="7"/>
  <c r="K56" i="7"/>
  <c r="M56" i="7"/>
  <c r="N56" i="7"/>
  <c r="P56" i="7"/>
  <c r="Q56" i="7"/>
  <c r="S56" i="7"/>
  <c r="T56" i="7"/>
  <c r="V56" i="7"/>
  <c r="W56" i="7"/>
  <c r="W37" i="7"/>
  <c r="Y37" i="7"/>
  <c r="X37" i="7"/>
  <c r="Y56" i="7"/>
  <c r="Z56" i="7"/>
  <c r="AB56" i="7"/>
  <c r="AC56" i="7"/>
  <c r="AE56" i="7"/>
  <c r="AF56" i="7"/>
  <c r="B55" i="7"/>
  <c r="D55" i="7"/>
  <c r="E55" i="7"/>
  <c r="E37" i="7"/>
  <c r="G37" i="7"/>
  <c r="F37" i="7"/>
  <c r="G55" i="7"/>
  <c r="H55" i="7"/>
  <c r="H37" i="7"/>
  <c r="J37" i="7"/>
  <c r="I37" i="7"/>
  <c r="J55" i="7"/>
  <c r="K55" i="7"/>
  <c r="M55" i="7"/>
  <c r="N55" i="7"/>
  <c r="N37" i="7"/>
  <c r="P37" i="7"/>
  <c r="O37" i="7"/>
  <c r="P55" i="7"/>
  <c r="Q55" i="7"/>
  <c r="S55" i="7"/>
  <c r="T55" i="7"/>
  <c r="V55" i="7"/>
  <c r="W55" i="7"/>
  <c r="Y55" i="7"/>
  <c r="Z55" i="7"/>
  <c r="Z37" i="7"/>
  <c r="AB37" i="7"/>
  <c r="AA37" i="7"/>
  <c r="AB55" i="7"/>
  <c r="AC55" i="7"/>
  <c r="AE55" i="7"/>
  <c r="AF55" i="7"/>
  <c r="B54" i="7"/>
  <c r="B37" i="7"/>
  <c r="D37" i="7"/>
  <c r="C37" i="7"/>
  <c r="D54" i="7"/>
  <c r="E54" i="7"/>
  <c r="G54" i="7"/>
  <c r="H54" i="7"/>
  <c r="J54" i="7"/>
  <c r="K54" i="7"/>
  <c r="K37" i="7"/>
  <c r="M37" i="7"/>
  <c r="L37" i="7"/>
  <c r="M54" i="7"/>
  <c r="N54" i="7"/>
  <c r="P54" i="7"/>
  <c r="Q54" i="7"/>
  <c r="S54" i="7"/>
  <c r="T54" i="7"/>
  <c r="T37" i="7"/>
  <c r="V37" i="7"/>
  <c r="U37" i="7"/>
  <c r="V54" i="7"/>
  <c r="W54" i="7"/>
  <c r="Y54" i="7"/>
  <c r="Z54" i="7"/>
  <c r="AB54" i="7"/>
  <c r="AC54" i="7"/>
  <c r="AE54" i="7"/>
  <c r="AF54" i="7"/>
  <c r="B53" i="7"/>
  <c r="D53" i="7"/>
  <c r="E53" i="7"/>
  <c r="G53" i="7"/>
  <c r="H53" i="7"/>
  <c r="J53" i="7"/>
  <c r="K53" i="7"/>
  <c r="M53" i="7"/>
  <c r="N53" i="7"/>
  <c r="P53" i="7"/>
  <c r="Q53" i="7"/>
  <c r="Q37" i="7"/>
  <c r="S37" i="7"/>
  <c r="R37" i="7"/>
  <c r="S53" i="7"/>
  <c r="T53" i="7"/>
  <c r="V53" i="7"/>
  <c r="W53" i="7"/>
  <c r="Y53" i="7"/>
  <c r="Z53" i="7"/>
  <c r="AB53" i="7"/>
  <c r="AC53" i="7"/>
  <c r="AC37" i="7"/>
  <c r="AE37" i="7"/>
  <c r="AD37" i="7"/>
  <c r="AE53" i="7"/>
  <c r="AF53" i="7"/>
  <c r="B52" i="7"/>
  <c r="D52" i="7"/>
  <c r="E52" i="7"/>
  <c r="G52" i="7"/>
  <c r="H52" i="7"/>
  <c r="J52" i="7"/>
  <c r="K52" i="7"/>
  <c r="M52" i="7"/>
  <c r="N52" i="7"/>
  <c r="P52" i="7"/>
  <c r="Q52" i="7"/>
  <c r="S52" i="7"/>
  <c r="T52" i="7"/>
  <c r="V52" i="7"/>
  <c r="W52" i="7"/>
  <c r="Y52" i="7"/>
  <c r="Z52" i="7"/>
  <c r="AB52" i="7"/>
  <c r="AC52" i="7"/>
  <c r="AE52" i="7"/>
  <c r="AF52" i="7"/>
  <c r="B50" i="7"/>
  <c r="D50" i="7"/>
  <c r="E50" i="7"/>
  <c r="G50" i="7"/>
  <c r="H50" i="7"/>
  <c r="J50" i="7"/>
  <c r="K50" i="7"/>
  <c r="M50" i="7"/>
  <c r="N50" i="7"/>
  <c r="P50" i="7"/>
  <c r="Q50" i="7"/>
  <c r="S50" i="7"/>
  <c r="T50" i="7"/>
  <c r="V50" i="7"/>
  <c r="W50" i="7"/>
  <c r="Y50" i="7"/>
  <c r="Z50" i="7"/>
  <c r="AB50" i="7"/>
  <c r="AC50" i="7"/>
  <c r="AE50" i="7"/>
  <c r="AF50" i="7"/>
  <c r="AG50" i="7"/>
  <c r="B49" i="7"/>
  <c r="D49" i="7"/>
  <c r="E49" i="7"/>
  <c r="G49" i="7"/>
  <c r="H49" i="7"/>
  <c r="J49" i="7"/>
  <c r="K49" i="7"/>
  <c r="M49" i="7"/>
  <c r="N49" i="7"/>
  <c r="P49" i="7"/>
  <c r="Q49" i="7"/>
  <c r="S49" i="7"/>
  <c r="T49" i="7"/>
  <c r="V49" i="7"/>
  <c r="W49" i="7"/>
  <c r="Y49" i="7"/>
  <c r="Z49" i="7"/>
  <c r="AB49" i="7"/>
  <c r="AC49" i="7"/>
  <c r="AE49" i="7"/>
  <c r="AF49" i="7"/>
  <c r="AG49" i="7"/>
  <c r="B48" i="7"/>
  <c r="D48" i="7"/>
  <c r="E48" i="7"/>
  <c r="G48" i="7"/>
  <c r="H48" i="7"/>
  <c r="J48" i="7"/>
  <c r="K48" i="7"/>
  <c r="M48" i="7"/>
  <c r="N48" i="7"/>
  <c r="P48" i="7"/>
  <c r="Q48" i="7"/>
  <c r="S48" i="7"/>
  <c r="T48" i="7"/>
  <c r="V48" i="7"/>
  <c r="W48" i="7"/>
  <c r="Y48" i="7"/>
  <c r="Z48" i="7"/>
  <c r="AB48" i="7"/>
  <c r="AC48" i="7"/>
  <c r="AE48" i="7"/>
  <c r="AF48" i="7"/>
  <c r="AG48" i="7"/>
  <c r="B47" i="7"/>
  <c r="D47" i="7"/>
  <c r="E47" i="7"/>
  <c r="G47" i="7"/>
  <c r="H47" i="7"/>
  <c r="J47" i="7"/>
  <c r="K47" i="7"/>
  <c r="M47" i="7"/>
  <c r="N47" i="7"/>
  <c r="P47" i="7"/>
  <c r="Q47" i="7"/>
  <c r="S47" i="7"/>
  <c r="T47" i="7"/>
  <c r="V47" i="7"/>
  <c r="W47" i="7"/>
  <c r="Y47" i="7"/>
  <c r="Z47" i="7"/>
  <c r="AB47" i="7"/>
  <c r="AC47" i="7"/>
  <c r="AE47" i="7"/>
  <c r="AF47" i="7"/>
  <c r="AG47" i="7"/>
  <c r="B46" i="7"/>
  <c r="D46" i="7"/>
  <c r="E46" i="7"/>
  <c r="G46" i="7"/>
  <c r="H46" i="7"/>
  <c r="J46" i="7"/>
  <c r="K46" i="7"/>
  <c r="M46" i="7"/>
  <c r="N46" i="7"/>
  <c r="P46" i="7"/>
  <c r="Q46" i="7"/>
  <c r="S46" i="7"/>
  <c r="T46" i="7"/>
  <c r="V46" i="7"/>
  <c r="W46" i="7"/>
  <c r="Y46" i="7"/>
  <c r="Z46" i="7"/>
  <c r="AB46" i="7"/>
  <c r="AC46" i="7"/>
  <c r="AE46" i="7"/>
  <c r="AF46" i="7"/>
  <c r="AG46" i="7"/>
  <c r="AE30" i="7"/>
  <c r="AC30" i="7"/>
  <c r="AB30" i="7"/>
  <c r="Z30" i="7"/>
  <c r="Y30" i="7"/>
  <c r="W30" i="7"/>
  <c r="V30" i="7"/>
  <c r="T30" i="7"/>
  <c r="S30" i="7"/>
  <c r="Q30" i="7"/>
  <c r="P30" i="7"/>
  <c r="N30" i="7"/>
  <c r="M30" i="7"/>
  <c r="K30" i="7"/>
  <c r="J30" i="7"/>
  <c r="H30" i="7"/>
  <c r="G30" i="7"/>
  <c r="E30" i="7"/>
  <c r="D30" i="7"/>
  <c r="B30" i="7"/>
  <c r="AD29" i="7"/>
  <c r="AA29" i="7"/>
  <c r="X29" i="7"/>
  <c r="U29" i="7"/>
  <c r="R29" i="7"/>
  <c r="O29" i="7"/>
  <c r="L29" i="7"/>
  <c r="I29" i="7"/>
  <c r="F29" i="7"/>
  <c r="A29" i="7"/>
  <c r="AG28" i="7"/>
  <c r="AH28" i="7"/>
  <c r="AI28" i="7"/>
  <c r="AJ28" i="7"/>
  <c r="AK28" i="7"/>
  <c r="AL28" i="7"/>
  <c r="AM28" i="7"/>
  <c r="AN28" i="7"/>
  <c r="AO28" i="7"/>
  <c r="AP28" i="7"/>
  <c r="AQ28" i="7"/>
  <c r="AF28" i="7"/>
  <c r="AD28" i="7"/>
  <c r="AA28" i="7"/>
  <c r="X28" i="7"/>
  <c r="U28" i="7"/>
  <c r="R28" i="7"/>
  <c r="O28" i="7"/>
  <c r="L28" i="7"/>
  <c r="I28" i="7"/>
  <c r="F28" i="7"/>
  <c r="A28" i="7"/>
  <c r="AG27" i="7"/>
  <c r="AH27" i="7"/>
  <c r="AI27" i="7"/>
  <c r="AJ27" i="7"/>
  <c r="AK27" i="7"/>
  <c r="AL27" i="7"/>
  <c r="AM27" i="7"/>
  <c r="AN27" i="7"/>
  <c r="AO27" i="7"/>
  <c r="AP27" i="7"/>
  <c r="AQ27" i="7"/>
  <c r="AF27" i="7"/>
  <c r="AD27" i="7"/>
  <c r="AA27" i="7"/>
  <c r="X27" i="7"/>
  <c r="U27" i="7"/>
  <c r="R27" i="7"/>
  <c r="O27" i="7"/>
  <c r="L27" i="7"/>
  <c r="I27" i="7"/>
  <c r="F27" i="7"/>
  <c r="A27" i="7"/>
  <c r="AG26" i="7"/>
  <c r="AH26" i="7"/>
  <c r="AI26" i="7"/>
  <c r="AJ26" i="7"/>
  <c r="AK26" i="7"/>
  <c r="AL26" i="7"/>
  <c r="AM26" i="7"/>
  <c r="AN26" i="7"/>
  <c r="AO26" i="7"/>
  <c r="AP26" i="7"/>
  <c r="AQ26" i="7"/>
  <c r="AF26" i="7"/>
  <c r="AD26" i="7"/>
  <c r="AA26" i="7"/>
  <c r="X26" i="7"/>
  <c r="U26" i="7"/>
  <c r="R26" i="7"/>
  <c r="O26" i="7"/>
  <c r="L26" i="7"/>
  <c r="I26" i="7"/>
  <c r="F26" i="7"/>
  <c r="A26" i="7"/>
  <c r="AG25" i="7"/>
  <c r="AH25" i="7"/>
  <c r="AI25" i="7"/>
  <c r="AJ25" i="7"/>
  <c r="AK25" i="7"/>
  <c r="AL25" i="7"/>
  <c r="AM25" i="7"/>
  <c r="AN25" i="7"/>
  <c r="AO25" i="7"/>
  <c r="AP25" i="7"/>
  <c r="AQ25" i="7"/>
  <c r="AF25" i="7"/>
  <c r="AD25" i="7"/>
  <c r="AA25" i="7"/>
  <c r="X25" i="7"/>
  <c r="U25" i="7"/>
  <c r="R25" i="7"/>
  <c r="O25" i="7"/>
  <c r="L25" i="7"/>
  <c r="I25" i="7"/>
  <c r="F25" i="7"/>
  <c r="AG24" i="7"/>
  <c r="AH24" i="7"/>
  <c r="AI24" i="7"/>
  <c r="AJ24" i="7"/>
  <c r="AK24" i="7"/>
  <c r="AL24" i="7"/>
  <c r="AM24" i="7"/>
  <c r="AN24" i="7"/>
  <c r="AO24" i="7"/>
  <c r="AP24" i="7"/>
  <c r="AQ24" i="7"/>
  <c r="AF24" i="7"/>
  <c r="AD24" i="7"/>
  <c r="AA24" i="7"/>
  <c r="X24" i="7"/>
  <c r="U24" i="7"/>
  <c r="R24" i="7"/>
  <c r="O24" i="7"/>
  <c r="L24" i="7"/>
  <c r="I24" i="7"/>
  <c r="F24" i="7"/>
  <c r="T22" i="7"/>
  <c r="Q22" i="7"/>
  <c r="N22" i="7"/>
  <c r="K22" i="7"/>
  <c r="E17" i="7"/>
  <c r="AC16" i="7"/>
  <c r="Z16" i="7"/>
  <c r="W16" i="7"/>
  <c r="R16" i="7"/>
  <c r="L16" i="7"/>
  <c r="A16" i="7"/>
  <c r="AC14" i="7"/>
  <c r="Z14" i="7"/>
  <c r="W14" i="7"/>
  <c r="R14" i="7"/>
  <c r="L14" i="7"/>
  <c r="A14" i="7"/>
  <c r="AC12" i="7"/>
  <c r="Z12" i="7"/>
  <c r="W12" i="7"/>
  <c r="R12" i="7"/>
  <c r="L12" i="7"/>
  <c r="A12" i="7"/>
  <c r="AY10" i="7"/>
  <c r="AC10" i="7"/>
  <c r="Z10" i="7"/>
  <c r="W10" i="7"/>
  <c r="R10" i="7"/>
  <c r="L10" i="7"/>
  <c r="A10" i="7"/>
  <c r="AY9" i="7"/>
  <c r="AY8" i="7"/>
  <c r="AC8" i="7"/>
  <c r="Z8" i="7"/>
  <c r="W8" i="7"/>
  <c r="R8" i="7"/>
  <c r="L8" i="7"/>
  <c r="A8" i="7"/>
  <c r="AY7" i="7"/>
  <c r="R7" i="7"/>
  <c r="L7" i="7"/>
  <c r="AY6" i="7"/>
  <c r="K6" i="7"/>
  <c r="AY5" i="7"/>
  <c r="AY4" i="7"/>
  <c r="AY3" i="7"/>
  <c r="W219" i="6"/>
  <c r="W220" i="6"/>
  <c r="W221" i="6"/>
  <c r="W222" i="6"/>
  <c r="Y219" i="6"/>
  <c r="Y220" i="6"/>
  <c r="Y221" i="6"/>
  <c r="Y222" i="6"/>
  <c r="AC218" i="6"/>
  <c r="Z219" i="6"/>
  <c r="Z220" i="6"/>
  <c r="Z221" i="6"/>
  <c r="Z222" i="6"/>
  <c r="AB219" i="6"/>
  <c r="AB220" i="6"/>
  <c r="AB221" i="6"/>
  <c r="AB222" i="6"/>
  <c r="AE218" i="6"/>
  <c r="E95" i="6"/>
  <c r="AF180" i="6"/>
  <c r="X213" i="6"/>
  <c r="W230" i="6"/>
  <c r="E8" i="6"/>
  <c r="B79" i="6"/>
  <c r="AT79" i="6"/>
  <c r="E10" i="6"/>
  <c r="B80" i="6"/>
  <c r="AT80" i="6"/>
  <c r="E12" i="6"/>
  <c r="B81" i="6"/>
  <c r="AT81" i="6"/>
  <c r="E14" i="6"/>
  <c r="B82" i="6"/>
  <c r="AT82" i="6"/>
  <c r="AC31" i="6"/>
  <c r="AC32" i="6"/>
  <c r="AC33" i="6"/>
  <c r="AC34" i="6"/>
  <c r="AC35" i="6"/>
  <c r="AC64" i="6"/>
  <c r="AE64" i="6"/>
  <c r="AC65" i="6"/>
  <c r="AE31" i="6"/>
  <c r="AE32" i="6"/>
  <c r="AE33" i="6"/>
  <c r="AE34" i="6"/>
  <c r="AE35" i="6"/>
  <c r="AE65" i="6"/>
  <c r="AC66" i="6"/>
  <c r="AE66" i="6"/>
  <c r="AC67" i="6"/>
  <c r="AE67" i="6"/>
  <c r="AC68" i="6"/>
  <c r="AE68" i="6"/>
  <c r="AD71" i="6"/>
  <c r="AC72" i="6"/>
  <c r="Z72" i="6"/>
  <c r="AB72" i="6"/>
  <c r="W31" i="6"/>
  <c r="W32" i="6"/>
  <c r="W33" i="6"/>
  <c r="W34" i="6"/>
  <c r="W35" i="6"/>
  <c r="W64" i="6"/>
  <c r="Y64" i="6"/>
  <c r="W65" i="6"/>
  <c r="Y65" i="6"/>
  <c r="W66" i="6"/>
  <c r="Y66" i="6"/>
  <c r="W67" i="6"/>
  <c r="Y67" i="6"/>
  <c r="W68" i="6"/>
  <c r="Y31" i="6"/>
  <c r="Y32" i="6"/>
  <c r="Y33" i="6"/>
  <c r="Y34" i="6"/>
  <c r="Y35" i="6"/>
  <c r="Y68" i="6"/>
  <c r="X71" i="6"/>
  <c r="W72" i="6"/>
  <c r="T72" i="6"/>
  <c r="V72" i="6"/>
  <c r="Q72" i="6"/>
  <c r="S72" i="6"/>
  <c r="N31" i="6"/>
  <c r="N32" i="6"/>
  <c r="N33" i="6"/>
  <c r="N34" i="6"/>
  <c r="N35" i="6"/>
  <c r="N64" i="6"/>
  <c r="P64" i="6"/>
  <c r="N65" i="6"/>
  <c r="P65" i="6"/>
  <c r="N66" i="6"/>
  <c r="P31" i="6"/>
  <c r="P32" i="6"/>
  <c r="P33" i="6"/>
  <c r="P34" i="6"/>
  <c r="P35" i="6"/>
  <c r="P66" i="6"/>
  <c r="N67" i="6"/>
  <c r="P67" i="6"/>
  <c r="N68" i="6"/>
  <c r="P68" i="6"/>
  <c r="O71" i="6"/>
  <c r="N72" i="6"/>
  <c r="K72" i="6"/>
  <c r="M72" i="6"/>
  <c r="H72" i="6"/>
  <c r="J72" i="6"/>
  <c r="E31" i="6"/>
  <c r="E32" i="6"/>
  <c r="E33" i="6"/>
  <c r="E34" i="6"/>
  <c r="E35" i="6"/>
  <c r="E64" i="6"/>
  <c r="G64" i="6"/>
  <c r="E65" i="6"/>
  <c r="G65" i="6"/>
  <c r="E66" i="6"/>
  <c r="G66" i="6"/>
  <c r="E67" i="6"/>
  <c r="G31" i="6"/>
  <c r="G32" i="6"/>
  <c r="G33" i="6"/>
  <c r="G34" i="6"/>
  <c r="G35" i="6"/>
  <c r="G67" i="6"/>
  <c r="E68" i="6"/>
  <c r="G68" i="6"/>
  <c r="F71" i="6"/>
  <c r="E72" i="6"/>
  <c r="B72" i="6"/>
  <c r="D72" i="6"/>
  <c r="C79" i="6"/>
  <c r="D79" i="6"/>
  <c r="E85" i="6"/>
  <c r="E36" i="6"/>
  <c r="B75" i="6"/>
  <c r="D75" i="6"/>
  <c r="C82" i="6"/>
  <c r="D82" i="6"/>
  <c r="G85" i="6"/>
  <c r="G36" i="6"/>
  <c r="E86" i="6"/>
  <c r="E87" i="6"/>
  <c r="G79" i="6"/>
  <c r="J79" i="6"/>
  <c r="M79" i="6"/>
  <c r="N85" i="6"/>
  <c r="N36" i="6"/>
  <c r="K74" i="6"/>
  <c r="M74" i="6"/>
  <c r="H64" i="6"/>
  <c r="J64" i="6"/>
  <c r="H65" i="6"/>
  <c r="J65" i="6"/>
  <c r="H31" i="6"/>
  <c r="H32" i="6"/>
  <c r="H33" i="6"/>
  <c r="H34" i="6"/>
  <c r="H35" i="6"/>
  <c r="H66" i="6"/>
  <c r="J66" i="6"/>
  <c r="H67" i="6"/>
  <c r="J67" i="6"/>
  <c r="H68" i="6"/>
  <c r="J31" i="6"/>
  <c r="J32" i="6"/>
  <c r="J33" i="6"/>
  <c r="J34" i="6"/>
  <c r="J35" i="6"/>
  <c r="J68" i="6"/>
  <c r="I71" i="6"/>
  <c r="H74" i="6"/>
  <c r="E74" i="6"/>
  <c r="G74" i="6"/>
  <c r="B74" i="6"/>
  <c r="D74" i="6"/>
  <c r="C81" i="6"/>
  <c r="D81" i="6"/>
  <c r="G81" i="6"/>
  <c r="H85" i="6"/>
  <c r="H36" i="6"/>
  <c r="E76" i="6"/>
  <c r="G76" i="6"/>
  <c r="B76" i="6"/>
  <c r="B64" i="6"/>
  <c r="D64" i="6"/>
  <c r="B31" i="6"/>
  <c r="B32" i="6"/>
  <c r="B33" i="6"/>
  <c r="B34" i="6"/>
  <c r="B35" i="6"/>
  <c r="B65" i="6"/>
  <c r="D65" i="6"/>
  <c r="B66" i="6"/>
  <c r="D66" i="6"/>
  <c r="B67" i="6"/>
  <c r="D67" i="6"/>
  <c r="B68" i="6"/>
  <c r="D31" i="6"/>
  <c r="D32" i="6"/>
  <c r="D33" i="6"/>
  <c r="D34" i="6"/>
  <c r="D35" i="6"/>
  <c r="D68" i="6"/>
  <c r="C71" i="6"/>
  <c r="D76" i="6"/>
  <c r="E16" i="6"/>
  <c r="B83" i="6"/>
  <c r="C83" i="6"/>
  <c r="D85" i="6"/>
  <c r="D36" i="6"/>
  <c r="C80" i="6"/>
  <c r="B85" i="6"/>
  <c r="B36" i="6"/>
  <c r="D86" i="6"/>
  <c r="D87" i="6"/>
  <c r="D83" i="6"/>
  <c r="G83" i="6"/>
  <c r="J85" i="6"/>
  <c r="J36" i="6"/>
  <c r="H86" i="6"/>
  <c r="H87" i="6"/>
  <c r="J81" i="6"/>
  <c r="M81" i="6"/>
  <c r="P85" i="6"/>
  <c r="P36" i="6"/>
  <c r="N86" i="6"/>
  <c r="N87" i="6"/>
  <c r="P79" i="6"/>
  <c r="S79" i="6"/>
  <c r="V79" i="6"/>
  <c r="W85" i="6"/>
  <c r="W36" i="6"/>
  <c r="T76" i="6"/>
  <c r="V76" i="6"/>
  <c r="Q76" i="6"/>
  <c r="Q64" i="6"/>
  <c r="S64" i="6"/>
  <c r="Q65" i="6"/>
  <c r="S65" i="6"/>
  <c r="Q66" i="6"/>
  <c r="S66" i="6"/>
  <c r="Q31" i="6"/>
  <c r="Q32" i="6"/>
  <c r="Q33" i="6"/>
  <c r="Q34" i="6"/>
  <c r="Q35" i="6"/>
  <c r="Q67" i="6"/>
  <c r="S67" i="6"/>
  <c r="Q68" i="6"/>
  <c r="S31" i="6"/>
  <c r="S32" i="6"/>
  <c r="S33" i="6"/>
  <c r="S34" i="6"/>
  <c r="S35" i="6"/>
  <c r="S68" i="6"/>
  <c r="R71" i="6"/>
  <c r="S76" i="6"/>
  <c r="N76" i="6"/>
  <c r="P76" i="6"/>
  <c r="K76" i="6"/>
  <c r="M76" i="6"/>
  <c r="H76" i="6"/>
  <c r="J76" i="6"/>
  <c r="J86" i="6"/>
  <c r="J87" i="6"/>
  <c r="J83" i="6"/>
  <c r="M83" i="6"/>
  <c r="P83" i="6"/>
  <c r="S85" i="6"/>
  <c r="S36" i="6"/>
  <c r="N75" i="6"/>
  <c r="P75" i="6"/>
  <c r="K75" i="6"/>
  <c r="K64" i="6"/>
  <c r="M64" i="6"/>
  <c r="K31" i="6"/>
  <c r="K32" i="6"/>
  <c r="K33" i="6"/>
  <c r="K34" i="6"/>
  <c r="K35" i="6"/>
  <c r="K65" i="6"/>
  <c r="M65" i="6"/>
  <c r="K66" i="6"/>
  <c r="M66" i="6"/>
  <c r="K67" i="6"/>
  <c r="M31" i="6"/>
  <c r="M32" i="6"/>
  <c r="M33" i="6"/>
  <c r="M34" i="6"/>
  <c r="M35" i="6"/>
  <c r="M67" i="6"/>
  <c r="K68" i="6"/>
  <c r="M68" i="6"/>
  <c r="L71" i="6"/>
  <c r="M75" i="6"/>
  <c r="H75" i="6"/>
  <c r="J75" i="6"/>
  <c r="E75" i="6"/>
  <c r="G75" i="6"/>
  <c r="G86" i="6"/>
  <c r="G87" i="6"/>
  <c r="G82" i="6"/>
  <c r="J82" i="6"/>
  <c r="M85" i="6"/>
  <c r="M36" i="6"/>
  <c r="H73" i="6"/>
  <c r="J73" i="6"/>
  <c r="E73" i="6"/>
  <c r="G73" i="6"/>
  <c r="B73" i="6"/>
  <c r="B86" i="6"/>
  <c r="B87" i="6"/>
  <c r="D80" i="6"/>
  <c r="G80" i="6"/>
  <c r="J80" i="6"/>
  <c r="K85" i="6"/>
  <c r="K36" i="6"/>
  <c r="M86" i="6"/>
  <c r="M87" i="6"/>
  <c r="M82" i="6"/>
  <c r="P82" i="6"/>
  <c r="Q85" i="6"/>
  <c r="Q36" i="6"/>
  <c r="S86" i="6"/>
  <c r="S87" i="6"/>
  <c r="S83" i="6"/>
  <c r="V83" i="6"/>
  <c r="Y85" i="6"/>
  <c r="Y36" i="6"/>
  <c r="W86" i="6"/>
  <c r="W87" i="6"/>
  <c r="Y79" i="6"/>
  <c r="AB79" i="6"/>
  <c r="AC85" i="6"/>
  <c r="AC36" i="6"/>
  <c r="Z73" i="6"/>
  <c r="AB73" i="6"/>
  <c r="W73" i="6"/>
  <c r="Y73" i="6"/>
  <c r="T64" i="6"/>
  <c r="V64" i="6"/>
  <c r="T31" i="6"/>
  <c r="T32" i="6"/>
  <c r="T33" i="6"/>
  <c r="T34" i="6"/>
  <c r="T35" i="6"/>
  <c r="T65" i="6"/>
  <c r="V65" i="6"/>
  <c r="T66" i="6"/>
  <c r="V31" i="6"/>
  <c r="V32" i="6"/>
  <c r="V33" i="6"/>
  <c r="V34" i="6"/>
  <c r="V35" i="6"/>
  <c r="V66" i="6"/>
  <c r="T67" i="6"/>
  <c r="V67" i="6"/>
  <c r="T68" i="6"/>
  <c r="V68" i="6"/>
  <c r="U71" i="6"/>
  <c r="T73" i="6"/>
  <c r="Q73" i="6"/>
  <c r="S73" i="6"/>
  <c r="N73" i="6"/>
  <c r="P73" i="6"/>
  <c r="K73" i="6"/>
  <c r="K86" i="6"/>
  <c r="K87" i="6"/>
  <c r="M80" i="6"/>
  <c r="P80" i="6"/>
  <c r="S80" i="6"/>
  <c r="T85" i="6"/>
  <c r="T36" i="6"/>
  <c r="Q74" i="6"/>
  <c r="S74" i="6"/>
  <c r="N74" i="6"/>
  <c r="P74" i="6"/>
  <c r="P86" i="6"/>
  <c r="P87" i="6"/>
  <c r="P81" i="6"/>
  <c r="S81" i="6"/>
  <c r="V85" i="6"/>
  <c r="V36" i="6"/>
  <c r="T86" i="6"/>
  <c r="T87" i="6"/>
  <c r="V80" i="6"/>
  <c r="Y80" i="6"/>
  <c r="AB80" i="6"/>
  <c r="AE85" i="6"/>
  <c r="AE36" i="6"/>
  <c r="AC86" i="6"/>
  <c r="AC87" i="6"/>
  <c r="AE79" i="6"/>
  <c r="AU79" i="6"/>
  <c r="AC73" i="6"/>
  <c r="AE73" i="6"/>
  <c r="AE86" i="6"/>
  <c r="AE87" i="6"/>
  <c r="AE80" i="6"/>
  <c r="AU80" i="6"/>
  <c r="AC74" i="6"/>
  <c r="AE74" i="6"/>
  <c r="Z64" i="6"/>
  <c r="AB64" i="6"/>
  <c r="Z65" i="6"/>
  <c r="AB65" i="6"/>
  <c r="Z31" i="6"/>
  <c r="Z32" i="6"/>
  <c r="Z33" i="6"/>
  <c r="Z34" i="6"/>
  <c r="Z35" i="6"/>
  <c r="Z66" i="6"/>
  <c r="AB66" i="6"/>
  <c r="Z67" i="6"/>
  <c r="AB31" i="6"/>
  <c r="AB32" i="6"/>
  <c r="AB33" i="6"/>
  <c r="AB34" i="6"/>
  <c r="AB35" i="6"/>
  <c r="AB67" i="6"/>
  <c r="Z68" i="6"/>
  <c r="AB68" i="6"/>
  <c r="AA71" i="6"/>
  <c r="Z74" i="6"/>
  <c r="W74" i="6"/>
  <c r="Y74" i="6"/>
  <c r="T74" i="6"/>
  <c r="V74" i="6"/>
  <c r="V86" i="6"/>
  <c r="V87" i="6"/>
  <c r="V81" i="6"/>
  <c r="Y81" i="6"/>
  <c r="Z85" i="6"/>
  <c r="Z36" i="6"/>
  <c r="W75" i="6"/>
  <c r="Y75" i="6"/>
  <c r="T75" i="6"/>
  <c r="V75" i="6"/>
  <c r="Q75" i="6"/>
  <c r="Q86" i="6"/>
  <c r="Q87" i="6"/>
  <c r="S82" i="6"/>
  <c r="V82" i="6"/>
  <c r="Y82" i="6"/>
  <c r="AB85" i="6"/>
  <c r="AB36" i="6"/>
  <c r="Z86" i="6"/>
  <c r="Z87" i="6"/>
  <c r="AB81" i="6"/>
  <c r="AE81" i="6"/>
  <c r="AU81" i="6"/>
  <c r="AC75" i="6"/>
  <c r="AE75" i="6"/>
  <c r="Z75" i="6"/>
  <c r="AB75" i="6"/>
  <c r="AB86" i="6"/>
  <c r="AB87" i="6"/>
  <c r="AB82" i="6"/>
  <c r="AE82" i="6"/>
  <c r="AU82" i="6"/>
  <c r="AT83" i="6"/>
  <c r="AC76" i="6"/>
  <c r="AE76" i="6"/>
  <c r="Z76" i="6"/>
  <c r="AB76" i="6"/>
  <c r="W76" i="6"/>
  <c r="Y76" i="6"/>
  <c r="Y86" i="6"/>
  <c r="Y87" i="6"/>
  <c r="Y83" i="6"/>
  <c r="AB83" i="6"/>
  <c r="AE83" i="6"/>
  <c r="AU83" i="6"/>
  <c r="E93" i="6"/>
  <c r="B164" i="6"/>
  <c r="AT164" i="6"/>
  <c r="AC116" i="6"/>
  <c r="AC117" i="6"/>
  <c r="AC118" i="6"/>
  <c r="AC119" i="6"/>
  <c r="AC120" i="6"/>
  <c r="AC149" i="6"/>
  <c r="AE149" i="6"/>
  <c r="AC150" i="6"/>
  <c r="AE116" i="6"/>
  <c r="AE117" i="6"/>
  <c r="AE118" i="6"/>
  <c r="AE119" i="6"/>
  <c r="AE120" i="6"/>
  <c r="AE150" i="6"/>
  <c r="AC151" i="6"/>
  <c r="AE151" i="6"/>
  <c r="AC152" i="6"/>
  <c r="AE152" i="6"/>
  <c r="AC153" i="6"/>
  <c r="AE153" i="6"/>
  <c r="AD156" i="6"/>
  <c r="AC157" i="6"/>
  <c r="Z157" i="6"/>
  <c r="AB157" i="6"/>
  <c r="W116" i="6"/>
  <c r="W117" i="6"/>
  <c r="W118" i="6"/>
  <c r="W119" i="6"/>
  <c r="W120" i="6"/>
  <c r="W149" i="6"/>
  <c r="Y149" i="6"/>
  <c r="W150" i="6"/>
  <c r="Y150" i="6"/>
  <c r="W151" i="6"/>
  <c r="Y151" i="6"/>
  <c r="W152" i="6"/>
  <c r="Y152" i="6"/>
  <c r="W153" i="6"/>
  <c r="Y116" i="6"/>
  <c r="Y117" i="6"/>
  <c r="Y118" i="6"/>
  <c r="Y119" i="6"/>
  <c r="Y120" i="6"/>
  <c r="Y153" i="6"/>
  <c r="X156" i="6"/>
  <c r="W157" i="6"/>
  <c r="T157" i="6"/>
  <c r="V157" i="6"/>
  <c r="Q157" i="6"/>
  <c r="S157" i="6"/>
  <c r="N116" i="6"/>
  <c r="N117" i="6"/>
  <c r="N118" i="6"/>
  <c r="N119" i="6"/>
  <c r="N120" i="6"/>
  <c r="N149" i="6"/>
  <c r="P149" i="6"/>
  <c r="N150" i="6"/>
  <c r="P150" i="6"/>
  <c r="N151" i="6"/>
  <c r="P116" i="6"/>
  <c r="P117" i="6"/>
  <c r="P118" i="6"/>
  <c r="P119" i="6"/>
  <c r="P120" i="6"/>
  <c r="P151" i="6"/>
  <c r="N152" i="6"/>
  <c r="P152" i="6"/>
  <c r="N153" i="6"/>
  <c r="P153" i="6"/>
  <c r="O156" i="6"/>
  <c r="N157" i="6"/>
  <c r="K157" i="6"/>
  <c r="M157" i="6"/>
  <c r="H157" i="6"/>
  <c r="J157" i="6"/>
  <c r="E116" i="6"/>
  <c r="E117" i="6"/>
  <c r="E118" i="6"/>
  <c r="E119" i="6"/>
  <c r="E120" i="6"/>
  <c r="E149" i="6"/>
  <c r="G149" i="6"/>
  <c r="E150" i="6"/>
  <c r="G150" i="6"/>
  <c r="E151" i="6"/>
  <c r="G151" i="6"/>
  <c r="E152" i="6"/>
  <c r="G116" i="6"/>
  <c r="G117" i="6"/>
  <c r="G118" i="6"/>
  <c r="G119" i="6"/>
  <c r="G120" i="6"/>
  <c r="G152" i="6"/>
  <c r="E153" i="6"/>
  <c r="G153" i="6"/>
  <c r="F156" i="6"/>
  <c r="E157" i="6"/>
  <c r="B157" i="6"/>
  <c r="D157" i="6"/>
  <c r="C164" i="6"/>
  <c r="D164" i="6"/>
  <c r="E170" i="6"/>
  <c r="E121" i="6"/>
  <c r="B160" i="6"/>
  <c r="D160" i="6"/>
  <c r="E99" i="6"/>
  <c r="B167" i="6"/>
  <c r="C167" i="6"/>
  <c r="D167" i="6"/>
  <c r="G170" i="6"/>
  <c r="G121" i="6"/>
  <c r="E171" i="6"/>
  <c r="E172" i="6"/>
  <c r="G164" i="6"/>
  <c r="J164" i="6"/>
  <c r="M164" i="6"/>
  <c r="N170" i="6"/>
  <c r="N121" i="6"/>
  <c r="K159" i="6"/>
  <c r="M159" i="6"/>
  <c r="H149" i="6"/>
  <c r="J149" i="6"/>
  <c r="H150" i="6"/>
  <c r="J150" i="6"/>
  <c r="H116" i="6"/>
  <c r="H117" i="6"/>
  <c r="H118" i="6"/>
  <c r="H119" i="6"/>
  <c r="H120" i="6"/>
  <c r="H151" i="6"/>
  <c r="J151" i="6"/>
  <c r="H152" i="6"/>
  <c r="J152" i="6"/>
  <c r="H153" i="6"/>
  <c r="J116" i="6"/>
  <c r="J117" i="6"/>
  <c r="J118" i="6"/>
  <c r="J119" i="6"/>
  <c r="J120" i="6"/>
  <c r="J153" i="6"/>
  <c r="I156" i="6"/>
  <c r="H159" i="6"/>
  <c r="E159" i="6"/>
  <c r="G159" i="6"/>
  <c r="B159" i="6"/>
  <c r="D159" i="6"/>
  <c r="E97" i="6"/>
  <c r="B166" i="6"/>
  <c r="C166" i="6"/>
  <c r="D166" i="6"/>
  <c r="G166" i="6"/>
  <c r="H170" i="6"/>
  <c r="H121" i="6"/>
  <c r="E161" i="6"/>
  <c r="G161" i="6"/>
  <c r="B161" i="6"/>
  <c r="B149" i="6"/>
  <c r="D149" i="6"/>
  <c r="B116" i="6"/>
  <c r="B117" i="6"/>
  <c r="B118" i="6"/>
  <c r="B119" i="6"/>
  <c r="B120" i="6"/>
  <c r="B150" i="6"/>
  <c r="D150" i="6"/>
  <c r="B151" i="6"/>
  <c r="D151" i="6"/>
  <c r="B152" i="6"/>
  <c r="D152" i="6"/>
  <c r="B153" i="6"/>
  <c r="D116" i="6"/>
  <c r="D117" i="6"/>
  <c r="D118" i="6"/>
  <c r="D119" i="6"/>
  <c r="D120" i="6"/>
  <c r="D153" i="6"/>
  <c r="C156" i="6"/>
  <c r="D161" i="6"/>
  <c r="E101" i="6"/>
  <c r="B168" i="6"/>
  <c r="C168" i="6"/>
  <c r="D170" i="6"/>
  <c r="D121" i="6"/>
  <c r="B165" i="6"/>
  <c r="C165" i="6"/>
  <c r="B170" i="6"/>
  <c r="B121" i="6"/>
  <c r="D171" i="6"/>
  <c r="D172" i="6"/>
  <c r="D168" i="6"/>
  <c r="G168" i="6"/>
  <c r="J170" i="6"/>
  <c r="J121" i="6"/>
  <c r="H171" i="6"/>
  <c r="H172" i="6"/>
  <c r="J166" i="6"/>
  <c r="M166" i="6"/>
  <c r="P170" i="6"/>
  <c r="P121" i="6"/>
  <c r="N171" i="6"/>
  <c r="N172" i="6"/>
  <c r="P164" i="6"/>
  <c r="S164" i="6"/>
  <c r="V164" i="6"/>
  <c r="W170" i="6"/>
  <c r="W121" i="6"/>
  <c r="T161" i="6"/>
  <c r="V161" i="6"/>
  <c r="Q161" i="6"/>
  <c r="Q149" i="6"/>
  <c r="S149" i="6"/>
  <c r="Q150" i="6"/>
  <c r="S150" i="6"/>
  <c r="Q151" i="6"/>
  <c r="S151" i="6"/>
  <c r="Q116" i="6"/>
  <c r="Q117" i="6"/>
  <c r="Q118" i="6"/>
  <c r="Q119" i="6"/>
  <c r="Q120" i="6"/>
  <c r="Q152" i="6"/>
  <c r="S152" i="6"/>
  <c r="Q153" i="6"/>
  <c r="S116" i="6"/>
  <c r="S117" i="6"/>
  <c r="S118" i="6"/>
  <c r="S119" i="6"/>
  <c r="S120" i="6"/>
  <c r="S153" i="6"/>
  <c r="R156" i="6"/>
  <c r="S161" i="6"/>
  <c r="N161" i="6"/>
  <c r="P161" i="6"/>
  <c r="K161" i="6"/>
  <c r="M161" i="6"/>
  <c r="H161" i="6"/>
  <c r="J161" i="6"/>
  <c r="J171" i="6"/>
  <c r="J172" i="6"/>
  <c r="J168" i="6"/>
  <c r="M168" i="6"/>
  <c r="P168" i="6"/>
  <c r="S170" i="6"/>
  <c r="S121" i="6"/>
  <c r="N160" i="6"/>
  <c r="P160" i="6"/>
  <c r="K160" i="6"/>
  <c r="K149" i="6"/>
  <c r="M149" i="6"/>
  <c r="K116" i="6"/>
  <c r="K117" i="6"/>
  <c r="K118" i="6"/>
  <c r="K119" i="6"/>
  <c r="K120" i="6"/>
  <c r="K150" i="6"/>
  <c r="M150" i="6"/>
  <c r="K151" i="6"/>
  <c r="M151" i="6"/>
  <c r="K152" i="6"/>
  <c r="M116" i="6"/>
  <c r="M117" i="6"/>
  <c r="M118" i="6"/>
  <c r="M119" i="6"/>
  <c r="M120" i="6"/>
  <c r="M152" i="6"/>
  <c r="K153" i="6"/>
  <c r="M153" i="6"/>
  <c r="L156" i="6"/>
  <c r="M160" i="6"/>
  <c r="H160" i="6"/>
  <c r="J160" i="6"/>
  <c r="E160" i="6"/>
  <c r="G160" i="6"/>
  <c r="G171" i="6"/>
  <c r="G172" i="6"/>
  <c r="G167" i="6"/>
  <c r="J167" i="6"/>
  <c r="M170" i="6"/>
  <c r="M121" i="6"/>
  <c r="H158" i="6"/>
  <c r="J158" i="6"/>
  <c r="E158" i="6"/>
  <c r="G158" i="6"/>
  <c r="B158" i="6"/>
  <c r="B171" i="6"/>
  <c r="B172" i="6"/>
  <c r="D165" i="6"/>
  <c r="G165" i="6"/>
  <c r="J165" i="6"/>
  <c r="K170" i="6"/>
  <c r="K121" i="6"/>
  <c r="M171" i="6"/>
  <c r="M172" i="6"/>
  <c r="M167" i="6"/>
  <c r="P167" i="6"/>
  <c r="Q170" i="6"/>
  <c r="Q121" i="6"/>
  <c r="S171" i="6"/>
  <c r="S172" i="6"/>
  <c r="S168" i="6"/>
  <c r="V168" i="6"/>
  <c r="Y170" i="6"/>
  <c r="Y121" i="6"/>
  <c r="W171" i="6"/>
  <c r="W172" i="6"/>
  <c r="Y164" i="6"/>
  <c r="AB164" i="6"/>
  <c r="AC170" i="6"/>
  <c r="AC121" i="6"/>
  <c r="Z158" i="6"/>
  <c r="AB158" i="6"/>
  <c r="W158" i="6"/>
  <c r="Y158" i="6"/>
  <c r="T149" i="6"/>
  <c r="V149" i="6"/>
  <c r="T116" i="6"/>
  <c r="T117" i="6"/>
  <c r="T118" i="6"/>
  <c r="T119" i="6"/>
  <c r="T120" i="6"/>
  <c r="T150" i="6"/>
  <c r="V150" i="6"/>
  <c r="T151" i="6"/>
  <c r="V116" i="6"/>
  <c r="V117" i="6"/>
  <c r="V118" i="6"/>
  <c r="V119" i="6"/>
  <c r="V120" i="6"/>
  <c r="V151" i="6"/>
  <c r="T152" i="6"/>
  <c r="V152" i="6"/>
  <c r="T153" i="6"/>
  <c r="V153" i="6"/>
  <c r="U156" i="6"/>
  <c r="T158" i="6"/>
  <c r="Q158" i="6"/>
  <c r="S158" i="6"/>
  <c r="N158" i="6"/>
  <c r="P158" i="6"/>
  <c r="K158" i="6"/>
  <c r="K171" i="6"/>
  <c r="K172" i="6"/>
  <c r="M165" i="6"/>
  <c r="P165" i="6"/>
  <c r="S165" i="6"/>
  <c r="T170" i="6"/>
  <c r="T121" i="6"/>
  <c r="Q159" i="6"/>
  <c r="S159" i="6"/>
  <c r="N159" i="6"/>
  <c r="P159" i="6"/>
  <c r="P171" i="6"/>
  <c r="P172" i="6"/>
  <c r="P166" i="6"/>
  <c r="S166" i="6"/>
  <c r="V170" i="6"/>
  <c r="V121" i="6"/>
  <c r="T171" i="6"/>
  <c r="T172" i="6"/>
  <c r="V165" i="6"/>
  <c r="Y165" i="6"/>
  <c r="AB165" i="6"/>
  <c r="AE170" i="6"/>
  <c r="AE121" i="6"/>
  <c r="AC171" i="6"/>
  <c r="AC172" i="6"/>
  <c r="AE164" i="6"/>
  <c r="AU164" i="6"/>
  <c r="AT165" i="6"/>
  <c r="AC158" i="6"/>
  <c r="AE158" i="6"/>
  <c r="AE171" i="6"/>
  <c r="AE172" i="6"/>
  <c r="AE165" i="6"/>
  <c r="AU165" i="6"/>
  <c r="AT166" i="6"/>
  <c r="AC159" i="6"/>
  <c r="AE159" i="6"/>
  <c r="Z149" i="6"/>
  <c r="AB149" i="6"/>
  <c r="Z150" i="6"/>
  <c r="AB150" i="6"/>
  <c r="Z116" i="6"/>
  <c r="Z117" i="6"/>
  <c r="Z118" i="6"/>
  <c r="Z119" i="6"/>
  <c r="Z120" i="6"/>
  <c r="Z151" i="6"/>
  <c r="AB151" i="6"/>
  <c r="Z152" i="6"/>
  <c r="AB116" i="6"/>
  <c r="AB117" i="6"/>
  <c r="AB118" i="6"/>
  <c r="AB119" i="6"/>
  <c r="AB120" i="6"/>
  <c r="AB152" i="6"/>
  <c r="Z153" i="6"/>
  <c r="AB153" i="6"/>
  <c r="AA156" i="6"/>
  <c r="Z159" i="6"/>
  <c r="W159" i="6"/>
  <c r="Y159" i="6"/>
  <c r="T159" i="6"/>
  <c r="V159" i="6"/>
  <c r="V171" i="6"/>
  <c r="V172" i="6"/>
  <c r="V166" i="6"/>
  <c r="Y166" i="6"/>
  <c r="Z170" i="6"/>
  <c r="Z121" i="6"/>
  <c r="W160" i="6"/>
  <c r="Y160" i="6"/>
  <c r="T160" i="6"/>
  <c r="V160" i="6"/>
  <c r="Q160" i="6"/>
  <c r="Q171" i="6"/>
  <c r="Q172" i="6"/>
  <c r="S167" i="6"/>
  <c r="V167" i="6"/>
  <c r="Y167" i="6"/>
  <c r="AB170" i="6"/>
  <c r="AB121" i="6"/>
  <c r="Z171" i="6"/>
  <c r="Z172" i="6"/>
  <c r="AB166" i="6"/>
  <c r="AE166" i="6"/>
  <c r="AU166" i="6"/>
  <c r="AT167" i="6"/>
  <c r="AC160" i="6"/>
  <c r="AE160" i="6"/>
  <c r="Z160" i="6"/>
  <c r="AB160" i="6"/>
  <c r="AB171" i="6"/>
  <c r="AB172" i="6"/>
  <c r="AB167" i="6"/>
  <c r="AE167" i="6"/>
  <c r="AU167" i="6"/>
  <c r="AT168" i="6"/>
  <c r="AC161" i="6"/>
  <c r="AE161" i="6"/>
  <c r="Z161" i="6"/>
  <c r="AB161" i="6"/>
  <c r="W161" i="6"/>
  <c r="Y161" i="6"/>
  <c r="Y171" i="6"/>
  <c r="Y172" i="6"/>
  <c r="Y168" i="6"/>
  <c r="AB168" i="6"/>
  <c r="AE168" i="6"/>
  <c r="AU168" i="6"/>
  <c r="AX5" i="6"/>
  <c r="X230" i="6"/>
  <c r="Y231" i="6"/>
  <c r="V179" i="6"/>
  <c r="X210" i="6"/>
  <c r="W227" i="6"/>
  <c r="AX10" i="6"/>
  <c r="X227" i="6"/>
  <c r="W231" i="6"/>
  <c r="Y232" i="6"/>
  <c r="Y233" i="6"/>
  <c r="Y230" i="6"/>
  <c r="AB230" i="6"/>
  <c r="AE230" i="6"/>
  <c r="AU233" i="6"/>
  <c r="AT233" i="6"/>
  <c r="V180" i="6"/>
  <c r="X211" i="6"/>
  <c r="W228" i="6"/>
  <c r="AX8" i="6"/>
  <c r="X228" i="6"/>
  <c r="Y228" i="6"/>
  <c r="Z231" i="6"/>
  <c r="AF179" i="6"/>
  <c r="X212" i="6"/>
  <c r="W229" i="6"/>
  <c r="AX7" i="6"/>
  <c r="X229" i="6"/>
  <c r="Y229" i="6"/>
  <c r="AB231" i="6"/>
  <c r="Z232" i="6"/>
  <c r="Z233" i="6"/>
  <c r="AB228" i="6"/>
  <c r="AE231" i="6"/>
  <c r="AE219" i="6"/>
  <c r="AE220" i="6"/>
  <c r="AE221" i="6"/>
  <c r="AE222" i="6"/>
  <c r="W232" i="6"/>
  <c r="W233" i="6"/>
  <c r="Y227" i="6"/>
  <c r="AB227" i="6"/>
  <c r="AC231" i="6"/>
  <c r="AC219" i="6"/>
  <c r="AC220" i="6"/>
  <c r="AC221" i="6"/>
  <c r="AC222" i="6"/>
  <c r="AE232" i="6"/>
  <c r="AE233" i="6"/>
  <c r="AC232" i="6"/>
  <c r="AC233" i="6"/>
  <c r="AB232" i="6"/>
  <c r="AB233" i="6"/>
  <c r="E219" i="6"/>
  <c r="E220" i="6"/>
  <c r="E221" i="6"/>
  <c r="E222" i="6"/>
  <c r="G219" i="6"/>
  <c r="G220" i="6"/>
  <c r="G221" i="6"/>
  <c r="G222" i="6"/>
  <c r="J218" i="6"/>
  <c r="B180" i="6"/>
  <c r="B211" i="6"/>
  <c r="B228" i="6"/>
  <c r="AX4" i="6"/>
  <c r="C228" i="6"/>
  <c r="D228" i="6"/>
  <c r="E231" i="6"/>
  <c r="L179" i="6"/>
  <c r="B212" i="6"/>
  <c r="B229" i="6"/>
  <c r="AX3" i="6"/>
  <c r="C229" i="6"/>
  <c r="D229" i="6"/>
  <c r="G231" i="6"/>
  <c r="E232" i="6"/>
  <c r="E233" i="6"/>
  <c r="G228" i="6"/>
  <c r="J231" i="6"/>
  <c r="J219" i="6"/>
  <c r="J220" i="6"/>
  <c r="J221" i="6"/>
  <c r="J222" i="6"/>
  <c r="B219" i="6"/>
  <c r="B220" i="6"/>
  <c r="B221" i="6"/>
  <c r="B222" i="6"/>
  <c r="D219" i="6"/>
  <c r="D220" i="6"/>
  <c r="D221" i="6"/>
  <c r="D222" i="6"/>
  <c r="H218" i="6"/>
  <c r="B179" i="6"/>
  <c r="B210" i="6"/>
  <c r="B227" i="6"/>
  <c r="AX6" i="6"/>
  <c r="C227" i="6"/>
  <c r="B231" i="6"/>
  <c r="L180" i="6"/>
  <c r="B213" i="6"/>
  <c r="B230" i="6"/>
  <c r="AX12" i="6"/>
  <c r="C230" i="6"/>
  <c r="D231" i="6"/>
  <c r="B232" i="6"/>
  <c r="B233" i="6"/>
  <c r="D227" i="6"/>
  <c r="G227" i="6"/>
  <c r="H231" i="6"/>
  <c r="H219" i="6"/>
  <c r="H220" i="6"/>
  <c r="H221" i="6"/>
  <c r="H222" i="6"/>
  <c r="J232" i="6"/>
  <c r="J233" i="6"/>
  <c r="H232" i="6"/>
  <c r="H233" i="6"/>
  <c r="G232" i="6"/>
  <c r="G233" i="6"/>
  <c r="D232" i="6"/>
  <c r="D233" i="6"/>
  <c r="AB229" i="6"/>
  <c r="AE229" i="6"/>
  <c r="AU232" i="6"/>
  <c r="AT232" i="6"/>
  <c r="AE228" i="6"/>
  <c r="AU231" i="6"/>
  <c r="AT231" i="6"/>
  <c r="AE227" i="6"/>
  <c r="AU230" i="6"/>
  <c r="AT230" i="6"/>
  <c r="D230" i="6"/>
  <c r="G230" i="6"/>
  <c r="J230" i="6"/>
  <c r="AU229" i="6"/>
  <c r="AT229" i="6"/>
  <c r="G229" i="6"/>
  <c r="J229" i="6"/>
  <c r="AU228" i="6"/>
  <c r="AT228" i="6"/>
  <c r="J228" i="6"/>
  <c r="AU227" i="6"/>
  <c r="AT227" i="6"/>
  <c r="J227" i="6"/>
  <c r="AU226" i="6"/>
  <c r="AT226" i="6"/>
  <c r="AF223" i="6"/>
  <c r="K223" i="6"/>
  <c r="E96" i="6"/>
  <c r="AL180" i="6"/>
  <c r="AG213" i="6"/>
  <c r="E102" i="6"/>
  <c r="R180" i="6"/>
  <c r="K213" i="6"/>
  <c r="E13" i="6"/>
  <c r="AL179" i="6"/>
  <c r="AG212" i="6"/>
  <c r="E9" i="6"/>
  <c r="R179" i="6"/>
  <c r="K212" i="6"/>
  <c r="E98" i="6"/>
  <c r="AB180" i="6"/>
  <c r="AG211" i="6"/>
  <c r="E94" i="6"/>
  <c r="H180" i="6"/>
  <c r="K211" i="6"/>
  <c r="E15" i="6"/>
  <c r="AB179" i="6"/>
  <c r="AG210" i="6"/>
  <c r="E11" i="6"/>
  <c r="H179" i="6"/>
  <c r="K210" i="6"/>
  <c r="U204" i="6"/>
  <c r="A204" i="6"/>
  <c r="AB203" i="6"/>
  <c r="F203" i="6"/>
  <c r="U199" i="6"/>
  <c r="A199" i="6"/>
  <c r="AF198" i="6"/>
  <c r="J198" i="6"/>
  <c r="U195" i="6"/>
  <c r="A195" i="6"/>
  <c r="AB193" i="6"/>
  <c r="T193" i="6"/>
  <c r="F193" i="6"/>
  <c r="A193" i="6"/>
  <c r="U190" i="6"/>
  <c r="A190" i="6"/>
  <c r="A174" i="6"/>
  <c r="AF161" i="6"/>
  <c r="S160" i="6"/>
  <c r="AF160" i="6"/>
  <c r="J159" i="6"/>
  <c r="AB159" i="6"/>
  <c r="AF159" i="6"/>
  <c r="D158" i="6"/>
  <c r="M158" i="6"/>
  <c r="V158" i="6"/>
  <c r="AF158" i="6"/>
  <c r="G157" i="6"/>
  <c r="P157" i="6"/>
  <c r="Y157" i="6"/>
  <c r="AE157" i="6"/>
  <c r="AF157" i="6"/>
  <c r="AF153" i="6"/>
  <c r="AG153" i="6"/>
  <c r="AF152" i="6"/>
  <c r="AG152" i="6"/>
  <c r="AF151" i="6"/>
  <c r="AG151" i="6"/>
  <c r="AF150" i="6"/>
  <c r="AG150" i="6"/>
  <c r="AF149" i="6"/>
  <c r="AG149" i="6"/>
  <c r="B147" i="6"/>
  <c r="B124" i="6"/>
  <c r="D124" i="6"/>
  <c r="B125" i="6"/>
  <c r="D125" i="6"/>
  <c r="B126" i="6"/>
  <c r="D126" i="6"/>
  <c r="B127" i="6"/>
  <c r="D127" i="6"/>
  <c r="B128" i="6"/>
  <c r="D128" i="6"/>
  <c r="B129" i="6"/>
  <c r="D147" i="6"/>
  <c r="E147" i="6"/>
  <c r="G147" i="6"/>
  <c r="H147" i="6"/>
  <c r="H124" i="6"/>
  <c r="J124" i="6"/>
  <c r="H125" i="6"/>
  <c r="J125" i="6"/>
  <c r="H126" i="6"/>
  <c r="J126" i="6"/>
  <c r="H127" i="6"/>
  <c r="J127" i="6"/>
  <c r="H128" i="6"/>
  <c r="J128" i="6"/>
  <c r="H129" i="6"/>
  <c r="J147" i="6"/>
  <c r="K147" i="6"/>
  <c r="M147" i="6"/>
  <c r="N147" i="6"/>
  <c r="P147" i="6"/>
  <c r="Q147" i="6"/>
  <c r="Q124" i="6"/>
  <c r="S124" i="6"/>
  <c r="Q125" i="6"/>
  <c r="S125" i="6"/>
  <c r="Q126" i="6"/>
  <c r="S126" i="6"/>
  <c r="Q127" i="6"/>
  <c r="S127" i="6"/>
  <c r="Q128" i="6"/>
  <c r="S128" i="6"/>
  <c r="Q129" i="6"/>
  <c r="S147" i="6"/>
  <c r="T147" i="6"/>
  <c r="V147" i="6"/>
  <c r="W147" i="6"/>
  <c r="W124" i="6"/>
  <c r="Y124" i="6"/>
  <c r="W125" i="6"/>
  <c r="Y125" i="6"/>
  <c r="W126" i="6"/>
  <c r="Y126" i="6"/>
  <c r="W127" i="6"/>
  <c r="Y127" i="6"/>
  <c r="W128" i="6"/>
  <c r="Y128" i="6"/>
  <c r="W129" i="6"/>
  <c r="Y147" i="6"/>
  <c r="Z147" i="6"/>
  <c r="AB147" i="6"/>
  <c r="AC147" i="6"/>
  <c r="AE147" i="6"/>
  <c r="AF147" i="6"/>
  <c r="B146" i="6"/>
  <c r="D146" i="6"/>
  <c r="E146" i="6"/>
  <c r="E124" i="6"/>
  <c r="G124" i="6"/>
  <c r="E125" i="6"/>
  <c r="G125" i="6"/>
  <c r="E126" i="6"/>
  <c r="G126" i="6"/>
  <c r="E127" i="6"/>
  <c r="G127" i="6"/>
  <c r="E128" i="6"/>
  <c r="G128" i="6"/>
  <c r="E129" i="6"/>
  <c r="G146" i="6"/>
  <c r="H146" i="6"/>
  <c r="J146" i="6"/>
  <c r="K146" i="6"/>
  <c r="K124" i="6"/>
  <c r="M124" i="6"/>
  <c r="K125" i="6"/>
  <c r="M125" i="6"/>
  <c r="K126" i="6"/>
  <c r="M126" i="6"/>
  <c r="K127" i="6"/>
  <c r="M127" i="6"/>
  <c r="K128" i="6"/>
  <c r="M128" i="6"/>
  <c r="K129" i="6"/>
  <c r="M146" i="6"/>
  <c r="N146" i="6"/>
  <c r="P146" i="6"/>
  <c r="Q146" i="6"/>
  <c r="S146" i="6"/>
  <c r="T146" i="6"/>
  <c r="V146" i="6"/>
  <c r="W146" i="6"/>
  <c r="Y146" i="6"/>
  <c r="Z146" i="6"/>
  <c r="Z124" i="6"/>
  <c r="AB124" i="6"/>
  <c r="Z125" i="6"/>
  <c r="AB125" i="6"/>
  <c r="Z126" i="6"/>
  <c r="AB126" i="6"/>
  <c r="Z127" i="6"/>
  <c r="AB127" i="6"/>
  <c r="Z128" i="6"/>
  <c r="AB128" i="6"/>
  <c r="Z129" i="6"/>
  <c r="AB146" i="6"/>
  <c r="AC146" i="6"/>
  <c r="AE146" i="6"/>
  <c r="AF146" i="6"/>
  <c r="B145" i="6"/>
  <c r="D145" i="6"/>
  <c r="E145" i="6"/>
  <c r="G145" i="6"/>
  <c r="H145" i="6"/>
  <c r="J145" i="6"/>
  <c r="K145" i="6"/>
  <c r="M145" i="6"/>
  <c r="N145" i="6"/>
  <c r="N124" i="6"/>
  <c r="P124" i="6"/>
  <c r="N125" i="6"/>
  <c r="P125" i="6"/>
  <c r="N126" i="6"/>
  <c r="P126" i="6"/>
  <c r="N127" i="6"/>
  <c r="P127" i="6"/>
  <c r="N128" i="6"/>
  <c r="P128" i="6"/>
  <c r="N129" i="6"/>
  <c r="P145" i="6"/>
  <c r="Q145" i="6"/>
  <c r="S145" i="6"/>
  <c r="T145" i="6"/>
  <c r="T124" i="6"/>
  <c r="V124" i="6"/>
  <c r="T125" i="6"/>
  <c r="V125" i="6"/>
  <c r="T126" i="6"/>
  <c r="V126" i="6"/>
  <c r="T127" i="6"/>
  <c r="V127" i="6"/>
  <c r="T128" i="6"/>
  <c r="V128" i="6"/>
  <c r="T129" i="6"/>
  <c r="V145" i="6"/>
  <c r="W145" i="6"/>
  <c r="Y145" i="6"/>
  <c r="Z145" i="6"/>
  <c r="AB145" i="6"/>
  <c r="AC145" i="6"/>
  <c r="AE145" i="6"/>
  <c r="AF145" i="6"/>
  <c r="B144" i="6"/>
  <c r="D144" i="6"/>
  <c r="E144" i="6"/>
  <c r="G144" i="6"/>
  <c r="H144" i="6"/>
  <c r="J144" i="6"/>
  <c r="K144" i="6"/>
  <c r="M144" i="6"/>
  <c r="N144" i="6"/>
  <c r="P144" i="6"/>
  <c r="Q144" i="6"/>
  <c r="S144" i="6"/>
  <c r="T144" i="6"/>
  <c r="V144" i="6"/>
  <c r="W144" i="6"/>
  <c r="Y144" i="6"/>
  <c r="Z144" i="6"/>
  <c r="AB144" i="6"/>
  <c r="AC144" i="6"/>
  <c r="AC124" i="6"/>
  <c r="AE124" i="6"/>
  <c r="AC125" i="6"/>
  <c r="AE125" i="6"/>
  <c r="AC126" i="6"/>
  <c r="AE126" i="6"/>
  <c r="AC127" i="6"/>
  <c r="AE127" i="6"/>
  <c r="AC128" i="6"/>
  <c r="AE128" i="6"/>
  <c r="AC129" i="6"/>
  <c r="AE144" i="6"/>
  <c r="AF144" i="6"/>
  <c r="B143" i="6"/>
  <c r="D143" i="6"/>
  <c r="E143" i="6"/>
  <c r="G143" i="6"/>
  <c r="H143" i="6"/>
  <c r="J143" i="6"/>
  <c r="K143" i="6"/>
  <c r="M143" i="6"/>
  <c r="N143" i="6"/>
  <c r="P143" i="6"/>
  <c r="Q143" i="6"/>
  <c r="S143" i="6"/>
  <c r="T143" i="6"/>
  <c r="V143" i="6"/>
  <c r="W143" i="6"/>
  <c r="Y143" i="6"/>
  <c r="Z143" i="6"/>
  <c r="AB143" i="6"/>
  <c r="AC143" i="6"/>
  <c r="AE143" i="6"/>
  <c r="AF143" i="6"/>
  <c r="B141" i="6"/>
  <c r="B122" i="6"/>
  <c r="D122" i="6"/>
  <c r="C122" i="6"/>
  <c r="D141" i="6"/>
  <c r="E141" i="6"/>
  <c r="G141" i="6"/>
  <c r="H141" i="6"/>
  <c r="H122" i="6"/>
  <c r="J122" i="6"/>
  <c r="I122" i="6"/>
  <c r="J141" i="6"/>
  <c r="K141" i="6"/>
  <c r="M141" i="6"/>
  <c r="N141" i="6"/>
  <c r="P141" i="6"/>
  <c r="Q141" i="6"/>
  <c r="Q122" i="6"/>
  <c r="S122" i="6"/>
  <c r="R122" i="6"/>
  <c r="S141" i="6"/>
  <c r="T141" i="6"/>
  <c r="V141" i="6"/>
  <c r="W141" i="6"/>
  <c r="W122" i="6"/>
  <c r="Y122" i="6"/>
  <c r="X122" i="6"/>
  <c r="Y141" i="6"/>
  <c r="Z141" i="6"/>
  <c r="AB141" i="6"/>
  <c r="AC141" i="6"/>
  <c r="AE141" i="6"/>
  <c r="AF141" i="6"/>
  <c r="B140" i="6"/>
  <c r="D140" i="6"/>
  <c r="E140" i="6"/>
  <c r="E122" i="6"/>
  <c r="G122" i="6"/>
  <c r="F122" i="6"/>
  <c r="G140" i="6"/>
  <c r="H140" i="6"/>
  <c r="J140" i="6"/>
  <c r="K140" i="6"/>
  <c r="K122" i="6"/>
  <c r="M122" i="6"/>
  <c r="L122" i="6"/>
  <c r="M140" i="6"/>
  <c r="N140" i="6"/>
  <c r="P140" i="6"/>
  <c r="Q140" i="6"/>
  <c r="S140" i="6"/>
  <c r="T140" i="6"/>
  <c r="V140" i="6"/>
  <c r="W140" i="6"/>
  <c r="Y140" i="6"/>
  <c r="Z140" i="6"/>
  <c r="Z122" i="6"/>
  <c r="AB122" i="6"/>
  <c r="AA122" i="6"/>
  <c r="AB140" i="6"/>
  <c r="AC140" i="6"/>
  <c r="AE140" i="6"/>
  <c r="AF140" i="6"/>
  <c r="B139" i="6"/>
  <c r="D139" i="6"/>
  <c r="E139" i="6"/>
  <c r="G139" i="6"/>
  <c r="H139" i="6"/>
  <c r="J139" i="6"/>
  <c r="K139" i="6"/>
  <c r="M139" i="6"/>
  <c r="N139" i="6"/>
  <c r="N122" i="6"/>
  <c r="P122" i="6"/>
  <c r="O122" i="6"/>
  <c r="P139" i="6"/>
  <c r="Q139" i="6"/>
  <c r="S139" i="6"/>
  <c r="T139" i="6"/>
  <c r="T122" i="6"/>
  <c r="V122" i="6"/>
  <c r="U122" i="6"/>
  <c r="V139" i="6"/>
  <c r="W139" i="6"/>
  <c r="Y139" i="6"/>
  <c r="Z139" i="6"/>
  <c r="AB139" i="6"/>
  <c r="AC139" i="6"/>
  <c r="AE139" i="6"/>
  <c r="AF139" i="6"/>
  <c r="B138" i="6"/>
  <c r="D138" i="6"/>
  <c r="E138" i="6"/>
  <c r="G138" i="6"/>
  <c r="H138" i="6"/>
  <c r="J138" i="6"/>
  <c r="K138" i="6"/>
  <c r="M138" i="6"/>
  <c r="N138" i="6"/>
  <c r="P138" i="6"/>
  <c r="Q138" i="6"/>
  <c r="S138" i="6"/>
  <c r="T138" i="6"/>
  <c r="V138" i="6"/>
  <c r="W138" i="6"/>
  <c r="Y138" i="6"/>
  <c r="Z138" i="6"/>
  <c r="AB138" i="6"/>
  <c r="AC138" i="6"/>
  <c r="AC122" i="6"/>
  <c r="AE122" i="6"/>
  <c r="AD122" i="6"/>
  <c r="AE138" i="6"/>
  <c r="AF138" i="6"/>
  <c r="B137" i="6"/>
  <c r="D137" i="6"/>
  <c r="E137" i="6"/>
  <c r="G137" i="6"/>
  <c r="H137" i="6"/>
  <c r="J137" i="6"/>
  <c r="K137" i="6"/>
  <c r="M137" i="6"/>
  <c r="N137" i="6"/>
  <c r="P137" i="6"/>
  <c r="Q137" i="6"/>
  <c r="S137" i="6"/>
  <c r="T137" i="6"/>
  <c r="V137" i="6"/>
  <c r="W137" i="6"/>
  <c r="Y137" i="6"/>
  <c r="Z137" i="6"/>
  <c r="AB137" i="6"/>
  <c r="AC137" i="6"/>
  <c r="AE137" i="6"/>
  <c r="AF137" i="6"/>
  <c r="B135" i="6"/>
  <c r="D135" i="6"/>
  <c r="E135" i="6"/>
  <c r="G135" i="6"/>
  <c r="H135" i="6"/>
  <c r="J135" i="6"/>
  <c r="K135" i="6"/>
  <c r="M135" i="6"/>
  <c r="N135" i="6"/>
  <c r="P135" i="6"/>
  <c r="Q135" i="6"/>
  <c r="S135" i="6"/>
  <c r="T135" i="6"/>
  <c r="V135" i="6"/>
  <c r="W135" i="6"/>
  <c r="Y135" i="6"/>
  <c r="Z135" i="6"/>
  <c r="AB135" i="6"/>
  <c r="AC135" i="6"/>
  <c r="AE135" i="6"/>
  <c r="AF135" i="6"/>
  <c r="AG135" i="6"/>
  <c r="B134" i="6"/>
  <c r="D134" i="6"/>
  <c r="E134" i="6"/>
  <c r="G134" i="6"/>
  <c r="H134" i="6"/>
  <c r="J134" i="6"/>
  <c r="K134" i="6"/>
  <c r="M134" i="6"/>
  <c r="N134" i="6"/>
  <c r="P134" i="6"/>
  <c r="Q134" i="6"/>
  <c r="S134" i="6"/>
  <c r="T134" i="6"/>
  <c r="V134" i="6"/>
  <c r="W134" i="6"/>
  <c r="Y134" i="6"/>
  <c r="Z134" i="6"/>
  <c r="AB134" i="6"/>
  <c r="AC134" i="6"/>
  <c r="AE134" i="6"/>
  <c r="AF134" i="6"/>
  <c r="AG134" i="6"/>
  <c r="B133" i="6"/>
  <c r="D133" i="6"/>
  <c r="E133" i="6"/>
  <c r="G133" i="6"/>
  <c r="H133" i="6"/>
  <c r="J133" i="6"/>
  <c r="K133" i="6"/>
  <c r="M133" i="6"/>
  <c r="N133" i="6"/>
  <c r="P133" i="6"/>
  <c r="Q133" i="6"/>
  <c r="S133" i="6"/>
  <c r="T133" i="6"/>
  <c r="V133" i="6"/>
  <c r="W133" i="6"/>
  <c r="Y133" i="6"/>
  <c r="Z133" i="6"/>
  <c r="AB133" i="6"/>
  <c r="AC133" i="6"/>
  <c r="AE133" i="6"/>
  <c r="AF133" i="6"/>
  <c r="AG133" i="6"/>
  <c r="B132" i="6"/>
  <c r="D132" i="6"/>
  <c r="E132" i="6"/>
  <c r="G132" i="6"/>
  <c r="H132" i="6"/>
  <c r="J132" i="6"/>
  <c r="K132" i="6"/>
  <c r="M132" i="6"/>
  <c r="N132" i="6"/>
  <c r="P132" i="6"/>
  <c r="Q132" i="6"/>
  <c r="S132" i="6"/>
  <c r="T132" i="6"/>
  <c r="V132" i="6"/>
  <c r="W132" i="6"/>
  <c r="Y132" i="6"/>
  <c r="Z132" i="6"/>
  <c r="AB132" i="6"/>
  <c r="AC132" i="6"/>
  <c r="AE132" i="6"/>
  <c r="AF132" i="6"/>
  <c r="AG132" i="6"/>
  <c r="B131" i="6"/>
  <c r="D131" i="6"/>
  <c r="E131" i="6"/>
  <c r="G131" i="6"/>
  <c r="H131" i="6"/>
  <c r="J131" i="6"/>
  <c r="K131" i="6"/>
  <c r="M131" i="6"/>
  <c r="N131" i="6"/>
  <c r="P131" i="6"/>
  <c r="Q131" i="6"/>
  <c r="S131" i="6"/>
  <c r="T131" i="6"/>
  <c r="V131" i="6"/>
  <c r="W131" i="6"/>
  <c r="Y131" i="6"/>
  <c r="Z131" i="6"/>
  <c r="AB131" i="6"/>
  <c r="AC131" i="6"/>
  <c r="AE131" i="6"/>
  <c r="AF131" i="6"/>
  <c r="AG131" i="6"/>
  <c r="AE115" i="6"/>
  <c r="AC115" i="6"/>
  <c r="AB115" i="6"/>
  <c r="Z115" i="6"/>
  <c r="Y115" i="6"/>
  <c r="W115" i="6"/>
  <c r="V115" i="6"/>
  <c r="T115" i="6"/>
  <c r="S115" i="6"/>
  <c r="Q115" i="6"/>
  <c r="P115" i="6"/>
  <c r="N115" i="6"/>
  <c r="M115" i="6"/>
  <c r="K115" i="6"/>
  <c r="J115" i="6"/>
  <c r="H115" i="6"/>
  <c r="G115" i="6"/>
  <c r="E115" i="6"/>
  <c r="D115" i="6"/>
  <c r="B115" i="6"/>
  <c r="AD114" i="6"/>
  <c r="AA114" i="6"/>
  <c r="X114" i="6"/>
  <c r="U114" i="6"/>
  <c r="R114" i="6"/>
  <c r="O114" i="6"/>
  <c r="L114" i="6"/>
  <c r="I114" i="6"/>
  <c r="F114" i="6"/>
  <c r="A114" i="6"/>
  <c r="AG113" i="6"/>
  <c r="AH113" i="6"/>
  <c r="AI113" i="6"/>
  <c r="AJ113" i="6"/>
  <c r="AK113" i="6"/>
  <c r="AL113" i="6"/>
  <c r="AM113" i="6"/>
  <c r="AN113" i="6"/>
  <c r="AO113" i="6"/>
  <c r="AP113" i="6"/>
  <c r="AQ113" i="6"/>
  <c r="AF113" i="6"/>
  <c r="AD113" i="6"/>
  <c r="AA113" i="6"/>
  <c r="X113" i="6"/>
  <c r="U113" i="6"/>
  <c r="R113" i="6"/>
  <c r="O113" i="6"/>
  <c r="L113" i="6"/>
  <c r="I113" i="6"/>
  <c r="F113" i="6"/>
  <c r="A113" i="6"/>
  <c r="AG112" i="6"/>
  <c r="AH112" i="6"/>
  <c r="AI112" i="6"/>
  <c r="AJ112" i="6"/>
  <c r="AK112" i="6"/>
  <c r="AL112" i="6"/>
  <c r="AM112" i="6"/>
  <c r="AN112" i="6"/>
  <c r="AO112" i="6"/>
  <c r="AP112" i="6"/>
  <c r="AQ112" i="6"/>
  <c r="AF112" i="6"/>
  <c r="AD112" i="6"/>
  <c r="AA112" i="6"/>
  <c r="X112" i="6"/>
  <c r="U112" i="6"/>
  <c r="R112" i="6"/>
  <c r="O112" i="6"/>
  <c r="L112" i="6"/>
  <c r="I112" i="6"/>
  <c r="F112" i="6"/>
  <c r="A112" i="6"/>
  <c r="AG111" i="6"/>
  <c r="AH111" i="6"/>
  <c r="AI111" i="6"/>
  <c r="AJ111" i="6"/>
  <c r="AK111" i="6"/>
  <c r="AL111" i="6"/>
  <c r="AM111" i="6"/>
  <c r="AN111" i="6"/>
  <c r="AO111" i="6"/>
  <c r="AP111" i="6"/>
  <c r="AQ111" i="6"/>
  <c r="AF111" i="6"/>
  <c r="AD111" i="6"/>
  <c r="AA111" i="6"/>
  <c r="X111" i="6"/>
  <c r="U111" i="6"/>
  <c r="R111" i="6"/>
  <c r="O111" i="6"/>
  <c r="L111" i="6"/>
  <c r="I111" i="6"/>
  <c r="F111" i="6"/>
  <c r="A111" i="6"/>
  <c r="AG110" i="6"/>
  <c r="AH110" i="6"/>
  <c r="AI110" i="6"/>
  <c r="AJ110" i="6"/>
  <c r="AK110" i="6"/>
  <c r="AL110" i="6"/>
  <c r="AM110" i="6"/>
  <c r="AN110" i="6"/>
  <c r="AO110" i="6"/>
  <c r="AP110" i="6"/>
  <c r="AQ110" i="6"/>
  <c r="AF110" i="6"/>
  <c r="AD110" i="6"/>
  <c r="AA110" i="6"/>
  <c r="X110" i="6"/>
  <c r="U110" i="6"/>
  <c r="R110" i="6"/>
  <c r="O110" i="6"/>
  <c r="L110" i="6"/>
  <c r="I110" i="6"/>
  <c r="F110" i="6"/>
  <c r="AG109" i="6"/>
  <c r="AH109" i="6"/>
  <c r="AI109" i="6"/>
  <c r="AJ109" i="6"/>
  <c r="AK109" i="6"/>
  <c r="AL109" i="6"/>
  <c r="AM109" i="6"/>
  <c r="AN109" i="6"/>
  <c r="AO109" i="6"/>
  <c r="AP109" i="6"/>
  <c r="AQ109" i="6"/>
  <c r="AF109" i="6"/>
  <c r="AD109" i="6"/>
  <c r="AA109" i="6"/>
  <c r="X109" i="6"/>
  <c r="U109" i="6"/>
  <c r="R109" i="6"/>
  <c r="O109" i="6"/>
  <c r="L109" i="6"/>
  <c r="I109" i="6"/>
  <c r="F109" i="6"/>
  <c r="AC107" i="6"/>
  <c r="Z107" i="6"/>
  <c r="W107" i="6"/>
  <c r="T107" i="6"/>
  <c r="Q107" i="6"/>
  <c r="N107" i="6"/>
  <c r="K107" i="6"/>
  <c r="H107" i="6"/>
  <c r="E107" i="6"/>
  <c r="AC101" i="6"/>
  <c r="Z101" i="6"/>
  <c r="W101" i="6"/>
  <c r="R101" i="6"/>
  <c r="L101" i="6"/>
  <c r="A101" i="6"/>
  <c r="E100" i="6"/>
  <c r="AC99" i="6"/>
  <c r="Z99" i="6"/>
  <c r="W99" i="6"/>
  <c r="R99" i="6"/>
  <c r="L99" i="6"/>
  <c r="A99" i="6"/>
  <c r="AC97" i="6"/>
  <c r="Z97" i="6"/>
  <c r="W97" i="6"/>
  <c r="R97" i="6"/>
  <c r="L97" i="6"/>
  <c r="A97" i="6"/>
  <c r="AC95" i="6"/>
  <c r="Z95" i="6"/>
  <c r="W95" i="6"/>
  <c r="R95" i="6"/>
  <c r="L95" i="6"/>
  <c r="A95" i="6"/>
  <c r="AC93" i="6"/>
  <c r="Z93" i="6"/>
  <c r="W93" i="6"/>
  <c r="R93" i="6"/>
  <c r="L93" i="6"/>
  <c r="A93" i="6"/>
  <c r="R92" i="6"/>
  <c r="L92" i="6"/>
  <c r="K91" i="6"/>
  <c r="A89" i="6"/>
  <c r="AF76" i="6"/>
  <c r="S75" i="6"/>
  <c r="AF75" i="6"/>
  <c r="J74" i="6"/>
  <c r="AB74" i="6"/>
  <c r="AF74" i="6"/>
  <c r="D73" i="6"/>
  <c r="M73" i="6"/>
  <c r="V73" i="6"/>
  <c r="AF73" i="6"/>
  <c r="G72" i="6"/>
  <c r="P72" i="6"/>
  <c r="Y72" i="6"/>
  <c r="AE72" i="6"/>
  <c r="AF72" i="6"/>
  <c r="AF68" i="6"/>
  <c r="AG68" i="6"/>
  <c r="AF67" i="6"/>
  <c r="AG67" i="6"/>
  <c r="AF66" i="6"/>
  <c r="AG66" i="6"/>
  <c r="AF65" i="6"/>
  <c r="AG65" i="6"/>
  <c r="AF64" i="6"/>
  <c r="AG64" i="6"/>
  <c r="B62" i="6"/>
  <c r="B39" i="6"/>
  <c r="D39" i="6"/>
  <c r="B40" i="6"/>
  <c r="D40" i="6"/>
  <c r="B41" i="6"/>
  <c r="D41" i="6"/>
  <c r="B42" i="6"/>
  <c r="D42" i="6"/>
  <c r="B43" i="6"/>
  <c r="D43" i="6"/>
  <c r="B44" i="6"/>
  <c r="D62" i="6"/>
  <c r="E62" i="6"/>
  <c r="G62" i="6"/>
  <c r="H62" i="6"/>
  <c r="H39" i="6"/>
  <c r="J39" i="6"/>
  <c r="H40" i="6"/>
  <c r="J40" i="6"/>
  <c r="H41" i="6"/>
  <c r="J41" i="6"/>
  <c r="H42" i="6"/>
  <c r="J42" i="6"/>
  <c r="H43" i="6"/>
  <c r="J43" i="6"/>
  <c r="H44" i="6"/>
  <c r="J62" i="6"/>
  <c r="K62" i="6"/>
  <c r="M62" i="6"/>
  <c r="N62" i="6"/>
  <c r="P62" i="6"/>
  <c r="Q62" i="6"/>
  <c r="Q39" i="6"/>
  <c r="S39" i="6"/>
  <c r="Q40" i="6"/>
  <c r="S40" i="6"/>
  <c r="Q41" i="6"/>
  <c r="S41" i="6"/>
  <c r="Q42" i="6"/>
  <c r="S42" i="6"/>
  <c r="Q43" i="6"/>
  <c r="S43" i="6"/>
  <c r="Q44" i="6"/>
  <c r="S62" i="6"/>
  <c r="T62" i="6"/>
  <c r="V62" i="6"/>
  <c r="W62" i="6"/>
  <c r="W39" i="6"/>
  <c r="Y39" i="6"/>
  <c r="W40" i="6"/>
  <c r="Y40" i="6"/>
  <c r="W41" i="6"/>
  <c r="Y41" i="6"/>
  <c r="W42" i="6"/>
  <c r="Y42" i="6"/>
  <c r="W43" i="6"/>
  <c r="Y43" i="6"/>
  <c r="W44" i="6"/>
  <c r="Y62" i="6"/>
  <c r="Z62" i="6"/>
  <c r="AB62" i="6"/>
  <c r="AC62" i="6"/>
  <c r="AE62" i="6"/>
  <c r="AF62" i="6"/>
  <c r="B61" i="6"/>
  <c r="D61" i="6"/>
  <c r="E61" i="6"/>
  <c r="E39" i="6"/>
  <c r="G39" i="6"/>
  <c r="E40" i="6"/>
  <c r="G40" i="6"/>
  <c r="E41" i="6"/>
  <c r="G41" i="6"/>
  <c r="E42" i="6"/>
  <c r="G42" i="6"/>
  <c r="E43" i="6"/>
  <c r="G43" i="6"/>
  <c r="E44" i="6"/>
  <c r="G61" i="6"/>
  <c r="H61" i="6"/>
  <c r="J61" i="6"/>
  <c r="K61" i="6"/>
  <c r="K39" i="6"/>
  <c r="M39" i="6"/>
  <c r="K40" i="6"/>
  <c r="M40" i="6"/>
  <c r="K41" i="6"/>
  <c r="M41" i="6"/>
  <c r="K42" i="6"/>
  <c r="M42" i="6"/>
  <c r="K43" i="6"/>
  <c r="M43" i="6"/>
  <c r="K44" i="6"/>
  <c r="M61" i="6"/>
  <c r="N61" i="6"/>
  <c r="P61" i="6"/>
  <c r="Q61" i="6"/>
  <c r="S61" i="6"/>
  <c r="T61" i="6"/>
  <c r="V61" i="6"/>
  <c r="W61" i="6"/>
  <c r="Y61" i="6"/>
  <c r="Z61" i="6"/>
  <c r="Z39" i="6"/>
  <c r="AB39" i="6"/>
  <c r="Z40" i="6"/>
  <c r="AB40" i="6"/>
  <c r="Z41" i="6"/>
  <c r="AB41" i="6"/>
  <c r="Z42" i="6"/>
  <c r="AB42" i="6"/>
  <c r="Z43" i="6"/>
  <c r="AB43" i="6"/>
  <c r="Z44" i="6"/>
  <c r="AB61" i="6"/>
  <c r="AC61" i="6"/>
  <c r="AE61" i="6"/>
  <c r="AF61" i="6"/>
  <c r="B60" i="6"/>
  <c r="D60" i="6"/>
  <c r="E60" i="6"/>
  <c r="G60" i="6"/>
  <c r="H60" i="6"/>
  <c r="J60" i="6"/>
  <c r="K60" i="6"/>
  <c r="M60" i="6"/>
  <c r="N60" i="6"/>
  <c r="N39" i="6"/>
  <c r="P39" i="6"/>
  <c r="N40" i="6"/>
  <c r="P40" i="6"/>
  <c r="N41" i="6"/>
  <c r="P41" i="6"/>
  <c r="N42" i="6"/>
  <c r="P42" i="6"/>
  <c r="N43" i="6"/>
  <c r="P43" i="6"/>
  <c r="N44" i="6"/>
  <c r="P60" i="6"/>
  <c r="Q60" i="6"/>
  <c r="S60" i="6"/>
  <c r="T60" i="6"/>
  <c r="T39" i="6"/>
  <c r="V39" i="6"/>
  <c r="T40" i="6"/>
  <c r="V40" i="6"/>
  <c r="T41" i="6"/>
  <c r="V41" i="6"/>
  <c r="T42" i="6"/>
  <c r="V42" i="6"/>
  <c r="T43" i="6"/>
  <c r="V43" i="6"/>
  <c r="T44" i="6"/>
  <c r="V60" i="6"/>
  <c r="W60" i="6"/>
  <c r="Y60" i="6"/>
  <c r="Z60" i="6"/>
  <c r="AB60" i="6"/>
  <c r="AC60" i="6"/>
  <c r="AE60" i="6"/>
  <c r="AF60" i="6"/>
  <c r="B59" i="6"/>
  <c r="D59" i="6"/>
  <c r="E59" i="6"/>
  <c r="G59" i="6"/>
  <c r="H59" i="6"/>
  <c r="J59" i="6"/>
  <c r="K59" i="6"/>
  <c r="M59" i="6"/>
  <c r="N59" i="6"/>
  <c r="P59" i="6"/>
  <c r="Q59" i="6"/>
  <c r="S59" i="6"/>
  <c r="T59" i="6"/>
  <c r="V59" i="6"/>
  <c r="W59" i="6"/>
  <c r="Y59" i="6"/>
  <c r="Z59" i="6"/>
  <c r="AB59" i="6"/>
  <c r="AC59" i="6"/>
  <c r="AC39" i="6"/>
  <c r="AE39" i="6"/>
  <c r="AC40" i="6"/>
  <c r="AE40" i="6"/>
  <c r="AC41" i="6"/>
  <c r="AE41" i="6"/>
  <c r="AC42" i="6"/>
  <c r="AE42" i="6"/>
  <c r="AC43" i="6"/>
  <c r="AE43" i="6"/>
  <c r="AC44" i="6"/>
  <c r="AE59" i="6"/>
  <c r="AF59" i="6"/>
  <c r="B58" i="6"/>
  <c r="D58" i="6"/>
  <c r="E58" i="6"/>
  <c r="G58" i="6"/>
  <c r="H58" i="6"/>
  <c r="J58" i="6"/>
  <c r="K58" i="6"/>
  <c r="M58" i="6"/>
  <c r="N58" i="6"/>
  <c r="P58" i="6"/>
  <c r="Q58" i="6"/>
  <c r="S58" i="6"/>
  <c r="T58" i="6"/>
  <c r="V58" i="6"/>
  <c r="W58" i="6"/>
  <c r="Y58" i="6"/>
  <c r="Z58" i="6"/>
  <c r="AB58" i="6"/>
  <c r="AC58" i="6"/>
  <c r="AE58" i="6"/>
  <c r="AF58" i="6"/>
  <c r="B56" i="6"/>
  <c r="B37" i="6"/>
  <c r="D37" i="6"/>
  <c r="C37" i="6"/>
  <c r="D56" i="6"/>
  <c r="E56" i="6"/>
  <c r="G56" i="6"/>
  <c r="H56" i="6"/>
  <c r="H37" i="6"/>
  <c r="J37" i="6"/>
  <c r="I37" i="6"/>
  <c r="J56" i="6"/>
  <c r="K56" i="6"/>
  <c r="M56" i="6"/>
  <c r="N56" i="6"/>
  <c r="P56" i="6"/>
  <c r="Q56" i="6"/>
  <c r="Q37" i="6"/>
  <c r="S37" i="6"/>
  <c r="R37" i="6"/>
  <c r="S56" i="6"/>
  <c r="T56" i="6"/>
  <c r="V56" i="6"/>
  <c r="W56" i="6"/>
  <c r="W37" i="6"/>
  <c r="Y37" i="6"/>
  <c r="X37" i="6"/>
  <c r="Y56" i="6"/>
  <c r="Z56" i="6"/>
  <c r="AB56" i="6"/>
  <c r="AC56" i="6"/>
  <c r="AE56" i="6"/>
  <c r="AF56" i="6"/>
  <c r="B55" i="6"/>
  <c r="D55" i="6"/>
  <c r="E55" i="6"/>
  <c r="E37" i="6"/>
  <c r="G37" i="6"/>
  <c r="F37" i="6"/>
  <c r="G55" i="6"/>
  <c r="H55" i="6"/>
  <c r="J55" i="6"/>
  <c r="K55" i="6"/>
  <c r="K37" i="6"/>
  <c r="M37" i="6"/>
  <c r="L37" i="6"/>
  <c r="M55" i="6"/>
  <c r="N55" i="6"/>
  <c r="P55" i="6"/>
  <c r="Q55" i="6"/>
  <c r="S55" i="6"/>
  <c r="T55" i="6"/>
  <c r="V55" i="6"/>
  <c r="W55" i="6"/>
  <c r="Y55" i="6"/>
  <c r="Z55" i="6"/>
  <c r="Z37" i="6"/>
  <c r="AB37" i="6"/>
  <c r="AA37" i="6"/>
  <c r="AB55" i="6"/>
  <c r="AC55" i="6"/>
  <c r="AE55" i="6"/>
  <c r="AF55" i="6"/>
  <c r="B54" i="6"/>
  <c r="D54" i="6"/>
  <c r="E54" i="6"/>
  <c r="G54" i="6"/>
  <c r="H54" i="6"/>
  <c r="J54" i="6"/>
  <c r="K54" i="6"/>
  <c r="M54" i="6"/>
  <c r="N54" i="6"/>
  <c r="N37" i="6"/>
  <c r="P37" i="6"/>
  <c r="O37" i="6"/>
  <c r="P54" i="6"/>
  <c r="Q54" i="6"/>
  <c r="S54" i="6"/>
  <c r="T54" i="6"/>
  <c r="T37" i="6"/>
  <c r="V37" i="6"/>
  <c r="U37" i="6"/>
  <c r="V54" i="6"/>
  <c r="W54" i="6"/>
  <c r="Y54" i="6"/>
  <c r="Z54" i="6"/>
  <c r="AB54" i="6"/>
  <c r="AC54" i="6"/>
  <c r="AE54" i="6"/>
  <c r="AF54" i="6"/>
  <c r="B53" i="6"/>
  <c r="D53" i="6"/>
  <c r="E53" i="6"/>
  <c r="G53" i="6"/>
  <c r="H53" i="6"/>
  <c r="J53" i="6"/>
  <c r="K53" i="6"/>
  <c r="M53" i="6"/>
  <c r="N53" i="6"/>
  <c r="P53" i="6"/>
  <c r="Q53" i="6"/>
  <c r="S53" i="6"/>
  <c r="T53" i="6"/>
  <c r="V53" i="6"/>
  <c r="W53" i="6"/>
  <c r="Y53" i="6"/>
  <c r="Z53" i="6"/>
  <c r="AB53" i="6"/>
  <c r="AC53" i="6"/>
  <c r="AC37" i="6"/>
  <c r="AE37" i="6"/>
  <c r="AD37" i="6"/>
  <c r="AE53" i="6"/>
  <c r="AF53" i="6"/>
  <c r="B52" i="6"/>
  <c r="D52" i="6"/>
  <c r="E52" i="6"/>
  <c r="G52" i="6"/>
  <c r="H52" i="6"/>
  <c r="J52" i="6"/>
  <c r="K52" i="6"/>
  <c r="M52" i="6"/>
  <c r="N52" i="6"/>
  <c r="P52" i="6"/>
  <c r="Q52" i="6"/>
  <c r="S52" i="6"/>
  <c r="T52" i="6"/>
  <c r="V52" i="6"/>
  <c r="W52" i="6"/>
  <c r="Y52" i="6"/>
  <c r="Z52" i="6"/>
  <c r="AB52" i="6"/>
  <c r="AC52" i="6"/>
  <c r="AE52" i="6"/>
  <c r="AF52" i="6"/>
  <c r="B50" i="6"/>
  <c r="D50" i="6"/>
  <c r="E50" i="6"/>
  <c r="G50" i="6"/>
  <c r="H50" i="6"/>
  <c r="J50" i="6"/>
  <c r="K50" i="6"/>
  <c r="M50" i="6"/>
  <c r="N50" i="6"/>
  <c r="P50" i="6"/>
  <c r="Q50" i="6"/>
  <c r="S50" i="6"/>
  <c r="T50" i="6"/>
  <c r="V50" i="6"/>
  <c r="W50" i="6"/>
  <c r="Y50" i="6"/>
  <c r="Z50" i="6"/>
  <c r="AB50" i="6"/>
  <c r="AC50" i="6"/>
  <c r="AE50" i="6"/>
  <c r="AF50" i="6"/>
  <c r="AG50" i="6"/>
  <c r="B49" i="6"/>
  <c r="D49" i="6"/>
  <c r="E49" i="6"/>
  <c r="G49" i="6"/>
  <c r="H49" i="6"/>
  <c r="J49" i="6"/>
  <c r="K49" i="6"/>
  <c r="M49" i="6"/>
  <c r="N49" i="6"/>
  <c r="P49" i="6"/>
  <c r="Q49" i="6"/>
  <c r="S49" i="6"/>
  <c r="T49" i="6"/>
  <c r="V49" i="6"/>
  <c r="W49" i="6"/>
  <c r="Y49" i="6"/>
  <c r="Z49" i="6"/>
  <c r="AB49" i="6"/>
  <c r="AC49" i="6"/>
  <c r="AE49" i="6"/>
  <c r="AF49" i="6"/>
  <c r="AG49" i="6"/>
  <c r="B48" i="6"/>
  <c r="D48" i="6"/>
  <c r="E48" i="6"/>
  <c r="G48" i="6"/>
  <c r="H48" i="6"/>
  <c r="J48" i="6"/>
  <c r="K48" i="6"/>
  <c r="M48" i="6"/>
  <c r="N48" i="6"/>
  <c r="P48" i="6"/>
  <c r="Q48" i="6"/>
  <c r="S48" i="6"/>
  <c r="T48" i="6"/>
  <c r="V48" i="6"/>
  <c r="W48" i="6"/>
  <c r="Y48" i="6"/>
  <c r="Z48" i="6"/>
  <c r="AB48" i="6"/>
  <c r="AC48" i="6"/>
  <c r="AE48" i="6"/>
  <c r="AF48" i="6"/>
  <c r="AG48" i="6"/>
  <c r="B47" i="6"/>
  <c r="D47" i="6"/>
  <c r="E47" i="6"/>
  <c r="G47" i="6"/>
  <c r="H47" i="6"/>
  <c r="J47" i="6"/>
  <c r="K47" i="6"/>
  <c r="M47" i="6"/>
  <c r="N47" i="6"/>
  <c r="P47" i="6"/>
  <c r="Q47" i="6"/>
  <c r="S47" i="6"/>
  <c r="T47" i="6"/>
  <c r="V47" i="6"/>
  <c r="W47" i="6"/>
  <c r="Y47" i="6"/>
  <c r="Z47" i="6"/>
  <c r="AB47" i="6"/>
  <c r="AC47" i="6"/>
  <c r="AE47" i="6"/>
  <c r="AF47" i="6"/>
  <c r="AG47" i="6"/>
  <c r="B46" i="6"/>
  <c r="D46" i="6"/>
  <c r="E46" i="6"/>
  <c r="G46" i="6"/>
  <c r="H46" i="6"/>
  <c r="J46" i="6"/>
  <c r="K46" i="6"/>
  <c r="M46" i="6"/>
  <c r="N46" i="6"/>
  <c r="P46" i="6"/>
  <c r="Q46" i="6"/>
  <c r="S46" i="6"/>
  <c r="T46" i="6"/>
  <c r="V46" i="6"/>
  <c r="W46" i="6"/>
  <c r="Y46" i="6"/>
  <c r="Z46" i="6"/>
  <c r="AB46" i="6"/>
  <c r="AC46" i="6"/>
  <c r="AE46" i="6"/>
  <c r="AF46" i="6"/>
  <c r="AG46" i="6"/>
  <c r="AE30" i="6"/>
  <c r="AC30" i="6"/>
  <c r="AB30" i="6"/>
  <c r="Z30" i="6"/>
  <c r="Y30" i="6"/>
  <c r="W30" i="6"/>
  <c r="V30" i="6"/>
  <c r="T30" i="6"/>
  <c r="S30" i="6"/>
  <c r="Q30" i="6"/>
  <c r="P30" i="6"/>
  <c r="N30" i="6"/>
  <c r="M30" i="6"/>
  <c r="K30" i="6"/>
  <c r="J30" i="6"/>
  <c r="H30" i="6"/>
  <c r="G30" i="6"/>
  <c r="E30" i="6"/>
  <c r="D30" i="6"/>
  <c r="B30" i="6"/>
  <c r="AD29" i="6"/>
  <c r="AA29" i="6"/>
  <c r="X29" i="6"/>
  <c r="U29" i="6"/>
  <c r="R29" i="6"/>
  <c r="O29" i="6"/>
  <c r="L29" i="6"/>
  <c r="I29" i="6"/>
  <c r="F29" i="6"/>
  <c r="A29" i="6"/>
  <c r="AG28" i="6"/>
  <c r="AH28" i="6"/>
  <c r="AI28" i="6"/>
  <c r="AJ28" i="6"/>
  <c r="AK28" i="6"/>
  <c r="AL28" i="6"/>
  <c r="AM28" i="6"/>
  <c r="AN28" i="6"/>
  <c r="AO28" i="6"/>
  <c r="AP28" i="6"/>
  <c r="AQ28" i="6"/>
  <c r="AF28" i="6"/>
  <c r="AD28" i="6"/>
  <c r="AA28" i="6"/>
  <c r="X28" i="6"/>
  <c r="U28" i="6"/>
  <c r="R28" i="6"/>
  <c r="O28" i="6"/>
  <c r="L28" i="6"/>
  <c r="I28" i="6"/>
  <c r="F28" i="6"/>
  <c r="A28" i="6"/>
  <c r="AG27" i="6"/>
  <c r="AH27" i="6"/>
  <c r="AI27" i="6"/>
  <c r="AJ27" i="6"/>
  <c r="AK27" i="6"/>
  <c r="AL27" i="6"/>
  <c r="AM27" i="6"/>
  <c r="AN27" i="6"/>
  <c r="AO27" i="6"/>
  <c r="AP27" i="6"/>
  <c r="AQ27" i="6"/>
  <c r="AF27" i="6"/>
  <c r="AD27" i="6"/>
  <c r="AA27" i="6"/>
  <c r="X27" i="6"/>
  <c r="U27" i="6"/>
  <c r="R27" i="6"/>
  <c r="O27" i="6"/>
  <c r="L27" i="6"/>
  <c r="I27" i="6"/>
  <c r="F27" i="6"/>
  <c r="A27" i="6"/>
  <c r="AG26" i="6"/>
  <c r="AH26" i="6"/>
  <c r="AI26" i="6"/>
  <c r="AJ26" i="6"/>
  <c r="AK26" i="6"/>
  <c r="AL26" i="6"/>
  <c r="AM26" i="6"/>
  <c r="AN26" i="6"/>
  <c r="AO26" i="6"/>
  <c r="AP26" i="6"/>
  <c r="AQ26" i="6"/>
  <c r="AF26" i="6"/>
  <c r="AD26" i="6"/>
  <c r="AA26" i="6"/>
  <c r="X26" i="6"/>
  <c r="U26" i="6"/>
  <c r="R26" i="6"/>
  <c r="O26" i="6"/>
  <c r="L26" i="6"/>
  <c r="I26" i="6"/>
  <c r="F26" i="6"/>
  <c r="A26" i="6"/>
  <c r="AG25" i="6"/>
  <c r="AH25" i="6"/>
  <c r="AI25" i="6"/>
  <c r="AJ25" i="6"/>
  <c r="AK25" i="6"/>
  <c r="AL25" i="6"/>
  <c r="AM25" i="6"/>
  <c r="AN25" i="6"/>
  <c r="AO25" i="6"/>
  <c r="AP25" i="6"/>
  <c r="AQ25" i="6"/>
  <c r="AF25" i="6"/>
  <c r="AD25" i="6"/>
  <c r="AA25" i="6"/>
  <c r="X25" i="6"/>
  <c r="U25" i="6"/>
  <c r="R25" i="6"/>
  <c r="O25" i="6"/>
  <c r="L25" i="6"/>
  <c r="I25" i="6"/>
  <c r="F25" i="6"/>
  <c r="AG24" i="6"/>
  <c r="AH24" i="6"/>
  <c r="AI24" i="6"/>
  <c r="AJ24" i="6"/>
  <c r="AK24" i="6"/>
  <c r="AL24" i="6"/>
  <c r="AM24" i="6"/>
  <c r="AN24" i="6"/>
  <c r="AO24" i="6"/>
  <c r="AP24" i="6"/>
  <c r="AQ24" i="6"/>
  <c r="AF24" i="6"/>
  <c r="AD24" i="6"/>
  <c r="AA24" i="6"/>
  <c r="X24" i="6"/>
  <c r="U24" i="6"/>
  <c r="R24" i="6"/>
  <c r="O24" i="6"/>
  <c r="L24" i="6"/>
  <c r="I24" i="6"/>
  <c r="F24" i="6"/>
  <c r="AC22" i="6"/>
  <c r="Z22" i="6"/>
  <c r="W22" i="6"/>
  <c r="T22" i="6"/>
  <c r="Q22" i="6"/>
  <c r="N22" i="6"/>
  <c r="K22" i="6"/>
  <c r="H22" i="6"/>
  <c r="E22" i="6"/>
  <c r="E17" i="6"/>
  <c r="AC16" i="6"/>
  <c r="Z16" i="6"/>
  <c r="W16" i="6"/>
  <c r="R16" i="6"/>
  <c r="L16" i="6"/>
  <c r="A16" i="6"/>
  <c r="AC14" i="6"/>
  <c r="Z14" i="6"/>
  <c r="W14" i="6"/>
  <c r="R14" i="6"/>
  <c r="L14" i="6"/>
  <c r="A14" i="6"/>
  <c r="AY12" i="6"/>
  <c r="AC12" i="6"/>
  <c r="Z12" i="6"/>
  <c r="W12" i="6"/>
  <c r="R12" i="6"/>
  <c r="L12" i="6"/>
  <c r="A12" i="6"/>
  <c r="AX11" i="6"/>
  <c r="AY11" i="6"/>
  <c r="AY10" i="6"/>
  <c r="AC10" i="6"/>
  <c r="Z10" i="6"/>
  <c r="W10" i="6"/>
  <c r="R10" i="6"/>
  <c r="L10" i="6"/>
  <c r="A10" i="6"/>
  <c r="AX9" i="6"/>
  <c r="AY9" i="6"/>
  <c r="AY8" i="6"/>
  <c r="AC8" i="6"/>
  <c r="Z8" i="6"/>
  <c r="W8" i="6"/>
  <c r="R8" i="6"/>
  <c r="L8" i="6"/>
  <c r="A8" i="6"/>
  <c r="AY7" i="6"/>
  <c r="R7" i="6"/>
  <c r="L7" i="6"/>
  <c r="AY6" i="6"/>
  <c r="K6" i="6"/>
  <c r="AY5" i="6"/>
  <c r="AY4" i="6"/>
  <c r="AY3" i="6"/>
  <c r="W219" i="5"/>
  <c r="W220" i="5"/>
  <c r="W221" i="5"/>
  <c r="W222" i="5"/>
  <c r="Y219" i="5"/>
  <c r="Y220" i="5"/>
  <c r="Y221" i="5"/>
  <c r="Y222" i="5"/>
  <c r="AC218" i="5"/>
  <c r="E101" i="5"/>
  <c r="AF180" i="5"/>
  <c r="X213" i="5"/>
  <c r="W230" i="5"/>
  <c r="E8" i="5"/>
  <c r="B79" i="5"/>
  <c r="AT79" i="5"/>
  <c r="E10" i="5"/>
  <c r="B80" i="5"/>
  <c r="AT80" i="5"/>
  <c r="E12" i="5"/>
  <c r="B81" i="5"/>
  <c r="AT81" i="5"/>
  <c r="E14" i="5"/>
  <c r="B82" i="5"/>
  <c r="AT82" i="5"/>
  <c r="AC31" i="5"/>
  <c r="AC32" i="5"/>
  <c r="AC33" i="5"/>
  <c r="AC34" i="5"/>
  <c r="AC35" i="5"/>
  <c r="AC64" i="5"/>
  <c r="AE64" i="5"/>
  <c r="AC65" i="5"/>
  <c r="AE31" i="5"/>
  <c r="AE32" i="5"/>
  <c r="AE33" i="5"/>
  <c r="AE34" i="5"/>
  <c r="AE35" i="5"/>
  <c r="AE65" i="5"/>
  <c r="AC66" i="5"/>
  <c r="AE66" i="5"/>
  <c r="AC67" i="5"/>
  <c r="AE67" i="5"/>
  <c r="AC68" i="5"/>
  <c r="AE68" i="5"/>
  <c r="AD71" i="5"/>
  <c r="AC72" i="5"/>
  <c r="Z72" i="5"/>
  <c r="AB72" i="5"/>
  <c r="W31" i="5"/>
  <c r="W32" i="5"/>
  <c r="W33" i="5"/>
  <c r="W34" i="5"/>
  <c r="W35" i="5"/>
  <c r="W64" i="5"/>
  <c r="Y64" i="5"/>
  <c r="W65" i="5"/>
  <c r="Y65" i="5"/>
  <c r="W66" i="5"/>
  <c r="Y66" i="5"/>
  <c r="W67" i="5"/>
  <c r="Y67" i="5"/>
  <c r="W68" i="5"/>
  <c r="Y31" i="5"/>
  <c r="Y32" i="5"/>
  <c r="Y33" i="5"/>
  <c r="Y34" i="5"/>
  <c r="Y35" i="5"/>
  <c r="Y68" i="5"/>
  <c r="X71" i="5"/>
  <c r="W72" i="5"/>
  <c r="T72" i="5"/>
  <c r="V72" i="5"/>
  <c r="Q72" i="5"/>
  <c r="S72" i="5"/>
  <c r="N31" i="5"/>
  <c r="N32" i="5"/>
  <c r="N33" i="5"/>
  <c r="N34" i="5"/>
  <c r="N35" i="5"/>
  <c r="N64" i="5"/>
  <c r="P64" i="5"/>
  <c r="N65" i="5"/>
  <c r="P65" i="5"/>
  <c r="N66" i="5"/>
  <c r="P31" i="5"/>
  <c r="P32" i="5"/>
  <c r="P33" i="5"/>
  <c r="P34" i="5"/>
  <c r="P35" i="5"/>
  <c r="P66" i="5"/>
  <c r="N67" i="5"/>
  <c r="P67" i="5"/>
  <c r="N68" i="5"/>
  <c r="P68" i="5"/>
  <c r="O71" i="5"/>
  <c r="N72" i="5"/>
  <c r="K72" i="5"/>
  <c r="M72" i="5"/>
  <c r="H72" i="5"/>
  <c r="J72" i="5"/>
  <c r="E31" i="5"/>
  <c r="E32" i="5"/>
  <c r="E33" i="5"/>
  <c r="E34" i="5"/>
  <c r="E35" i="5"/>
  <c r="E64" i="5"/>
  <c r="G64" i="5"/>
  <c r="E65" i="5"/>
  <c r="G65" i="5"/>
  <c r="E66" i="5"/>
  <c r="G66" i="5"/>
  <c r="E67" i="5"/>
  <c r="G31" i="5"/>
  <c r="G32" i="5"/>
  <c r="G33" i="5"/>
  <c r="G34" i="5"/>
  <c r="G35" i="5"/>
  <c r="G67" i="5"/>
  <c r="E68" i="5"/>
  <c r="G68" i="5"/>
  <c r="F71" i="5"/>
  <c r="E72" i="5"/>
  <c r="B72" i="5"/>
  <c r="D72" i="5"/>
  <c r="C79" i="5"/>
  <c r="D79" i="5"/>
  <c r="E85" i="5"/>
  <c r="E36" i="5"/>
  <c r="B75" i="5"/>
  <c r="D75" i="5"/>
  <c r="C82" i="5"/>
  <c r="D82" i="5"/>
  <c r="G85" i="5"/>
  <c r="G36" i="5"/>
  <c r="E86" i="5"/>
  <c r="E87" i="5"/>
  <c r="G79" i="5"/>
  <c r="J79" i="5"/>
  <c r="M79" i="5"/>
  <c r="N85" i="5"/>
  <c r="N36" i="5"/>
  <c r="K74" i="5"/>
  <c r="M74" i="5"/>
  <c r="H64" i="5"/>
  <c r="J64" i="5"/>
  <c r="H65" i="5"/>
  <c r="J65" i="5"/>
  <c r="H31" i="5"/>
  <c r="H32" i="5"/>
  <c r="H33" i="5"/>
  <c r="H34" i="5"/>
  <c r="H35" i="5"/>
  <c r="H66" i="5"/>
  <c r="J66" i="5"/>
  <c r="H67" i="5"/>
  <c r="J67" i="5"/>
  <c r="H68" i="5"/>
  <c r="J31" i="5"/>
  <c r="J32" i="5"/>
  <c r="J33" i="5"/>
  <c r="J34" i="5"/>
  <c r="J35" i="5"/>
  <c r="J68" i="5"/>
  <c r="I71" i="5"/>
  <c r="H74" i="5"/>
  <c r="E74" i="5"/>
  <c r="G74" i="5"/>
  <c r="B74" i="5"/>
  <c r="D74" i="5"/>
  <c r="C81" i="5"/>
  <c r="D81" i="5"/>
  <c r="G81" i="5"/>
  <c r="H85" i="5"/>
  <c r="H36" i="5"/>
  <c r="E76" i="5"/>
  <c r="G76" i="5"/>
  <c r="B76" i="5"/>
  <c r="B64" i="5"/>
  <c r="D64" i="5"/>
  <c r="B31" i="5"/>
  <c r="B32" i="5"/>
  <c r="B33" i="5"/>
  <c r="B34" i="5"/>
  <c r="B35" i="5"/>
  <c r="B65" i="5"/>
  <c r="D65" i="5"/>
  <c r="B66" i="5"/>
  <c r="D66" i="5"/>
  <c r="B67" i="5"/>
  <c r="D67" i="5"/>
  <c r="B68" i="5"/>
  <c r="D31" i="5"/>
  <c r="D32" i="5"/>
  <c r="D33" i="5"/>
  <c r="D34" i="5"/>
  <c r="D35" i="5"/>
  <c r="D68" i="5"/>
  <c r="C71" i="5"/>
  <c r="D76" i="5"/>
  <c r="E16" i="5"/>
  <c r="B83" i="5"/>
  <c r="C83" i="5"/>
  <c r="D85" i="5"/>
  <c r="D36" i="5"/>
  <c r="C80" i="5"/>
  <c r="B85" i="5"/>
  <c r="B36" i="5"/>
  <c r="D86" i="5"/>
  <c r="D87" i="5"/>
  <c r="D83" i="5"/>
  <c r="G83" i="5"/>
  <c r="J85" i="5"/>
  <c r="J36" i="5"/>
  <c r="H86" i="5"/>
  <c r="H87" i="5"/>
  <c r="J81" i="5"/>
  <c r="M81" i="5"/>
  <c r="P85" i="5"/>
  <c r="P36" i="5"/>
  <c r="N86" i="5"/>
  <c r="N87" i="5"/>
  <c r="P79" i="5"/>
  <c r="S79" i="5"/>
  <c r="V79" i="5"/>
  <c r="W85" i="5"/>
  <c r="W36" i="5"/>
  <c r="T76" i="5"/>
  <c r="V76" i="5"/>
  <c r="Q76" i="5"/>
  <c r="Q64" i="5"/>
  <c r="S64" i="5"/>
  <c r="Q65" i="5"/>
  <c r="S65" i="5"/>
  <c r="Q66" i="5"/>
  <c r="S66" i="5"/>
  <c r="Q31" i="5"/>
  <c r="Q32" i="5"/>
  <c r="Q33" i="5"/>
  <c r="Q34" i="5"/>
  <c r="Q35" i="5"/>
  <c r="Q67" i="5"/>
  <c r="S67" i="5"/>
  <c r="Q68" i="5"/>
  <c r="S31" i="5"/>
  <c r="S32" i="5"/>
  <c r="S33" i="5"/>
  <c r="S34" i="5"/>
  <c r="S35" i="5"/>
  <c r="S68" i="5"/>
  <c r="R71" i="5"/>
  <c r="S76" i="5"/>
  <c r="N76" i="5"/>
  <c r="P76" i="5"/>
  <c r="K76" i="5"/>
  <c r="M76" i="5"/>
  <c r="H76" i="5"/>
  <c r="J76" i="5"/>
  <c r="J86" i="5"/>
  <c r="J87" i="5"/>
  <c r="J83" i="5"/>
  <c r="M83" i="5"/>
  <c r="P83" i="5"/>
  <c r="S85" i="5"/>
  <c r="S36" i="5"/>
  <c r="N75" i="5"/>
  <c r="P75" i="5"/>
  <c r="K75" i="5"/>
  <c r="K64" i="5"/>
  <c r="M64" i="5"/>
  <c r="K31" i="5"/>
  <c r="K32" i="5"/>
  <c r="K33" i="5"/>
  <c r="K34" i="5"/>
  <c r="K35" i="5"/>
  <c r="K65" i="5"/>
  <c r="M65" i="5"/>
  <c r="K66" i="5"/>
  <c r="M66" i="5"/>
  <c r="K67" i="5"/>
  <c r="M31" i="5"/>
  <c r="M32" i="5"/>
  <c r="M33" i="5"/>
  <c r="M34" i="5"/>
  <c r="M35" i="5"/>
  <c r="M67" i="5"/>
  <c r="K68" i="5"/>
  <c r="M68" i="5"/>
  <c r="L71" i="5"/>
  <c r="M75" i="5"/>
  <c r="H75" i="5"/>
  <c r="J75" i="5"/>
  <c r="E75" i="5"/>
  <c r="G75" i="5"/>
  <c r="G86" i="5"/>
  <c r="G87" i="5"/>
  <c r="G82" i="5"/>
  <c r="J82" i="5"/>
  <c r="M85" i="5"/>
  <c r="M36" i="5"/>
  <c r="H73" i="5"/>
  <c r="J73" i="5"/>
  <c r="E73" i="5"/>
  <c r="G73" i="5"/>
  <c r="B73" i="5"/>
  <c r="B86" i="5"/>
  <c r="B87" i="5"/>
  <c r="D80" i="5"/>
  <c r="G80" i="5"/>
  <c r="J80" i="5"/>
  <c r="K85" i="5"/>
  <c r="K36" i="5"/>
  <c r="M86" i="5"/>
  <c r="M87" i="5"/>
  <c r="M82" i="5"/>
  <c r="P82" i="5"/>
  <c r="Q85" i="5"/>
  <c r="Q36" i="5"/>
  <c r="S86" i="5"/>
  <c r="S87" i="5"/>
  <c r="S83" i="5"/>
  <c r="V83" i="5"/>
  <c r="Y85" i="5"/>
  <c r="Y36" i="5"/>
  <c r="W86" i="5"/>
  <c r="W87" i="5"/>
  <c r="Y79" i="5"/>
  <c r="AB79" i="5"/>
  <c r="AC85" i="5"/>
  <c r="AC36" i="5"/>
  <c r="Z73" i="5"/>
  <c r="AB73" i="5"/>
  <c r="W73" i="5"/>
  <c r="Y73" i="5"/>
  <c r="T64" i="5"/>
  <c r="V64" i="5"/>
  <c r="T31" i="5"/>
  <c r="T32" i="5"/>
  <c r="T33" i="5"/>
  <c r="T34" i="5"/>
  <c r="T35" i="5"/>
  <c r="T65" i="5"/>
  <c r="V65" i="5"/>
  <c r="T66" i="5"/>
  <c r="V31" i="5"/>
  <c r="V32" i="5"/>
  <c r="V33" i="5"/>
  <c r="V34" i="5"/>
  <c r="V35" i="5"/>
  <c r="V66" i="5"/>
  <c r="T67" i="5"/>
  <c r="V67" i="5"/>
  <c r="T68" i="5"/>
  <c r="V68" i="5"/>
  <c r="U71" i="5"/>
  <c r="T73" i="5"/>
  <c r="Q73" i="5"/>
  <c r="S73" i="5"/>
  <c r="N73" i="5"/>
  <c r="P73" i="5"/>
  <c r="K73" i="5"/>
  <c r="K86" i="5"/>
  <c r="K87" i="5"/>
  <c r="M80" i="5"/>
  <c r="P80" i="5"/>
  <c r="S80" i="5"/>
  <c r="T85" i="5"/>
  <c r="T36" i="5"/>
  <c r="Q74" i="5"/>
  <c r="S74" i="5"/>
  <c r="N74" i="5"/>
  <c r="P74" i="5"/>
  <c r="P86" i="5"/>
  <c r="P87" i="5"/>
  <c r="P81" i="5"/>
  <c r="S81" i="5"/>
  <c r="V85" i="5"/>
  <c r="V36" i="5"/>
  <c r="T86" i="5"/>
  <c r="T87" i="5"/>
  <c r="V80" i="5"/>
  <c r="Y80" i="5"/>
  <c r="AB80" i="5"/>
  <c r="AE85" i="5"/>
  <c r="AE36" i="5"/>
  <c r="AC86" i="5"/>
  <c r="AC87" i="5"/>
  <c r="AE79" i="5"/>
  <c r="AU79" i="5"/>
  <c r="AC73" i="5"/>
  <c r="AE73" i="5"/>
  <c r="AE86" i="5"/>
  <c r="AE87" i="5"/>
  <c r="AE80" i="5"/>
  <c r="AU80" i="5"/>
  <c r="AC74" i="5"/>
  <c r="AE74" i="5"/>
  <c r="Z64" i="5"/>
  <c r="AB64" i="5"/>
  <c r="Z65" i="5"/>
  <c r="AB65" i="5"/>
  <c r="Z31" i="5"/>
  <c r="Z32" i="5"/>
  <c r="Z33" i="5"/>
  <c r="Z34" i="5"/>
  <c r="Z35" i="5"/>
  <c r="Z66" i="5"/>
  <c r="AB66" i="5"/>
  <c r="Z67" i="5"/>
  <c r="AB31" i="5"/>
  <c r="AB32" i="5"/>
  <c r="AB33" i="5"/>
  <c r="AB34" i="5"/>
  <c r="AB35" i="5"/>
  <c r="AB67" i="5"/>
  <c r="Z68" i="5"/>
  <c r="AB68" i="5"/>
  <c r="AA71" i="5"/>
  <c r="Z74" i="5"/>
  <c r="W74" i="5"/>
  <c r="Y74" i="5"/>
  <c r="T74" i="5"/>
  <c r="V74" i="5"/>
  <c r="V86" i="5"/>
  <c r="V87" i="5"/>
  <c r="V81" i="5"/>
  <c r="Y81" i="5"/>
  <c r="Z85" i="5"/>
  <c r="Z36" i="5"/>
  <c r="W75" i="5"/>
  <c r="Y75" i="5"/>
  <c r="T75" i="5"/>
  <c r="V75" i="5"/>
  <c r="Q75" i="5"/>
  <c r="Q86" i="5"/>
  <c r="Q87" i="5"/>
  <c r="S82" i="5"/>
  <c r="V82" i="5"/>
  <c r="Y82" i="5"/>
  <c r="AB85" i="5"/>
  <c r="AB36" i="5"/>
  <c r="Z86" i="5"/>
  <c r="Z87" i="5"/>
  <c r="AB81" i="5"/>
  <c r="AE81" i="5"/>
  <c r="AU81" i="5"/>
  <c r="AC75" i="5"/>
  <c r="AE75" i="5"/>
  <c r="Z75" i="5"/>
  <c r="AB75" i="5"/>
  <c r="AB86" i="5"/>
  <c r="AB87" i="5"/>
  <c r="AB82" i="5"/>
  <c r="AE82" i="5"/>
  <c r="AU82" i="5"/>
  <c r="AT83" i="5"/>
  <c r="AC76" i="5"/>
  <c r="AE76" i="5"/>
  <c r="Z76" i="5"/>
  <c r="AB76" i="5"/>
  <c r="W76" i="5"/>
  <c r="Y76" i="5"/>
  <c r="Y86" i="5"/>
  <c r="Y87" i="5"/>
  <c r="Y83" i="5"/>
  <c r="AB83" i="5"/>
  <c r="AE83" i="5"/>
  <c r="AU83" i="5"/>
  <c r="E93" i="5"/>
  <c r="B164" i="5"/>
  <c r="AT164" i="5"/>
  <c r="AC116" i="5"/>
  <c r="AC117" i="5"/>
  <c r="AC118" i="5"/>
  <c r="AC119" i="5"/>
  <c r="AC120" i="5"/>
  <c r="AC149" i="5"/>
  <c r="AE149" i="5"/>
  <c r="AC150" i="5"/>
  <c r="AE116" i="5"/>
  <c r="AE117" i="5"/>
  <c r="AE118" i="5"/>
  <c r="AE119" i="5"/>
  <c r="AE120" i="5"/>
  <c r="AE150" i="5"/>
  <c r="AC151" i="5"/>
  <c r="AE151" i="5"/>
  <c r="AC152" i="5"/>
  <c r="AE152" i="5"/>
  <c r="AC153" i="5"/>
  <c r="AE153" i="5"/>
  <c r="AD156" i="5"/>
  <c r="AC157" i="5"/>
  <c r="Z157" i="5"/>
  <c r="AB157" i="5"/>
  <c r="W116" i="5"/>
  <c r="W117" i="5"/>
  <c r="W118" i="5"/>
  <c r="W119" i="5"/>
  <c r="W120" i="5"/>
  <c r="W149" i="5"/>
  <c r="Y149" i="5"/>
  <c r="W150" i="5"/>
  <c r="Y150" i="5"/>
  <c r="W151" i="5"/>
  <c r="Y151" i="5"/>
  <c r="W152" i="5"/>
  <c r="Y152" i="5"/>
  <c r="W153" i="5"/>
  <c r="Y116" i="5"/>
  <c r="Y117" i="5"/>
  <c r="Y118" i="5"/>
  <c r="Y119" i="5"/>
  <c r="Y120" i="5"/>
  <c r="Y153" i="5"/>
  <c r="X156" i="5"/>
  <c r="W157" i="5"/>
  <c r="T157" i="5"/>
  <c r="V157" i="5"/>
  <c r="Q157" i="5"/>
  <c r="S157" i="5"/>
  <c r="N116" i="5"/>
  <c r="N117" i="5"/>
  <c r="N118" i="5"/>
  <c r="N119" i="5"/>
  <c r="N120" i="5"/>
  <c r="N149" i="5"/>
  <c r="P149" i="5"/>
  <c r="N150" i="5"/>
  <c r="P150" i="5"/>
  <c r="N151" i="5"/>
  <c r="P116" i="5"/>
  <c r="P117" i="5"/>
  <c r="P118" i="5"/>
  <c r="P119" i="5"/>
  <c r="P120" i="5"/>
  <c r="P151" i="5"/>
  <c r="N152" i="5"/>
  <c r="P152" i="5"/>
  <c r="N153" i="5"/>
  <c r="P153" i="5"/>
  <c r="O156" i="5"/>
  <c r="N157" i="5"/>
  <c r="K157" i="5"/>
  <c r="M157" i="5"/>
  <c r="H157" i="5"/>
  <c r="J157" i="5"/>
  <c r="E116" i="5"/>
  <c r="E117" i="5"/>
  <c r="E118" i="5"/>
  <c r="E119" i="5"/>
  <c r="E120" i="5"/>
  <c r="E149" i="5"/>
  <c r="G149" i="5"/>
  <c r="E150" i="5"/>
  <c r="G150" i="5"/>
  <c r="E151" i="5"/>
  <c r="G151" i="5"/>
  <c r="E152" i="5"/>
  <c r="G116" i="5"/>
  <c r="G117" i="5"/>
  <c r="G118" i="5"/>
  <c r="G119" i="5"/>
  <c r="G120" i="5"/>
  <c r="G152" i="5"/>
  <c r="E153" i="5"/>
  <c r="G153" i="5"/>
  <c r="F156" i="5"/>
  <c r="E157" i="5"/>
  <c r="B157" i="5"/>
  <c r="D157" i="5"/>
  <c r="C164" i="5"/>
  <c r="D164" i="5"/>
  <c r="E170" i="5"/>
  <c r="E121" i="5"/>
  <c r="B160" i="5"/>
  <c r="D160" i="5"/>
  <c r="E99" i="5"/>
  <c r="B167" i="5"/>
  <c r="C167" i="5"/>
  <c r="D167" i="5"/>
  <c r="G170" i="5"/>
  <c r="G121" i="5"/>
  <c r="E171" i="5"/>
  <c r="E172" i="5"/>
  <c r="G164" i="5"/>
  <c r="J164" i="5"/>
  <c r="M164" i="5"/>
  <c r="N170" i="5"/>
  <c r="N121" i="5"/>
  <c r="K159" i="5"/>
  <c r="M159" i="5"/>
  <c r="H149" i="5"/>
  <c r="J149" i="5"/>
  <c r="H150" i="5"/>
  <c r="J150" i="5"/>
  <c r="H116" i="5"/>
  <c r="H117" i="5"/>
  <c r="H118" i="5"/>
  <c r="H119" i="5"/>
  <c r="H120" i="5"/>
  <c r="H151" i="5"/>
  <c r="J151" i="5"/>
  <c r="H152" i="5"/>
  <c r="J152" i="5"/>
  <c r="H153" i="5"/>
  <c r="J116" i="5"/>
  <c r="J117" i="5"/>
  <c r="J118" i="5"/>
  <c r="J119" i="5"/>
  <c r="J120" i="5"/>
  <c r="J153" i="5"/>
  <c r="I156" i="5"/>
  <c r="H159" i="5"/>
  <c r="E159" i="5"/>
  <c r="G159" i="5"/>
  <c r="B159" i="5"/>
  <c r="D159" i="5"/>
  <c r="E97" i="5"/>
  <c r="B166" i="5"/>
  <c r="C166" i="5"/>
  <c r="D166" i="5"/>
  <c r="G166" i="5"/>
  <c r="H170" i="5"/>
  <c r="H121" i="5"/>
  <c r="E161" i="5"/>
  <c r="G161" i="5"/>
  <c r="B161" i="5"/>
  <c r="B149" i="5"/>
  <c r="D149" i="5"/>
  <c r="B116" i="5"/>
  <c r="B117" i="5"/>
  <c r="B118" i="5"/>
  <c r="B119" i="5"/>
  <c r="B120" i="5"/>
  <c r="B150" i="5"/>
  <c r="D150" i="5"/>
  <c r="B151" i="5"/>
  <c r="D151" i="5"/>
  <c r="B152" i="5"/>
  <c r="D152" i="5"/>
  <c r="B153" i="5"/>
  <c r="D116" i="5"/>
  <c r="D117" i="5"/>
  <c r="D118" i="5"/>
  <c r="D119" i="5"/>
  <c r="D120" i="5"/>
  <c r="D153" i="5"/>
  <c r="C156" i="5"/>
  <c r="D161" i="5"/>
  <c r="B168" i="5"/>
  <c r="C168" i="5"/>
  <c r="D170" i="5"/>
  <c r="D121" i="5"/>
  <c r="E95" i="5"/>
  <c r="B165" i="5"/>
  <c r="C165" i="5"/>
  <c r="B170" i="5"/>
  <c r="B121" i="5"/>
  <c r="D171" i="5"/>
  <c r="D172" i="5"/>
  <c r="D168" i="5"/>
  <c r="G168" i="5"/>
  <c r="J170" i="5"/>
  <c r="J121" i="5"/>
  <c r="H171" i="5"/>
  <c r="H172" i="5"/>
  <c r="J166" i="5"/>
  <c r="M166" i="5"/>
  <c r="P170" i="5"/>
  <c r="P121" i="5"/>
  <c r="N171" i="5"/>
  <c r="N172" i="5"/>
  <c r="P164" i="5"/>
  <c r="S164" i="5"/>
  <c r="V164" i="5"/>
  <c r="W170" i="5"/>
  <c r="W121" i="5"/>
  <c r="T161" i="5"/>
  <c r="V161" i="5"/>
  <c r="Q161" i="5"/>
  <c r="Q149" i="5"/>
  <c r="S149" i="5"/>
  <c r="Q150" i="5"/>
  <c r="S150" i="5"/>
  <c r="Q151" i="5"/>
  <c r="S151" i="5"/>
  <c r="Q116" i="5"/>
  <c r="Q117" i="5"/>
  <c r="Q118" i="5"/>
  <c r="Q119" i="5"/>
  <c r="Q120" i="5"/>
  <c r="Q152" i="5"/>
  <c r="S152" i="5"/>
  <c r="Q153" i="5"/>
  <c r="S116" i="5"/>
  <c r="S117" i="5"/>
  <c r="S118" i="5"/>
  <c r="S119" i="5"/>
  <c r="S120" i="5"/>
  <c r="S153" i="5"/>
  <c r="R156" i="5"/>
  <c r="S161" i="5"/>
  <c r="N161" i="5"/>
  <c r="P161" i="5"/>
  <c r="K161" i="5"/>
  <c r="M161" i="5"/>
  <c r="H161" i="5"/>
  <c r="J161" i="5"/>
  <c r="J171" i="5"/>
  <c r="J172" i="5"/>
  <c r="J168" i="5"/>
  <c r="M168" i="5"/>
  <c r="P168" i="5"/>
  <c r="S170" i="5"/>
  <c r="S121" i="5"/>
  <c r="N160" i="5"/>
  <c r="P160" i="5"/>
  <c r="K160" i="5"/>
  <c r="K149" i="5"/>
  <c r="M149" i="5"/>
  <c r="K116" i="5"/>
  <c r="K117" i="5"/>
  <c r="K118" i="5"/>
  <c r="K119" i="5"/>
  <c r="K120" i="5"/>
  <c r="K150" i="5"/>
  <c r="M150" i="5"/>
  <c r="K151" i="5"/>
  <c r="M151" i="5"/>
  <c r="K152" i="5"/>
  <c r="M116" i="5"/>
  <c r="M117" i="5"/>
  <c r="M118" i="5"/>
  <c r="M119" i="5"/>
  <c r="M120" i="5"/>
  <c r="M152" i="5"/>
  <c r="K153" i="5"/>
  <c r="M153" i="5"/>
  <c r="L156" i="5"/>
  <c r="M160" i="5"/>
  <c r="H160" i="5"/>
  <c r="J160" i="5"/>
  <c r="E160" i="5"/>
  <c r="G160" i="5"/>
  <c r="G171" i="5"/>
  <c r="G172" i="5"/>
  <c r="G167" i="5"/>
  <c r="J167" i="5"/>
  <c r="M170" i="5"/>
  <c r="M121" i="5"/>
  <c r="H158" i="5"/>
  <c r="J158" i="5"/>
  <c r="E158" i="5"/>
  <c r="G158" i="5"/>
  <c r="B158" i="5"/>
  <c r="B171" i="5"/>
  <c r="B172" i="5"/>
  <c r="D165" i="5"/>
  <c r="G165" i="5"/>
  <c r="J165" i="5"/>
  <c r="K170" i="5"/>
  <c r="K121" i="5"/>
  <c r="M171" i="5"/>
  <c r="M172" i="5"/>
  <c r="M167" i="5"/>
  <c r="P167" i="5"/>
  <c r="Q170" i="5"/>
  <c r="Q121" i="5"/>
  <c r="S171" i="5"/>
  <c r="S172" i="5"/>
  <c r="S168" i="5"/>
  <c r="V168" i="5"/>
  <c r="Y170" i="5"/>
  <c r="Y121" i="5"/>
  <c r="W171" i="5"/>
  <c r="W172" i="5"/>
  <c r="Y164" i="5"/>
  <c r="AB164" i="5"/>
  <c r="AC170" i="5"/>
  <c r="AC121" i="5"/>
  <c r="Z158" i="5"/>
  <c r="AB158" i="5"/>
  <c r="W158" i="5"/>
  <c r="Y158" i="5"/>
  <c r="T149" i="5"/>
  <c r="V149" i="5"/>
  <c r="T116" i="5"/>
  <c r="T117" i="5"/>
  <c r="T118" i="5"/>
  <c r="T119" i="5"/>
  <c r="T120" i="5"/>
  <c r="T150" i="5"/>
  <c r="V150" i="5"/>
  <c r="T151" i="5"/>
  <c r="V116" i="5"/>
  <c r="V117" i="5"/>
  <c r="V118" i="5"/>
  <c r="V119" i="5"/>
  <c r="V120" i="5"/>
  <c r="V151" i="5"/>
  <c r="T152" i="5"/>
  <c r="V152" i="5"/>
  <c r="T153" i="5"/>
  <c r="V153" i="5"/>
  <c r="U156" i="5"/>
  <c r="T158" i="5"/>
  <c r="Q158" i="5"/>
  <c r="S158" i="5"/>
  <c r="N158" i="5"/>
  <c r="P158" i="5"/>
  <c r="K158" i="5"/>
  <c r="K171" i="5"/>
  <c r="K172" i="5"/>
  <c r="M165" i="5"/>
  <c r="P165" i="5"/>
  <c r="S165" i="5"/>
  <c r="T170" i="5"/>
  <c r="T121" i="5"/>
  <c r="Q159" i="5"/>
  <c r="S159" i="5"/>
  <c r="N159" i="5"/>
  <c r="P159" i="5"/>
  <c r="P171" i="5"/>
  <c r="P172" i="5"/>
  <c r="P166" i="5"/>
  <c r="S166" i="5"/>
  <c r="V170" i="5"/>
  <c r="V121" i="5"/>
  <c r="T171" i="5"/>
  <c r="T172" i="5"/>
  <c r="V165" i="5"/>
  <c r="Y165" i="5"/>
  <c r="AB165" i="5"/>
  <c r="AE170" i="5"/>
  <c r="AE121" i="5"/>
  <c r="AC171" i="5"/>
  <c r="AC172" i="5"/>
  <c r="AE164" i="5"/>
  <c r="AU164" i="5"/>
  <c r="AT165" i="5"/>
  <c r="AC158" i="5"/>
  <c r="AE158" i="5"/>
  <c r="AE171" i="5"/>
  <c r="AE172" i="5"/>
  <c r="AE165" i="5"/>
  <c r="AU165" i="5"/>
  <c r="AT166" i="5"/>
  <c r="AC159" i="5"/>
  <c r="AE159" i="5"/>
  <c r="Z149" i="5"/>
  <c r="AB149" i="5"/>
  <c r="Z150" i="5"/>
  <c r="AB150" i="5"/>
  <c r="Z116" i="5"/>
  <c r="Z117" i="5"/>
  <c r="Z118" i="5"/>
  <c r="Z119" i="5"/>
  <c r="Z120" i="5"/>
  <c r="Z151" i="5"/>
  <c r="AB151" i="5"/>
  <c r="Z152" i="5"/>
  <c r="AB116" i="5"/>
  <c r="AB117" i="5"/>
  <c r="AB118" i="5"/>
  <c r="AB119" i="5"/>
  <c r="AB120" i="5"/>
  <c r="AB152" i="5"/>
  <c r="Z153" i="5"/>
  <c r="AB153" i="5"/>
  <c r="AA156" i="5"/>
  <c r="Z159" i="5"/>
  <c r="W159" i="5"/>
  <c r="Y159" i="5"/>
  <c r="T159" i="5"/>
  <c r="V159" i="5"/>
  <c r="V171" i="5"/>
  <c r="V172" i="5"/>
  <c r="V166" i="5"/>
  <c r="Y166" i="5"/>
  <c r="Z170" i="5"/>
  <c r="Z121" i="5"/>
  <c r="W160" i="5"/>
  <c r="Y160" i="5"/>
  <c r="T160" i="5"/>
  <c r="V160" i="5"/>
  <c r="Q160" i="5"/>
  <c r="Q171" i="5"/>
  <c r="Q172" i="5"/>
  <c r="S167" i="5"/>
  <c r="V167" i="5"/>
  <c r="Y167" i="5"/>
  <c r="AB170" i="5"/>
  <c r="AB121" i="5"/>
  <c r="Z171" i="5"/>
  <c r="Z172" i="5"/>
  <c r="AB166" i="5"/>
  <c r="AE166" i="5"/>
  <c r="AU166" i="5"/>
  <c r="AT167" i="5"/>
  <c r="AC160" i="5"/>
  <c r="AE160" i="5"/>
  <c r="Z160" i="5"/>
  <c r="AB160" i="5"/>
  <c r="AB171" i="5"/>
  <c r="AB172" i="5"/>
  <c r="AB167" i="5"/>
  <c r="AE167" i="5"/>
  <c r="AU167" i="5"/>
  <c r="AT168" i="5"/>
  <c r="AC161" i="5"/>
  <c r="AE161" i="5"/>
  <c r="Z161" i="5"/>
  <c r="AB161" i="5"/>
  <c r="W161" i="5"/>
  <c r="Y161" i="5"/>
  <c r="Y171" i="5"/>
  <c r="Y172" i="5"/>
  <c r="Y168" i="5"/>
  <c r="AB168" i="5"/>
  <c r="AE168" i="5"/>
  <c r="AU168" i="5"/>
  <c r="AX12" i="5"/>
  <c r="X230" i="5"/>
  <c r="Y231" i="5"/>
  <c r="V179" i="5"/>
  <c r="X210" i="5"/>
  <c r="W227" i="5"/>
  <c r="AX7" i="5"/>
  <c r="X227" i="5"/>
  <c r="W231" i="5"/>
  <c r="Y232" i="5"/>
  <c r="Y233" i="5"/>
  <c r="Y230" i="5"/>
  <c r="AB230" i="5"/>
  <c r="AC231" i="5"/>
  <c r="AC219" i="5"/>
  <c r="AC220" i="5"/>
  <c r="AC221" i="5"/>
  <c r="AC222" i="5"/>
  <c r="Z219" i="5"/>
  <c r="Z220" i="5"/>
  <c r="Z221" i="5"/>
  <c r="Z222" i="5"/>
  <c r="AB219" i="5"/>
  <c r="AB220" i="5"/>
  <c r="AB221" i="5"/>
  <c r="AB222" i="5"/>
  <c r="AE218" i="5"/>
  <c r="V180" i="5"/>
  <c r="X211" i="5"/>
  <c r="W228" i="5"/>
  <c r="AX9" i="5"/>
  <c r="X228" i="5"/>
  <c r="Y228" i="5"/>
  <c r="Z231" i="5"/>
  <c r="AF179" i="5"/>
  <c r="X212" i="5"/>
  <c r="W229" i="5"/>
  <c r="AX11" i="5"/>
  <c r="X229" i="5"/>
  <c r="Y229" i="5"/>
  <c r="AB231" i="5"/>
  <c r="Z232" i="5"/>
  <c r="Z233" i="5"/>
  <c r="AB228" i="5"/>
  <c r="AE231" i="5"/>
  <c r="AE219" i="5"/>
  <c r="AE220" i="5"/>
  <c r="AE221" i="5"/>
  <c r="AE222" i="5"/>
  <c r="AC232" i="5"/>
  <c r="AC233" i="5"/>
  <c r="AE230" i="5"/>
  <c r="AU233" i="5"/>
  <c r="AT233" i="5"/>
  <c r="AE232" i="5"/>
  <c r="AE233" i="5"/>
  <c r="AB232" i="5"/>
  <c r="AB233" i="5"/>
  <c r="W232" i="5"/>
  <c r="W233" i="5"/>
  <c r="E219" i="5"/>
  <c r="E220" i="5"/>
  <c r="E221" i="5"/>
  <c r="E222" i="5"/>
  <c r="G219" i="5"/>
  <c r="G220" i="5"/>
  <c r="G221" i="5"/>
  <c r="G222" i="5"/>
  <c r="J218" i="5"/>
  <c r="L179" i="5"/>
  <c r="B212" i="5"/>
  <c r="B229" i="5"/>
  <c r="AX10" i="5"/>
  <c r="C229" i="5"/>
  <c r="D229" i="5"/>
  <c r="G231" i="5"/>
  <c r="B180" i="5"/>
  <c r="B211" i="5"/>
  <c r="B228" i="5"/>
  <c r="AX4" i="5"/>
  <c r="C228" i="5"/>
  <c r="D228" i="5"/>
  <c r="E231" i="5"/>
  <c r="G232" i="5"/>
  <c r="G233" i="5"/>
  <c r="G229" i="5"/>
  <c r="J231" i="5"/>
  <c r="J219" i="5"/>
  <c r="J220" i="5"/>
  <c r="J221" i="5"/>
  <c r="J222" i="5"/>
  <c r="B219" i="5"/>
  <c r="B220" i="5"/>
  <c r="B221" i="5"/>
  <c r="B222" i="5"/>
  <c r="D219" i="5"/>
  <c r="D220" i="5"/>
  <c r="D221" i="5"/>
  <c r="D222" i="5"/>
  <c r="H218" i="5"/>
  <c r="B179" i="5"/>
  <c r="B210" i="5"/>
  <c r="B227" i="5"/>
  <c r="AX3" i="5"/>
  <c r="C227" i="5"/>
  <c r="B231" i="5"/>
  <c r="L180" i="5"/>
  <c r="B213" i="5"/>
  <c r="B230" i="5"/>
  <c r="AX5" i="5"/>
  <c r="C230" i="5"/>
  <c r="D231" i="5"/>
  <c r="B232" i="5"/>
  <c r="B233" i="5"/>
  <c r="D227" i="5"/>
  <c r="G227" i="5"/>
  <c r="H231" i="5"/>
  <c r="H219" i="5"/>
  <c r="H220" i="5"/>
  <c r="H221" i="5"/>
  <c r="H222" i="5"/>
  <c r="J232" i="5"/>
  <c r="J233" i="5"/>
  <c r="H232" i="5"/>
  <c r="H233" i="5"/>
  <c r="E232" i="5"/>
  <c r="E233" i="5"/>
  <c r="D232" i="5"/>
  <c r="D233" i="5"/>
  <c r="AB229" i="5"/>
  <c r="AE229" i="5"/>
  <c r="AU232" i="5"/>
  <c r="AT232" i="5"/>
  <c r="AE228" i="5"/>
  <c r="AU231" i="5"/>
  <c r="AT231" i="5"/>
  <c r="Y227" i="5"/>
  <c r="AB227" i="5"/>
  <c r="AE227" i="5"/>
  <c r="AU230" i="5"/>
  <c r="AT230" i="5"/>
  <c r="D230" i="5"/>
  <c r="G230" i="5"/>
  <c r="J230" i="5"/>
  <c r="AU229" i="5"/>
  <c r="AT229" i="5"/>
  <c r="J229" i="5"/>
  <c r="AU228" i="5"/>
  <c r="AT228" i="5"/>
  <c r="G228" i="5"/>
  <c r="J228" i="5"/>
  <c r="AU227" i="5"/>
  <c r="AT227" i="5"/>
  <c r="J227" i="5"/>
  <c r="AU226" i="5"/>
  <c r="AT226" i="5"/>
  <c r="AF223" i="5"/>
  <c r="K223" i="5"/>
  <c r="E102" i="5"/>
  <c r="AL180" i="5"/>
  <c r="AG213" i="5"/>
  <c r="E96" i="5"/>
  <c r="R180" i="5"/>
  <c r="K213" i="5"/>
  <c r="E17" i="5"/>
  <c r="AL179" i="5"/>
  <c r="AG212" i="5"/>
  <c r="E15" i="5"/>
  <c r="R179" i="5"/>
  <c r="K212" i="5"/>
  <c r="E100" i="5"/>
  <c r="AB180" i="5"/>
  <c r="AG211" i="5"/>
  <c r="E94" i="5"/>
  <c r="H180" i="5"/>
  <c r="K211" i="5"/>
  <c r="E13" i="5"/>
  <c r="AB179" i="5"/>
  <c r="AG210" i="5"/>
  <c r="E9" i="5"/>
  <c r="H179" i="5"/>
  <c r="K210" i="5"/>
  <c r="U204" i="5"/>
  <c r="A204" i="5"/>
  <c r="AB203" i="5"/>
  <c r="F203" i="5"/>
  <c r="U199" i="5"/>
  <c r="A199" i="5"/>
  <c r="AF198" i="5"/>
  <c r="J198" i="5"/>
  <c r="U195" i="5"/>
  <c r="A195" i="5"/>
  <c r="AB193" i="5"/>
  <c r="T193" i="5"/>
  <c r="F193" i="5"/>
  <c r="A193" i="5"/>
  <c r="U190" i="5"/>
  <c r="A190" i="5"/>
  <c r="A174" i="5"/>
  <c r="AF161" i="5"/>
  <c r="S160" i="5"/>
  <c r="AF160" i="5"/>
  <c r="J159" i="5"/>
  <c r="AB159" i="5"/>
  <c r="AF159" i="5"/>
  <c r="D158" i="5"/>
  <c r="M158" i="5"/>
  <c r="V158" i="5"/>
  <c r="AF158" i="5"/>
  <c r="G157" i="5"/>
  <c r="P157" i="5"/>
  <c r="Y157" i="5"/>
  <c r="AE157" i="5"/>
  <c r="AF157" i="5"/>
  <c r="AF153" i="5"/>
  <c r="AG153" i="5"/>
  <c r="AF152" i="5"/>
  <c r="AG152" i="5"/>
  <c r="AF151" i="5"/>
  <c r="AG151" i="5"/>
  <c r="AF150" i="5"/>
  <c r="AG150" i="5"/>
  <c r="AF149" i="5"/>
  <c r="AG149" i="5"/>
  <c r="B147" i="5"/>
  <c r="B124" i="5"/>
  <c r="D124" i="5"/>
  <c r="B125" i="5"/>
  <c r="D125" i="5"/>
  <c r="B126" i="5"/>
  <c r="D126" i="5"/>
  <c r="B127" i="5"/>
  <c r="D127" i="5"/>
  <c r="B128" i="5"/>
  <c r="D128" i="5"/>
  <c r="B129" i="5"/>
  <c r="D147" i="5"/>
  <c r="E147" i="5"/>
  <c r="G147" i="5"/>
  <c r="H147" i="5"/>
  <c r="H124" i="5"/>
  <c r="J124" i="5"/>
  <c r="H125" i="5"/>
  <c r="J125" i="5"/>
  <c r="H126" i="5"/>
  <c r="J126" i="5"/>
  <c r="H127" i="5"/>
  <c r="J127" i="5"/>
  <c r="H128" i="5"/>
  <c r="J128" i="5"/>
  <c r="H129" i="5"/>
  <c r="J147" i="5"/>
  <c r="K147" i="5"/>
  <c r="M147" i="5"/>
  <c r="N147" i="5"/>
  <c r="P147" i="5"/>
  <c r="Q147" i="5"/>
  <c r="Q124" i="5"/>
  <c r="S124" i="5"/>
  <c r="Q125" i="5"/>
  <c r="S125" i="5"/>
  <c r="Q126" i="5"/>
  <c r="S126" i="5"/>
  <c r="Q127" i="5"/>
  <c r="S127" i="5"/>
  <c r="Q128" i="5"/>
  <c r="S128" i="5"/>
  <c r="Q129" i="5"/>
  <c r="S147" i="5"/>
  <c r="T147" i="5"/>
  <c r="V147" i="5"/>
  <c r="W147" i="5"/>
  <c r="W124" i="5"/>
  <c r="Y124" i="5"/>
  <c r="W125" i="5"/>
  <c r="Y125" i="5"/>
  <c r="W126" i="5"/>
  <c r="Y126" i="5"/>
  <c r="W127" i="5"/>
  <c r="Y127" i="5"/>
  <c r="W128" i="5"/>
  <c r="Y128" i="5"/>
  <c r="W129" i="5"/>
  <c r="Y147" i="5"/>
  <c r="Z147" i="5"/>
  <c r="AB147" i="5"/>
  <c r="AC147" i="5"/>
  <c r="AE147" i="5"/>
  <c r="AF147" i="5"/>
  <c r="B146" i="5"/>
  <c r="D146" i="5"/>
  <c r="E146" i="5"/>
  <c r="E124" i="5"/>
  <c r="G124" i="5"/>
  <c r="E125" i="5"/>
  <c r="G125" i="5"/>
  <c r="E126" i="5"/>
  <c r="G126" i="5"/>
  <c r="E127" i="5"/>
  <c r="G127" i="5"/>
  <c r="E128" i="5"/>
  <c r="G128" i="5"/>
  <c r="E129" i="5"/>
  <c r="G146" i="5"/>
  <c r="H146" i="5"/>
  <c r="J146" i="5"/>
  <c r="K146" i="5"/>
  <c r="K124" i="5"/>
  <c r="M124" i="5"/>
  <c r="K125" i="5"/>
  <c r="M125" i="5"/>
  <c r="K126" i="5"/>
  <c r="M126" i="5"/>
  <c r="K127" i="5"/>
  <c r="M127" i="5"/>
  <c r="K128" i="5"/>
  <c r="M128" i="5"/>
  <c r="K129" i="5"/>
  <c r="M146" i="5"/>
  <c r="N146" i="5"/>
  <c r="P146" i="5"/>
  <c r="Q146" i="5"/>
  <c r="S146" i="5"/>
  <c r="T146" i="5"/>
  <c r="V146" i="5"/>
  <c r="W146" i="5"/>
  <c r="Y146" i="5"/>
  <c r="Z146" i="5"/>
  <c r="Z124" i="5"/>
  <c r="AB124" i="5"/>
  <c r="Z125" i="5"/>
  <c r="AB125" i="5"/>
  <c r="Z126" i="5"/>
  <c r="AB126" i="5"/>
  <c r="Z127" i="5"/>
  <c r="AB127" i="5"/>
  <c r="Z128" i="5"/>
  <c r="AB128" i="5"/>
  <c r="Z129" i="5"/>
  <c r="AB146" i="5"/>
  <c r="AC146" i="5"/>
  <c r="AE146" i="5"/>
  <c r="AF146" i="5"/>
  <c r="B145" i="5"/>
  <c r="D145" i="5"/>
  <c r="E145" i="5"/>
  <c r="G145" i="5"/>
  <c r="H145" i="5"/>
  <c r="J145" i="5"/>
  <c r="K145" i="5"/>
  <c r="M145" i="5"/>
  <c r="N145" i="5"/>
  <c r="N124" i="5"/>
  <c r="P124" i="5"/>
  <c r="N125" i="5"/>
  <c r="P125" i="5"/>
  <c r="N126" i="5"/>
  <c r="P126" i="5"/>
  <c r="N127" i="5"/>
  <c r="P127" i="5"/>
  <c r="N128" i="5"/>
  <c r="P128" i="5"/>
  <c r="N129" i="5"/>
  <c r="P145" i="5"/>
  <c r="Q145" i="5"/>
  <c r="S145" i="5"/>
  <c r="T145" i="5"/>
  <c r="T124" i="5"/>
  <c r="V124" i="5"/>
  <c r="T125" i="5"/>
  <c r="V125" i="5"/>
  <c r="T126" i="5"/>
  <c r="V126" i="5"/>
  <c r="T127" i="5"/>
  <c r="V127" i="5"/>
  <c r="T128" i="5"/>
  <c r="V128" i="5"/>
  <c r="T129" i="5"/>
  <c r="V145" i="5"/>
  <c r="W145" i="5"/>
  <c r="Y145" i="5"/>
  <c r="Z145" i="5"/>
  <c r="AB145" i="5"/>
  <c r="AC145" i="5"/>
  <c r="AE145" i="5"/>
  <c r="AF145" i="5"/>
  <c r="B144" i="5"/>
  <c r="D144" i="5"/>
  <c r="E144" i="5"/>
  <c r="G144" i="5"/>
  <c r="H144" i="5"/>
  <c r="J144" i="5"/>
  <c r="K144" i="5"/>
  <c r="M144" i="5"/>
  <c r="N144" i="5"/>
  <c r="P144" i="5"/>
  <c r="Q144" i="5"/>
  <c r="S144" i="5"/>
  <c r="T144" i="5"/>
  <c r="V144" i="5"/>
  <c r="W144" i="5"/>
  <c r="Y144" i="5"/>
  <c r="Z144" i="5"/>
  <c r="AB144" i="5"/>
  <c r="AC144" i="5"/>
  <c r="AC124" i="5"/>
  <c r="AE124" i="5"/>
  <c r="AC125" i="5"/>
  <c r="AE125" i="5"/>
  <c r="AC126" i="5"/>
  <c r="AE126" i="5"/>
  <c r="AC127" i="5"/>
  <c r="AE127" i="5"/>
  <c r="AC128" i="5"/>
  <c r="AE128" i="5"/>
  <c r="AC129" i="5"/>
  <c r="AE144" i="5"/>
  <c r="AF144" i="5"/>
  <c r="B143" i="5"/>
  <c r="D143" i="5"/>
  <c r="E143" i="5"/>
  <c r="G143" i="5"/>
  <c r="H143" i="5"/>
  <c r="J143" i="5"/>
  <c r="K143" i="5"/>
  <c r="M143" i="5"/>
  <c r="N143" i="5"/>
  <c r="P143" i="5"/>
  <c r="Q143" i="5"/>
  <c r="S143" i="5"/>
  <c r="T143" i="5"/>
  <c r="V143" i="5"/>
  <c r="W143" i="5"/>
  <c r="Y143" i="5"/>
  <c r="Z143" i="5"/>
  <c r="AB143" i="5"/>
  <c r="AC143" i="5"/>
  <c r="AE143" i="5"/>
  <c r="AF143" i="5"/>
  <c r="B141" i="5"/>
  <c r="B122" i="5"/>
  <c r="D122" i="5"/>
  <c r="C122" i="5"/>
  <c r="D141" i="5"/>
  <c r="E141" i="5"/>
  <c r="G141" i="5"/>
  <c r="H141" i="5"/>
  <c r="H122" i="5"/>
  <c r="J122" i="5"/>
  <c r="I122" i="5"/>
  <c r="J141" i="5"/>
  <c r="K141" i="5"/>
  <c r="M141" i="5"/>
  <c r="N141" i="5"/>
  <c r="P141" i="5"/>
  <c r="Q141" i="5"/>
  <c r="Q122" i="5"/>
  <c r="S122" i="5"/>
  <c r="R122" i="5"/>
  <c r="S141" i="5"/>
  <c r="T141" i="5"/>
  <c r="V141" i="5"/>
  <c r="W141" i="5"/>
  <c r="W122" i="5"/>
  <c r="Y122" i="5"/>
  <c r="X122" i="5"/>
  <c r="Y141" i="5"/>
  <c r="Z141" i="5"/>
  <c r="AB141" i="5"/>
  <c r="AC141" i="5"/>
  <c r="AE141" i="5"/>
  <c r="AF141" i="5"/>
  <c r="B140" i="5"/>
  <c r="D140" i="5"/>
  <c r="E140" i="5"/>
  <c r="E122" i="5"/>
  <c r="G122" i="5"/>
  <c r="F122" i="5"/>
  <c r="G140" i="5"/>
  <c r="H140" i="5"/>
  <c r="J140" i="5"/>
  <c r="K140" i="5"/>
  <c r="K122" i="5"/>
  <c r="M122" i="5"/>
  <c r="L122" i="5"/>
  <c r="M140" i="5"/>
  <c r="N140" i="5"/>
  <c r="P140" i="5"/>
  <c r="Q140" i="5"/>
  <c r="S140" i="5"/>
  <c r="T140" i="5"/>
  <c r="V140" i="5"/>
  <c r="W140" i="5"/>
  <c r="Y140" i="5"/>
  <c r="Z140" i="5"/>
  <c r="Z122" i="5"/>
  <c r="AB122" i="5"/>
  <c r="AA122" i="5"/>
  <c r="AB140" i="5"/>
  <c r="AC140" i="5"/>
  <c r="AE140" i="5"/>
  <c r="AF140" i="5"/>
  <c r="B139" i="5"/>
  <c r="D139" i="5"/>
  <c r="E139" i="5"/>
  <c r="G139" i="5"/>
  <c r="H139" i="5"/>
  <c r="J139" i="5"/>
  <c r="K139" i="5"/>
  <c r="M139" i="5"/>
  <c r="N139" i="5"/>
  <c r="N122" i="5"/>
  <c r="P122" i="5"/>
  <c r="O122" i="5"/>
  <c r="P139" i="5"/>
  <c r="Q139" i="5"/>
  <c r="S139" i="5"/>
  <c r="T139" i="5"/>
  <c r="T122" i="5"/>
  <c r="V122" i="5"/>
  <c r="U122" i="5"/>
  <c r="V139" i="5"/>
  <c r="W139" i="5"/>
  <c r="Y139" i="5"/>
  <c r="Z139" i="5"/>
  <c r="AB139" i="5"/>
  <c r="AC139" i="5"/>
  <c r="AE139" i="5"/>
  <c r="AF139" i="5"/>
  <c r="B138" i="5"/>
  <c r="D138" i="5"/>
  <c r="E138" i="5"/>
  <c r="G138" i="5"/>
  <c r="H138" i="5"/>
  <c r="J138" i="5"/>
  <c r="K138" i="5"/>
  <c r="M138" i="5"/>
  <c r="N138" i="5"/>
  <c r="P138" i="5"/>
  <c r="Q138" i="5"/>
  <c r="S138" i="5"/>
  <c r="T138" i="5"/>
  <c r="V138" i="5"/>
  <c r="W138" i="5"/>
  <c r="Y138" i="5"/>
  <c r="Z138" i="5"/>
  <c r="AB138" i="5"/>
  <c r="AC138" i="5"/>
  <c r="AC122" i="5"/>
  <c r="AE122" i="5"/>
  <c r="AD122" i="5"/>
  <c r="AE138" i="5"/>
  <c r="AF138" i="5"/>
  <c r="B137" i="5"/>
  <c r="D137" i="5"/>
  <c r="E137" i="5"/>
  <c r="G137" i="5"/>
  <c r="H137" i="5"/>
  <c r="J137" i="5"/>
  <c r="K137" i="5"/>
  <c r="M137" i="5"/>
  <c r="N137" i="5"/>
  <c r="P137" i="5"/>
  <c r="Q137" i="5"/>
  <c r="S137" i="5"/>
  <c r="T137" i="5"/>
  <c r="V137" i="5"/>
  <c r="W137" i="5"/>
  <c r="Y137" i="5"/>
  <c r="Z137" i="5"/>
  <c r="AB137" i="5"/>
  <c r="AC137" i="5"/>
  <c r="AE137" i="5"/>
  <c r="AF137" i="5"/>
  <c r="B135" i="5"/>
  <c r="D135" i="5"/>
  <c r="E135" i="5"/>
  <c r="G135" i="5"/>
  <c r="H135" i="5"/>
  <c r="J135" i="5"/>
  <c r="K135" i="5"/>
  <c r="M135" i="5"/>
  <c r="N135" i="5"/>
  <c r="P135" i="5"/>
  <c r="Q135" i="5"/>
  <c r="S135" i="5"/>
  <c r="T135" i="5"/>
  <c r="V135" i="5"/>
  <c r="W135" i="5"/>
  <c r="Y135" i="5"/>
  <c r="Z135" i="5"/>
  <c r="AB135" i="5"/>
  <c r="AC135" i="5"/>
  <c r="AE135" i="5"/>
  <c r="AF135" i="5"/>
  <c r="AG135" i="5"/>
  <c r="B134" i="5"/>
  <c r="D134" i="5"/>
  <c r="E134" i="5"/>
  <c r="G134" i="5"/>
  <c r="H134" i="5"/>
  <c r="J134" i="5"/>
  <c r="K134" i="5"/>
  <c r="M134" i="5"/>
  <c r="N134" i="5"/>
  <c r="P134" i="5"/>
  <c r="Q134" i="5"/>
  <c r="S134" i="5"/>
  <c r="T134" i="5"/>
  <c r="V134" i="5"/>
  <c r="W134" i="5"/>
  <c r="Y134" i="5"/>
  <c r="Z134" i="5"/>
  <c r="AB134" i="5"/>
  <c r="AC134" i="5"/>
  <c r="AE134" i="5"/>
  <c r="AF134" i="5"/>
  <c r="AG134" i="5"/>
  <c r="B133" i="5"/>
  <c r="D133" i="5"/>
  <c r="E133" i="5"/>
  <c r="G133" i="5"/>
  <c r="H133" i="5"/>
  <c r="J133" i="5"/>
  <c r="K133" i="5"/>
  <c r="M133" i="5"/>
  <c r="N133" i="5"/>
  <c r="P133" i="5"/>
  <c r="Q133" i="5"/>
  <c r="S133" i="5"/>
  <c r="T133" i="5"/>
  <c r="V133" i="5"/>
  <c r="W133" i="5"/>
  <c r="Y133" i="5"/>
  <c r="Z133" i="5"/>
  <c r="AB133" i="5"/>
  <c r="AC133" i="5"/>
  <c r="AE133" i="5"/>
  <c r="AF133" i="5"/>
  <c r="AG133" i="5"/>
  <c r="B132" i="5"/>
  <c r="D132" i="5"/>
  <c r="E132" i="5"/>
  <c r="G132" i="5"/>
  <c r="H132" i="5"/>
  <c r="J132" i="5"/>
  <c r="K132" i="5"/>
  <c r="M132" i="5"/>
  <c r="N132" i="5"/>
  <c r="P132" i="5"/>
  <c r="Q132" i="5"/>
  <c r="S132" i="5"/>
  <c r="T132" i="5"/>
  <c r="V132" i="5"/>
  <c r="W132" i="5"/>
  <c r="Y132" i="5"/>
  <c r="Z132" i="5"/>
  <c r="AB132" i="5"/>
  <c r="AC132" i="5"/>
  <c r="AE132" i="5"/>
  <c r="AF132" i="5"/>
  <c r="AG132" i="5"/>
  <c r="B131" i="5"/>
  <c r="D131" i="5"/>
  <c r="E131" i="5"/>
  <c r="G131" i="5"/>
  <c r="H131" i="5"/>
  <c r="J131" i="5"/>
  <c r="K131" i="5"/>
  <c r="M131" i="5"/>
  <c r="N131" i="5"/>
  <c r="P131" i="5"/>
  <c r="Q131" i="5"/>
  <c r="S131" i="5"/>
  <c r="T131" i="5"/>
  <c r="V131" i="5"/>
  <c r="W131" i="5"/>
  <c r="Y131" i="5"/>
  <c r="Z131" i="5"/>
  <c r="AB131" i="5"/>
  <c r="AC131" i="5"/>
  <c r="AE131" i="5"/>
  <c r="AF131" i="5"/>
  <c r="AG131" i="5"/>
  <c r="AE115" i="5"/>
  <c r="AC115" i="5"/>
  <c r="AB115" i="5"/>
  <c r="Z115" i="5"/>
  <c r="Y115" i="5"/>
  <c r="W115" i="5"/>
  <c r="V115" i="5"/>
  <c r="T115" i="5"/>
  <c r="S115" i="5"/>
  <c r="Q115" i="5"/>
  <c r="P115" i="5"/>
  <c r="N115" i="5"/>
  <c r="M115" i="5"/>
  <c r="K115" i="5"/>
  <c r="J115" i="5"/>
  <c r="H115" i="5"/>
  <c r="G115" i="5"/>
  <c r="E115" i="5"/>
  <c r="D115" i="5"/>
  <c r="B115" i="5"/>
  <c r="AD114" i="5"/>
  <c r="AA114" i="5"/>
  <c r="X114" i="5"/>
  <c r="U114" i="5"/>
  <c r="R114" i="5"/>
  <c r="O114" i="5"/>
  <c r="L114" i="5"/>
  <c r="I114" i="5"/>
  <c r="F114" i="5"/>
  <c r="A114" i="5"/>
  <c r="AG113" i="5"/>
  <c r="AH113" i="5"/>
  <c r="AI113" i="5"/>
  <c r="AJ113" i="5"/>
  <c r="AK113" i="5"/>
  <c r="AL113" i="5"/>
  <c r="AM113" i="5"/>
  <c r="AN113" i="5"/>
  <c r="AO113" i="5"/>
  <c r="AP113" i="5"/>
  <c r="AQ113" i="5"/>
  <c r="AF113" i="5"/>
  <c r="AD113" i="5"/>
  <c r="AA113" i="5"/>
  <c r="X113" i="5"/>
  <c r="U113" i="5"/>
  <c r="R113" i="5"/>
  <c r="O113" i="5"/>
  <c r="L113" i="5"/>
  <c r="I113" i="5"/>
  <c r="F113" i="5"/>
  <c r="A113" i="5"/>
  <c r="AG112" i="5"/>
  <c r="AH112" i="5"/>
  <c r="AI112" i="5"/>
  <c r="AJ112" i="5"/>
  <c r="AK112" i="5"/>
  <c r="AL112" i="5"/>
  <c r="AM112" i="5"/>
  <c r="AN112" i="5"/>
  <c r="AO112" i="5"/>
  <c r="AP112" i="5"/>
  <c r="AQ112" i="5"/>
  <c r="AF112" i="5"/>
  <c r="AD112" i="5"/>
  <c r="AA112" i="5"/>
  <c r="X112" i="5"/>
  <c r="U112" i="5"/>
  <c r="R112" i="5"/>
  <c r="O112" i="5"/>
  <c r="L112" i="5"/>
  <c r="I112" i="5"/>
  <c r="F112" i="5"/>
  <c r="A112" i="5"/>
  <c r="AG111" i="5"/>
  <c r="AH111" i="5"/>
  <c r="AI111" i="5"/>
  <c r="AJ111" i="5"/>
  <c r="AK111" i="5"/>
  <c r="AL111" i="5"/>
  <c r="AM111" i="5"/>
  <c r="AN111" i="5"/>
  <c r="AO111" i="5"/>
  <c r="AP111" i="5"/>
  <c r="AQ111" i="5"/>
  <c r="AF111" i="5"/>
  <c r="AD111" i="5"/>
  <c r="AA111" i="5"/>
  <c r="X111" i="5"/>
  <c r="U111" i="5"/>
  <c r="R111" i="5"/>
  <c r="O111" i="5"/>
  <c r="L111" i="5"/>
  <c r="I111" i="5"/>
  <c r="F111" i="5"/>
  <c r="A111" i="5"/>
  <c r="AG110" i="5"/>
  <c r="AH110" i="5"/>
  <c r="AI110" i="5"/>
  <c r="AJ110" i="5"/>
  <c r="AK110" i="5"/>
  <c r="AL110" i="5"/>
  <c r="AM110" i="5"/>
  <c r="AN110" i="5"/>
  <c r="AO110" i="5"/>
  <c r="AP110" i="5"/>
  <c r="AQ110" i="5"/>
  <c r="AF110" i="5"/>
  <c r="AD110" i="5"/>
  <c r="AA110" i="5"/>
  <c r="X110" i="5"/>
  <c r="U110" i="5"/>
  <c r="R110" i="5"/>
  <c r="O110" i="5"/>
  <c r="L110" i="5"/>
  <c r="I110" i="5"/>
  <c r="F110" i="5"/>
  <c r="AG109" i="5"/>
  <c r="AH109" i="5"/>
  <c r="AI109" i="5"/>
  <c r="AJ109" i="5"/>
  <c r="AK109" i="5"/>
  <c r="AL109" i="5"/>
  <c r="AM109" i="5"/>
  <c r="AN109" i="5"/>
  <c r="AO109" i="5"/>
  <c r="AP109" i="5"/>
  <c r="AQ109" i="5"/>
  <c r="AF109" i="5"/>
  <c r="AD109" i="5"/>
  <c r="AA109" i="5"/>
  <c r="X109" i="5"/>
  <c r="U109" i="5"/>
  <c r="R109" i="5"/>
  <c r="O109" i="5"/>
  <c r="L109" i="5"/>
  <c r="I109" i="5"/>
  <c r="F109" i="5"/>
  <c r="AC107" i="5"/>
  <c r="Z107" i="5"/>
  <c r="W107" i="5"/>
  <c r="T107" i="5"/>
  <c r="Q107" i="5"/>
  <c r="N107" i="5"/>
  <c r="K107" i="5"/>
  <c r="H107" i="5"/>
  <c r="E107" i="5"/>
  <c r="AC101" i="5"/>
  <c r="Z101" i="5"/>
  <c r="W101" i="5"/>
  <c r="R101" i="5"/>
  <c r="L101" i="5"/>
  <c r="A101" i="5"/>
  <c r="AC99" i="5"/>
  <c r="Z99" i="5"/>
  <c r="W99" i="5"/>
  <c r="R99" i="5"/>
  <c r="L99" i="5"/>
  <c r="A99" i="5"/>
  <c r="E98" i="5"/>
  <c r="AC97" i="5"/>
  <c r="Z97" i="5"/>
  <c r="W97" i="5"/>
  <c r="R97" i="5"/>
  <c r="L97" i="5"/>
  <c r="A97" i="5"/>
  <c r="AC95" i="5"/>
  <c r="Z95" i="5"/>
  <c r="W95" i="5"/>
  <c r="R95" i="5"/>
  <c r="L95" i="5"/>
  <c r="A95" i="5"/>
  <c r="AC93" i="5"/>
  <c r="Z93" i="5"/>
  <c r="W93" i="5"/>
  <c r="R93" i="5"/>
  <c r="L93" i="5"/>
  <c r="A93" i="5"/>
  <c r="R92" i="5"/>
  <c r="L92" i="5"/>
  <c r="K91" i="5"/>
  <c r="A89" i="5"/>
  <c r="AF76" i="5"/>
  <c r="S75" i="5"/>
  <c r="AF75" i="5"/>
  <c r="J74" i="5"/>
  <c r="AB74" i="5"/>
  <c r="AF74" i="5"/>
  <c r="D73" i="5"/>
  <c r="M73" i="5"/>
  <c r="V73" i="5"/>
  <c r="AF73" i="5"/>
  <c r="G72" i="5"/>
  <c r="P72" i="5"/>
  <c r="Y72" i="5"/>
  <c r="AE72" i="5"/>
  <c r="AF72" i="5"/>
  <c r="AF68" i="5"/>
  <c r="AG68" i="5"/>
  <c r="AF67" i="5"/>
  <c r="AG67" i="5"/>
  <c r="AF66" i="5"/>
  <c r="AG66" i="5"/>
  <c r="AF65" i="5"/>
  <c r="AG65" i="5"/>
  <c r="AF64" i="5"/>
  <c r="AG64" i="5"/>
  <c r="B62" i="5"/>
  <c r="B39" i="5"/>
  <c r="D39" i="5"/>
  <c r="B40" i="5"/>
  <c r="D40" i="5"/>
  <c r="B41" i="5"/>
  <c r="D41" i="5"/>
  <c r="B42" i="5"/>
  <c r="D42" i="5"/>
  <c r="B43" i="5"/>
  <c r="D43" i="5"/>
  <c r="B44" i="5"/>
  <c r="D62" i="5"/>
  <c r="E62" i="5"/>
  <c r="G62" i="5"/>
  <c r="H62" i="5"/>
  <c r="H39" i="5"/>
  <c r="J39" i="5"/>
  <c r="H40" i="5"/>
  <c r="J40" i="5"/>
  <c r="H41" i="5"/>
  <c r="J41" i="5"/>
  <c r="H42" i="5"/>
  <c r="J42" i="5"/>
  <c r="H43" i="5"/>
  <c r="J43" i="5"/>
  <c r="H44" i="5"/>
  <c r="J62" i="5"/>
  <c r="K62" i="5"/>
  <c r="M62" i="5"/>
  <c r="N62" i="5"/>
  <c r="P62" i="5"/>
  <c r="Q62" i="5"/>
  <c r="Q39" i="5"/>
  <c r="S39" i="5"/>
  <c r="Q40" i="5"/>
  <c r="S40" i="5"/>
  <c r="Q41" i="5"/>
  <c r="S41" i="5"/>
  <c r="Q42" i="5"/>
  <c r="S42" i="5"/>
  <c r="Q43" i="5"/>
  <c r="S43" i="5"/>
  <c r="Q44" i="5"/>
  <c r="S62" i="5"/>
  <c r="T62" i="5"/>
  <c r="V62" i="5"/>
  <c r="W62" i="5"/>
  <c r="W39" i="5"/>
  <c r="Y39" i="5"/>
  <c r="W40" i="5"/>
  <c r="Y40" i="5"/>
  <c r="W41" i="5"/>
  <c r="Y41" i="5"/>
  <c r="W42" i="5"/>
  <c r="Y42" i="5"/>
  <c r="W43" i="5"/>
  <c r="Y43" i="5"/>
  <c r="W44" i="5"/>
  <c r="Y62" i="5"/>
  <c r="Z62" i="5"/>
  <c r="AB62" i="5"/>
  <c r="AC62" i="5"/>
  <c r="AE62" i="5"/>
  <c r="AF62" i="5"/>
  <c r="B61" i="5"/>
  <c r="D61" i="5"/>
  <c r="E61" i="5"/>
  <c r="E39" i="5"/>
  <c r="G39" i="5"/>
  <c r="E40" i="5"/>
  <c r="G40" i="5"/>
  <c r="E41" i="5"/>
  <c r="G41" i="5"/>
  <c r="E42" i="5"/>
  <c r="G42" i="5"/>
  <c r="E43" i="5"/>
  <c r="G43" i="5"/>
  <c r="E44" i="5"/>
  <c r="G61" i="5"/>
  <c r="H61" i="5"/>
  <c r="J61" i="5"/>
  <c r="K61" i="5"/>
  <c r="K39" i="5"/>
  <c r="M39" i="5"/>
  <c r="K40" i="5"/>
  <c r="M40" i="5"/>
  <c r="K41" i="5"/>
  <c r="M41" i="5"/>
  <c r="K42" i="5"/>
  <c r="M42" i="5"/>
  <c r="K43" i="5"/>
  <c r="M43" i="5"/>
  <c r="K44" i="5"/>
  <c r="M61" i="5"/>
  <c r="N61" i="5"/>
  <c r="P61" i="5"/>
  <c r="Q61" i="5"/>
  <c r="S61" i="5"/>
  <c r="T61" i="5"/>
  <c r="V61" i="5"/>
  <c r="W61" i="5"/>
  <c r="Y61" i="5"/>
  <c r="Z61" i="5"/>
  <c r="Z39" i="5"/>
  <c r="AB39" i="5"/>
  <c r="Z40" i="5"/>
  <c r="AB40" i="5"/>
  <c r="Z41" i="5"/>
  <c r="AB41" i="5"/>
  <c r="Z42" i="5"/>
  <c r="AB42" i="5"/>
  <c r="Z43" i="5"/>
  <c r="AB43" i="5"/>
  <c r="Z44" i="5"/>
  <c r="AB61" i="5"/>
  <c r="AC61" i="5"/>
  <c r="AE61" i="5"/>
  <c r="AF61" i="5"/>
  <c r="B60" i="5"/>
  <c r="D60" i="5"/>
  <c r="E60" i="5"/>
  <c r="G60" i="5"/>
  <c r="H60" i="5"/>
  <c r="J60" i="5"/>
  <c r="K60" i="5"/>
  <c r="M60" i="5"/>
  <c r="N60" i="5"/>
  <c r="N39" i="5"/>
  <c r="P39" i="5"/>
  <c r="N40" i="5"/>
  <c r="P40" i="5"/>
  <c r="N41" i="5"/>
  <c r="P41" i="5"/>
  <c r="N42" i="5"/>
  <c r="P42" i="5"/>
  <c r="N43" i="5"/>
  <c r="P43" i="5"/>
  <c r="N44" i="5"/>
  <c r="P60" i="5"/>
  <c r="Q60" i="5"/>
  <c r="S60" i="5"/>
  <c r="T60" i="5"/>
  <c r="T39" i="5"/>
  <c r="V39" i="5"/>
  <c r="T40" i="5"/>
  <c r="V40" i="5"/>
  <c r="T41" i="5"/>
  <c r="V41" i="5"/>
  <c r="T42" i="5"/>
  <c r="V42" i="5"/>
  <c r="T43" i="5"/>
  <c r="V43" i="5"/>
  <c r="T44" i="5"/>
  <c r="V60" i="5"/>
  <c r="W60" i="5"/>
  <c r="Y60" i="5"/>
  <c r="Z60" i="5"/>
  <c r="AB60" i="5"/>
  <c r="AC60" i="5"/>
  <c r="AE60" i="5"/>
  <c r="AF60" i="5"/>
  <c r="B59" i="5"/>
  <c r="D59" i="5"/>
  <c r="E59" i="5"/>
  <c r="G59" i="5"/>
  <c r="H59" i="5"/>
  <c r="J59" i="5"/>
  <c r="K59" i="5"/>
  <c r="M59" i="5"/>
  <c r="N59" i="5"/>
  <c r="P59" i="5"/>
  <c r="Q59" i="5"/>
  <c r="S59" i="5"/>
  <c r="T59" i="5"/>
  <c r="V59" i="5"/>
  <c r="W59" i="5"/>
  <c r="Y59" i="5"/>
  <c r="Z59" i="5"/>
  <c r="AB59" i="5"/>
  <c r="AC59" i="5"/>
  <c r="AC39" i="5"/>
  <c r="AE39" i="5"/>
  <c r="AC40" i="5"/>
  <c r="AE40" i="5"/>
  <c r="AC41" i="5"/>
  <c r="AE41" i="5"/>
  <c r="AC42" i="5"/>
  <c r="AE42" i="5"/>
  <c r="AC43" i="5"/>
  <c r="AE43" i="5"/>
  <c r="AC44" i="5"/>
  <c r="AE59" i="5"/>
  <c r="AF59" i="5"/>
  <c r="B58" i="5"/>
  <c r="D58" i="5"/>
  <c r="E58" i="5"/>
  <c r="G58" i="5"/>
  <c r="H58" i="5"/>
  <c r="J58" i="5"/>
  <c r="K58" i="5"/>
  <c r="M58" i="5"/>
  <c r="N58" i="5"/>
  <c r="P58" i="5"/>
  <c r="Q58" i="5"/>
  <c r="S58" i="5"/>
  <c r="T58" i="5"/>
  <c r="V58" i="5"/>
  <c r="W58" i="5"/>
  <c r="Y58" i="5"/>
  <c r="Z58" i="5"/>
  <c r="AB58" i="5"/>
  <c r="AC58" i="5"/>
  <c r="AE58" i="5"/>
  <c r="AF58" i="5"/>
  <c r="B56" i="5"/>
  <c r="B37" i="5"/>
  <c r="D37" i="5"/>
  <c r="C37" i="5"/>
  <c r="D56" i="5"/>
  <c r="E56" i="5"/>
  <c r="G56" i="5"/>
  <c r="H56" i="5"/>
  <c r="H37" i="5"/>
  <c r="J37" i="5"/>
  <c r="I37" i="5"/>
  <c r="J56" i="5"/>
  <c r="K56" i="5"/>
  <c r="M56" i="5"/>
  <c r="N56" i="5"/>
  <c r="P56" i="5"/>
  <c r="Q56" i="5"/>
  <c r="Q37" i="5"/>
  <c r="S37" i="5"/>
  <c r="R37" i="5"/>
  <c r="S56" i="5"/>
  <c r="T56" i="5"/>
  <c r="V56" i="5"/>
  <c r="W56" i="5"/>
  <c r="W37" i="5"/>
  <c r="Y37" i="5"/>
  <c r="X37" i="5"/>
  <c r="Y56" i="5"/>
  <c r="Z56" i="5"/>
  <c r="AB56" i="5"/>
  <c r="AC56" i="5"/>
  <c r="AE56" i="5"/>
  <c r="AF56" i="5"/>
  <c r="B55" i="5"/>
  <c r="D55" i="5"/>
  <c r="E55" i="5"/>
  <c r="E37" i="5"/>
  <c r="G37" i="5"/>
  <c r="F37" i="5"/>
  <c r="G55" i="5"/>
  <c r="H55" i="5"/>
  <c r="J55" i="5"/>
  <c r="K55" i="5"/>
  <c r="K37" i="5"/>
  <c r="M37" i="5"/>
  <c r="L37" i="5"/>
  <c r="M55" i="5"/>
  <c r="N55" i="5"/>
  <c r="P55" i="5"/>
  <c r="Q55" i="5"/>
  <c r="S55" i="5"/>
  <c r="T55" i="5"/>
  <c r="V55" i="5"/>
  <c r="W55" i="5"/>
  <c r="Y55" i="5"/>
  <c r="Z55" i="5"/>
  <c r="Z37" i="5"/>
  <c r="AB37" i="5"/>
  <c r="AA37" i="5"/>
  <c r="AB55" i="5"/>
  <c r="AC55" i="5"/>
  <c r="AE55" i="5"/>
  <c r="AF55" i="5"/>
  <c r="B54" i="5"/>
  <c r="D54" i="5"/>
  <c r="E54" i="5"/>
  <c r="G54" i="5"/>
  <c r="H54" i="5"/>
  <c r="J54" i="5"/>
  <c r="K54" i="5"/>
  <c r="M54" i="5"/>
  <c r="N54" i="5"/>
  <c r="N37" i="5"/>
  <c r="P37" i="5"/>
  <c r="O37" i="5"/>
  <c r="P54" i="5"/>
  <c r="Q54" i="5"/>
  <c r="S54" i="5"/>
  <c r="T54" i="5"/>
  <c r="T37" i="5"/>
  <c r="V37" i="5"/>
  <c r="U37" i="5"/>
  <c r="V54" i="5"/>
  <c r="W54" i="5"/>
  <c r="Y54" i="5"/>
  <c r="Z54" i="5"/>
  <c r="AB54" i="5"/>
  <c r="AC54" i="5"/>
  <c r="AE54" i="5"/>
  <c r="AF54" i="5"/>
  <c r="B53" i="5"/>
  <c r="D53" i="5"/>
  <c r="E53" i="5"/>
  <c r="G53" i="5"/>
  <c r="H53" i="5"/>
  <c r="J53" i="5"/>
  <c r="K53" i="5"/>
  <c r="M53" i="5"/>
  <c r="N53" i="5"/>
  <c r="P53" i="5"/>
  <c r="Q53" i="5"/>
  <c r="S53" i="5"/>
  <c r="T53" i="5"/>
  <c r="V53" i="5"/>
  <c r="W53" i="5"/>
  <c r="Y53" i="5"/>
  <c r="Z53" i="5"/>
  <c r="AB53" i="5"/>
  <c r="AC53" i="5"/>
  <c r="AC37" i="5"/>
  <c r="AE37" i="5"/>
  <c r="AD37" i="5"/>
  <c r="AE53" i="5"/>
  <c r="AF53" i="5"/>
  <c r="B52" i="5"/>
  <c r="D52" i="5"/>
  <c r="E52" i="5"/>
  <c r="G52" i="5"/>
  <c r="H52" i="5"/>
  <c r="J52" i="5"/>
  <c r="K52" i="5"/>
  <c r="M52" i="5"/>
  <c r="N52" i="5"/>
  <c r="P52" i="5"/>
  <c r="Q52" i="5"/>
  <c r="S52" i="5"/>
  <c r="T52" i="5"/>
  <c r="V52" i="5"/>
  <c r="W52" i="5"/>
  <c r="Y52" i="5"/>
  <c r="Z52" i="5"/>
  <c r="AB52" i="5"/>
  <c r="AC52" i="5"/>
  <c r="AE52" i="5"/>
  <c r="AF52" i="5"/>
  <c r="B50" i="5"/>
  <c r="D50" i="5"/>
  <c r="E50" i="5"/>
  <c r="G50" i="5"/>
  <c r="H50" i="5"/>
  <c r="J50" i="5"/>
  <c r="K50" i="5"/>
  <c r="M50" i="5"/>
  <c r="N50" i="5"/>
  <c r="P50" i="5"/>
  <c r="Q50" i="5"/>
  <c r="S50" i="5"/>
  <c r="T50" i="5"/>
  <c r="V50" i="5"/>
  <c r="W50" i="5"/>
  <c r="Y50" i="5"/>
  <c r="Z50" i="5"/>
  <c r="AB50" i="5"/>
  <c r="AC50" i="5"/>
  <c r="AE50" i="5"/>
  <c r="AF50" i="5"/>
  <c r="AG50" i="5"/>
  <c r="B49" i="5"/>
  <c r="D49" i="5"/>
  <c r="E49" i="5"/>
  <c r="G49" i="5"/>
  <c r="H49" i="5"/>
  <c r="J49" i="5"/>
  <c r="K49" i="5"/>
  <c r="M49" i="5"/>
  <c r="N49" i="5"/>
  <c r="P49" i="5"/>
  <c r="Q49" i="5"/>
  <c r="S49" i="5"/>
  <c r="T49" i="5"/>
  <c r="V49" i="5"/>
  <c r="W49" i="5"/>
  <c r="Y49" i="5"/>
  <c r="Z49" i="5"/>
  <c r="AB49" i="5"/>
  <c r="AC49" i="5"/>
  <c r="AE49" i="5"/>
  <c r="AF49" i="5"/>
  <c r="AG49" i="5"/>
  <c r="B48" i="5"/>
  <c r="D48" i="5"/>
  <c r="E48" i="5"/>
  <c r="G48" i="5"/>
  <c r="H48" i="5"/>
  <c r="J48" i="5"/>
  <c r="K48" i="5"/>
  <c r="M48" i="5"/>
  <c r="N48" i="5"/>
  <c r="P48" i="5"/>
  <c r="Q48" i="5"/>
  <c r="S48" i="5"/>
  <c r="T48" i="5"/>
  <c r="V48" i="5"/>
  <c r="W48" i="5"/>
  <c r="Y48" i="5"/>
  <c r="Z48" i="5"/>
  <c r="AB48" i="5"/>
  <c r="AC48" i="5"/>
  <c r="AE48" i="5"/>
  <c r="AF48" i="5"/>
  <c r="AG48" i="5"/>
  <c r="B47" i="5"/>
  <c r="D47" i="5"/>
  <c r="E47" i="5"/>
  <c r="G47" i="5"/>
  <c r="H47" i="5"/>
  <c r="J47" i="5"/>
  <c r="K47" i="5"/>
  <c r="M47" i="5"/>
  <c r="N47" i="5"/>
  <c r="P47" i="5"/>
  <c r="Q47" i="5"/>
  <c r="S47" i="5"/>
  <c r="T47" i="5"/>
  <c r="V47" i="5"/>
  <c r="W47" i="5"/>
  <c r="Y47" i="5"/>
  <c r="Z47" i="5"/>
  <c r="AB47" i="5"/>
  <c r="AC47" i="5"/>
  <c r="AE47" i="5"/>
  <c r="AF47" i="5"/>
  <c r="AG47" i="5"/>
  <c r="B46" i="5"/>
  <c r="D46" i="5"/>
  <c r="E46" i="5"/>
  <c r="G46" i="5"/>
  <c r="H46" i="5"/>
  <c r="J46" i="5"/>
  <c r="K46" i="5"/>
  <c r="M46" i="5"/>
  <c r="N46" i="5"/>
  <c r="P46" i="5"/>
  <c r="Q46" i="5"/>
  <c r="S46" i="5"/>
  <c r="T46" i="5"/>
  <c r="V46" i="5"/>
  <c r="W46" i="5"/>
  <c r="Y46" i="5"/>
  <c r="Z46" i="5"/>
  <c r="AB46" i="5"/>
  <c r="AC46" i="5"/>
  <c r="AE46" i="5"/>
  <c r="AF46" i="5"/>
  <c r="AG46" i="5"/>
  <c r="AE30" i="5"/>
  <c r="AC30" i="5"/>
  <c r="AB30" i="5"/>
  <c r="Z30" i="5"/>
  <c r="Y30" i="5"/>
  <c r="W30" i="5"/>
  <c r="V30" i="5"/>
  <c r="T30" i="5"/>
  <c r="S30" i="5"/>
  <c r="Q30" i="5"/>
  <c r="P30" i="5"/>
  <c r="N30" i="5"/>
  <c r="M30" i="5"/>
  <c r="K30" i="5"/>
  <c r="J30" i="5"/>
  <c r="H30" i="5"/>
  <c r="G30" i="5"/>
  <c r="E30" i="5"/>
  <c r="D30" i="5"/>
  <c r="B30" i="5"/>
  <c r="AD29" i="5"/>
  <c r="AA29" i="5"/>
  <c r="X29" i="5"/>
  <c r="U29" i="5"/>
  <c r="R29" i="5"/>
  <c r="O29" i="5"/>
  <c r="L29" i="5"/>
  <c r="I29" i="5"/>
  <c r="F29" i="5"/>
  <c r="A29" i="5"/>
  <c r="AG28" i="5"/>
  <c r="AH28" i="5"/>
  <c r="AI28" i="5"/>
  <c r="AJ28" i="5"/>
  <c r="AK28" i="5"/>
  <c r="AL28" i="5"/>
  <c r="AM28" i="5"/>
  <c r="AN28" i="5"/>
  <c r="AO28" i="5"/>
  <c r="AP28" i="5"/>
  <c r="AQ28" i="5"/>
  <c r="AF28" i="5"/>
  <c r="AD28" i="5"/>
  <c r="AA28" i="5"/>
  <c r="X28" i="5"/>
  <c r="U28" i="5"/>
  <c r="R28" i="5"/>
  <c r="O28" i="5"/>
  <c r="L28" i="5"/>
  <c r="I28" i="5"/>
  <c r="F28" i="5"/>
  <c r="A28" i="5"/>
  <c r="AG27" i="5"/>
  <c r="AH27" i="5"/>
  <c r="AI27" i="5"/>
  <c r="AJ27" i="5"/>
  <c r="AK27" i="5"/>
  <c r="AL27" i="5"/>
  <c r="AM27" i="5"/>
  <c r="AN27" i="5"/>
  <c r="AO27" i="5"/>
  <c r="AP27" i="5"/>
  <c r="AQ27" i="5"/>
  <c r="AF27" i="5"/>
  <c r="AD27" i="5"/>
  <c r="AA27" i="5"/>
  <c r="X27" i="5"/>
  <c r="U27" i="5"/>
  <c r="R27" i="5"/>
  <c r="O27" i="5"/>
  <c r="L27" i="5"/>
  <c r="I27" i="5"/>
  <c r="F27" i="5"/>
  <c r="A27" i="5"/>
  <c r="AG26" i="5"/>
  <c r="AH26" i="5"/>
  <c r="AI26" i="5"/>
  <c r="AJ26" i="5"/>
  <c r="AK26" i="5"/>
  <c r="AL26" i="5"/>
  <c r="AM26" i="5"/>
  <c r="AN26" i="5"/>
  <c r="AO26" i="5"/>
  <c r="AP26" i="5"/>
  <c r="AQ26" i="5"/>
  <c r="AF26" i="5"/>
  <c r="AD26" i="5"/>
  <c r="AA26" i="5"/>
  <c r="X26" i="5"/>
  <c r="U26" i="5"/>
  <c r="R26" i="5"/>
  <c r="O26" i="5"/>
  <c r="L26" i="5"/>
  <c r="I26" i="5"/>
  <c r="F26" i="5"/>
  <c r="A26" i="5"/>
  <c r="AG25" i="5"/>
  <c r="AH25" i="5"/>
  <c r="AI25" i="5"/>
  <c r="AJ25" i="5"/>
  <c r="AK25" i="5"/>
  <c r="AL25" i="5"/>
  <c r="AM25" i="5"/>
  <c r="AN25" i="5"/>
  <c r="AO25" i="5"/>
  <c r="AP25" i="5"/>
  <c r="AQ25" i="5"/>
  <c r="AF25" i="5"/>
  <c r="AD25" i="5"/>
  <c r="AA25" i="5"/>
  <c r="X25" i="5"/>
  <c r="U25" i="5"/>
  <c r="R25" i="5"/>
  <c r="O25" i="5"/>
  <c r="L25" i="5"/>
  <c r="I25" i="5"/>
  <c r="F25" i="5"/>
  <c r="AG24" i="5"/>
  <c r="AH24" i="5"/>
  <c r="AI24" i="5"/>
  <c r="AJ24" i="5"/>
  <c r="AK24" i="5"/>
  <c r="AL24" i="5"/>
  <c r="AM24" i="5"/>
  <c r="AN24" i="5"/>
  <c r="AO24" i="5"/>
  <c r="AP24" i="5"/>
  <c r="AQ24" i="5"/>
  <c r="AF24" i="5"/>
  <c r="AD24" i="5"/>
  <c r="AA24" i="5"/>
  <c r="X24" i="5"/>
  <c r="U24" i="5"/>
  <c r="R24" i="5"/>
  <c r="O24" i="5"/>
  <c r="L24" i="5"/>
  <c r="I24" i="5"/>
  <c r="F24" i="5"/>
  <c r="AC22" i="5"/>
  <c r="Z22" i="5"/>
  <c r="W22" i="5"/>
  <c r="T22" i="5"/>
  <c r="Q22" i="5"/>
  <c r="N22" i="5"/>
  <c r="K22" i="5"/>
  <c r="H22" i="5"/>
  <c r="E22" i="5"/>
  <c r="AC16" i="5"/>
  <c r="Z16" i="5"/>
  <c r="W16" i="5"/>
  <c r="R16" i="5"/>
  <c r="L16" i="5"/>
  <c r="A16" i="5"/>
  <c r="AC14" i="5"/>
  <c r="Z14" i="5"/>
  <c r="W14" i="5"/>
  <c r="R14" i="5"/>
  <c r="L14" i="5"/>
  <c r="A14" i="5"/>
  <c r="AY12" i="5"/>
  <c r="AC12" i="5"/>
  <c r="Z12" i="5"/>
  <c r="W12" i="5"/>
  <c r="R12" i="5"/>
  <c r="L12" i="5"/>
  <c r="A12" i="5"/>
  <c r="AY11" i="5"/>
  <c r="E11" i="5"/>
  <c r="AY10" i="5"/>
  <c r="AC10" i="5"/>
  <c r="Z10" i="5"/>
  <c r="W10" i="5"/>
  <c r="R10" i="5"/>
  <c r="L10" i="5"/>
  <c r="A10" i="5"/>
  <c r="AY9" i="5"/>
  <c r="AX8" i="5"/>
  <c r="AY8" i="5"/>
  <c r="AC8" i="5"/>
  <c r="Z8" i="5"/>
  <c r="W8" i="5"/>
  <c r="R8" i="5"/>
  <c r="L8" i="5"/>
  <c r="A8" i="5"/>
  <c r="AY7" i="5"/>
  <c r="R7" i="5"/>
  <c r="L7" i="5"/>
  <c r="AX6" i="5"/>
  <c r="AY6" i="5"/>
  <c r="K6" i="5"/>
  <c r="AY5" i="5"/>
  <c r="AY4" i="5"/>
  <c r="AY3" i="5"/>
  <c r="W219" i="4"/>
  <c r="W220" i="4"/>
  <c r="W221" i="4"/>
  <c r="W222" i="4"/>
  <c r="Y219" i="4"/>
  <c r="Y220" i="4"/>
  <c r="Y221" i="4"/>
  <c r="Y222" i="4"/>
  <c r="AC218" i="4"/>
  <c r="Z219" i="4"/>
  <c r="Z220" i="4"/>
  <c r="Z221" i="4"/>
  <c r="Z222" i="4"/>
  <c r="AB219" i="4"/>
  <c r="AB220" i="4"/>
  <c r="AB221" i="4"/>
  <c r="AB222" i="4"/>
  <c r="AE218" i="4"/>
  <c r="E101" i="4"/>
  <c r="AF180" i="4"/>
  <c r="X213" i="4"/>
  <c r="W230" i="4"/>
  <c r="E8" i="4"/>
  <c r="B79" i="4"/>
  <c r="AT79" i="4"/>
  <c r="E10" i="4"/>
  <c r="B80" i="4"/>
  <c r="AT80" i="4"/>
  <c r="E12" i="4"/>
  <c r="B81" i="4"/>
  <c r="AT81" i="4"/>
  <c r="E14" i="4"/>
  <c r="B82" i="4"/>
  <c r="AT82" i="4"/>
  <c r="AC31" i="4"/>
  <c r="AC32" i="4"/>
  <c r="AC33" i="4"/>
  <c r="AC34" i="4"/>
  <c r="AC35" i="4"/>
  <c r="AC64" i="4"/>
  <c r="AE64" i="4"/>
  <c r="AC65" i="4"/>
  <c r="AE31" i="4"/>
  <c r="AE32" i="4"/>
  <c r="AE33" i="4"/>
  <c r="AE34" i="4"/>
  <c r="AE35" i="4"/>
  <c r="AE65" i="4"/>
  <c r="AC66" i="4"/>
  <c r="AE66" i="4"/>
  <c r="AC67" i="4"/>
  <c r="AE67" i="4"/>
  <c r="AC68" i="4"/>
  <c r="AE68" i="4"/>
  <c r="AD71" i="4"/>
  <c r="AC72" i="4"/>
  <c r="Z72" i="4"/>
  <c r="AB72" i="4"/>
  <c r="W31" i="4"/>
  <c r="W32" i="4"/>
  <c r="W33" i="4"/>
  <c r="W34" i="4"/>
  <c r="W35" i="4"/>
  <c r="W64" i="4"/>
  <c r="Y64" i="4"/>
  <c r="W65" i="4"/>
  <c r="Y65" i="4"/>
  <c r="W66" i="4"/>
  <c r="Y66" i="4"/>
  <c r="W67" i="4"/>
  <c r="Y67" i="4"/>
  <c r="W68" i="4"/>
  <c r="Y31" i="4"/>
  <c r="Y32" i="4"/>
  <c r="Y33" i="4"/>
  <c r="Y34" i="4"/>
  <c r="Y35" i="4"/>
  <c r="Y68" i="4"/>
  <c r="X71" i="4"/>
  <c r="W72" i="4"/>
  <c r="T72" i="4"/>
  <c r="V72" i="4"/>
  <c r="Q72" i="4"/>
  <c r="S72" i="4"/>
  <c r="N31" i="4"/>
  <c r="N32" i="4"/>
  <c r="N33" i="4"/>
  <c r="N34" i="4"/>
  <c r="N35" i="4"/>
  <c r="N64" i="4"/>
  <c r="P64" i="4"/>
  <c r="N65" i="4"/>
  <c r="P65" i="4"/>
  <c r="N66" i="4"/>
  <c r="P31" i="4"/>
  <c r="P32" i="4"/>
  <c r="P33" i="4"/>
  <c r="P34" i="4"/>
  <c r="P35" i="4"/>
  <c r="P66" i="4"/>
  <c r="N67" i="4"/>
  <c r="P67" i="4"/>
  <c r="N68" i="4"/>
  <c r="P68" i="4"/>
  <c r="O71" i="4"/>
  <c r="N72" i="4"/>
  <c r="K72" i="4"/>
  <c r="M72" i="4"/>
  <c r="H72" i="4"/>
  <c r="J72" i="4"/>
  <c r="E31" i="4"/>
  <c r="E32" i="4"/>
  <c r="E33" i="4"/>
  <c r="E34" i="4"/>
  <c r="E35" i="4"/>
  <c r="E64" i="4"/>
  <c r="G64" i="4"/>
  <c r="E65" i="4"/>
  <c r="G65" i="4"/>
  <c r="E66" i="4"/>
  <c r="G66" i="4"/>
  <c r="E67" i="4"/>
  <c r="G31" i="4"/>
  <c r="G32" i="4"/>
  <c r="G33" i="4"/>
  <c r="G34" i="4"/>
  <c r="G35" i="4"/>
  <c r="G67" i="4"/>
  <c r="E68" i="4"/>
  <c r="G68" i="4"/>
  <c r="F71" i="4"/>
  <c r="E72" i="4"/>
  <c r="B72" i="4"/>
  <c r="D72" i="4"/>
  <c r="C79" i="4"/>
  <c r="D79" i="4"/>
  <c r="E85" i="4"/>
  <c r="E36" i="4"/>
  <c r="B75" i="4"/>
  <c r="D75" i="4"/>
  <c r="C82" i="4"/>
  <c r="D82" i="4"/>
  <c r="G85" i="4"/>
  <c r="G36" i="4"/>
  <c r="E86" i="4"/>
  <c r="E87" i="4"/>
  <c r="G79" i="4"/>
  <c r="J79" i="4"/>
  <c r="M79" i="4"/>
  <c r="N85" i="4"/>
  <c r="N36" i="4"/>
  <c r="K74" i="4"/>
  <c r="M74" i="4"/>
  <c r="H64" i="4"/>
  <c r="J64" i="4"/>
  <c r="H65" i="4"/>
  <c r="J65" i="4"/>
  <c r="H31" i="4"/>
  <c r="H32" i="4"/>
  <c r="H33" i="4"/>
  <c r="H34" i="4"/>
  <c r="H35" i="4"/>
  <c r="H66" i="4"/>
  <c r="J66" i="4"/>
  <c r="H67" i="4"/>
  <c r="J67" i="4"/>
  <c r="H68" i="4"/>
  <c r="J31" i="4"/>
  <c r="J32" i="4"/>
  <c r="J33" i="4"/>
  <c r="J34" i="4"/>
  <c r="J35" i="4"/>
  <c r="J68" i="4"/>
  <c r="I71" i="4"/>
  <c r="H74" i="4"/>
  <c r="E74" i="4"/>
  <c r="G74" i="4"/>
  <c r="B74" i="4"/>
  <c r="D74" i="4"/>
  <c r="C81" i="4"/>
  <c r="D81" i="4"/>
  <c r="G81" i="4"/>
  <c r="H85" i="4"/>
  <c r="H36" i="4"/>
  <c r="E76" i="4"/>
  <c r="G76" i="4"/>
  <c r="B76" i="4"/>
  <c r="B64" i="4"/>
  <c r="D64" i="4"/>
  <c r="B31" i="4"/>
  <c r="B32" i="4"/>
  <c r="B33" i="4"/>
  <c r="B34" i="4"/>
  <c r="B35" i="4"/>
  <c r="B65" i="4"/>
  <c r="D65" i="4"/>
  <c r="B66" i="4"/>
  <c r="D66" i="4"/>
  <c r="B67" i="4"/>
  <c r="D67" i="4"/>
  <c r="B68" i="4"/>
  <c r="D31" i="4"/>
  <c r="D32" i="4"/>
  <c r="D33" i="4"/>
  <c r="D34" i="4"/>
  <c r="D35" i="4"/>
  <c r="D68" i="4"/>
  <c r="C71" i="4"/>
  <c r="D76" i="4"/>
  <c r="E16" i="4"/>
  <c r="B83" i="4"/>
  <c r="C83" i="4"/>
  <c r="D85" i="4"/>
  <c r="D36" i="4"/>
  <c r="C80" i="4"/>
  <c r="B85" i="4"/>
  <c r="B36" i="4"/>
  <c r="D86" i="4"/>
  <c r="D87" i="4"/>
  <c r="D83" i="4"/>
  <c r="G83" i="4"/>
  <c r="J85" i="4"/>
  <c r="J36" i="4"/>
  <c r="H86" i="4"/>
  <c r="H87" i="4"/>
  <c r="J81" i="4"/>
  <c r="M81" i="4"/>
  <c r="P85" i="4"/>
  <c r="P36" i="4"/>
  <c r="N86" i="4"/>
  <c r="N87" i="4"/>
  <c r="P79" i="4"/>
  <c r="S79" i="4"/>
  <c r="V79" i="4"/>
  <c r="W85" i="4"/>
  <c r="W36" i="4"/>
  <c r="T76" i="4"/>
  <c r="V76" i="4"/>
  <c r="Q76" i="4"/>
  <c r="Q64" i="4"/>
  <c r="S64" i="4"/>
  <c r="Q65" i="4"/>
  <c r="S65" i="4"/>
  <c r="Q66" i="4"/>
  <c r="S66" i="4"/>
  <c r="Q31" i="4"/>
  <c r="Q32" i="4"/>
  <c r="Q33" i="4"/>
  <c r="Q34" i="4"/>
  <c r="Q35" i="4"/>
  <c r="Q67" i="4"/>
  <c r="S67" i="4"/>
  <c r="Q68" i="4"/>
  <c r="S31" i="4"/>
  <c r="S32" i="4"/>
  <c r="S33" i="4"/>
  <c r="S34" i="4"/>
  <c r="S35" i="4"/>
  <c r="S68" i="4"/>
  <c r="R71" i="4"/>
  <c r="S76" i="4"/>
  <c r="N76" i="4"/>
  <c r="P76" i="4"/>
  <c r="K76" i="4"/>
  <c r="M76" i="4"/>
  <c r="H76" i="4"/>
  <c r="J76" i="4"/>
  <c r="J86" i="4"/>
  <c r="J87" i="4"/>
  <c r="J83" i="4"/>
  <c r="M83" i="4"/>
  <c r="P83" i="4"/>
  <c r="S85" i="4"/>
  <c r="S36" i="4"/>
  <c r="N75" i="4"/>
  <c r="P75" i="4"/>
  <c r="K75" i="4"/>
  <c r="K64" i="4"/>
  <c r="M64" i="4"/>
  <c r="K31" i="4"/>
  <c r="K32" i="4"/>
  <c r="K33" i="4"/>
  <c r="K34" i="4"/>
  <c r="K35" i="4"/>
  <c r="K65" i="4"/>
  <c r="M65" i="4"/>
  <c r="K66" i="4"/>
  <c r="M66" i="4"/>
  <c r="K67" i="4"/>
  <c r="M31" i="4"/>
  <c r="M32" i="4"/>
  <c r="M33" i="4"/>
  <c r="M34" i="4"/>
  <c r="M35" i="4"/>
  <c r="M67" i="4"/>
  <c r="K68" i="4"/>
  <c r="M68" i="4"/>
  <c r="L71" i="4"/>
  <c r="M75" i="4"/>
  <c r="H75" i="4"/>
  <c r="J75" i="4"/>
  <c r="E75" i="4"/>
  <c r="G75" i="4"/>
  <c r="G86" i="4"/>
  <c r="G87" i="4"/>
  <c r="G82" i="4"/>
  <c r="J82" i="4"/>
  <c r="M85" i="4"/>
  <c r="M36" i="4"/>
  <c r="H73" i="4"/>
  <c r="J73" i="4"/>
  <c r="E73" i="4"/>
  <c r="G73" i="4"/>
  <c r="B73" i="4"/>
  <c r="B86" i="4"/>
  <c r="B87" i="4"/>
  <c r="D80" i="4"/>
  <c r="G80" i="4"/>
  <c r="J80" i="4"/>
  <c r="K85" i="4"/>
  <c r="K36" i="4"/>
  <c r="M86" i="4"/>
  <c r="M87" i="4"/>
  <c r="M82" i="4"/>
  <c r="P82" i="4"/>
  <c r="Q85" i="4"/>
  <c r="Q36" i="4"/>
  <c r="S86" i="4"/>
  <c r="S87" i="4"/>
  <c r="S83" i="4"/>
  <c r="V83" i="4"/>
  <c r="Y85" i="4"/>
  <c r="Y36" i="4"/>
  <c r="W86" i="4"/>
  <c r="W87" i="4"/>
  <c r="Y79" i="4"/>
  <c r="AB79" i="4"/>
  <c r="AC85" i="4"/>
  <c r="AC36" i="4"/>
  <c r="Z73" i="4"/>
  <c r="AB73" i="4"/>
  <c r="W73" i="4"/>
  <c r="Y73" i="4"/>
  <c r="T64" i="4"/>
  <c r="V64" i="4"/>
  <c r="T31" i="4"/>
  <c r="T32" i="4"/>
  <c r="T33" i="4"/>
  <c r="T34" i="4"/>
  <c r="T35" i="4"/>
  <c r="T65" i="4"/>
  <c r="V65" i="4"/>
  <c r="T66" i="4"/>
  <c r="V31" i="4"/>
  <c r="V32" i="4"/>
  <c r="V33" i="4"/>
  <c r="V34" i="4"/>
  <c r="V35" i="4"/>
  <c r="V66" i="4"/>
  <c r="T67" i="4"/>
  <c r="V67" i="4"/>
  <c r="T68" i="4"/>
  <c r="V68" i="4"/>
  <c r="U71" i="4"/>
  <c r="T73" i="4"/>
  <c r="Q73" i="4"/>
  <c r="S73" i="4"/>
  <c r="N73" i="4"/>
  <c r="P73" i="4"/>
  <c r="K73" i="4"/>
  <c r="K86" i="4"/>
  <c r="K87" i="4"/>
  <c r="M80" i="4"/>
  <c r="P80" i="4"/>
  <c r="S80" i="4"/>
  <c r="T85" i="4"/>
  <c r="T36" i="4"/>
  <c r="Q74" i="4"/>
  <c r="S74" i="4"/>
  <c r="N74" i="4"/>
  <c r="P74" i="4"/>
  <c r="P86" i="4"/>
  <c r="P87" i="4"/>
  <c r="P81" i="4"/>
  <c r="S81" i="4"/>
  <c r="V85" i="4"/>
  <c r="V36" i="4"/>
  <c r="T86" i="4"/>
  <c r="T87" i="4"/>
  <c r="V80" i="4"/>
  <c r="Y80" i="4"/>
  <c r="AB80" i="4"/>
  <c r="AE85" i="4"/>
  <c r="AE36" i="4"/>
  <c r="AC86" i="4"/>
  <c r="AC87" i="4"/>
  <c r="AE79" i="4"/>
  <c r="AU79" i="4"/>
  <c r="AC73" i="4"/>
  <c r="AE73" i="4"/>
  <c r="AE86" i="4"/>
  <c r="AE87" i="4"/>
  <c r="AE80" i="4"/>
  <c r="AU80" i="4"/>
  <c r="AC74" i="4"/>
  <c r="AE74" i="4"/>
  <c r="Z64" i="4"/>
  <c r="AB64" i="4"/>
  <c r="Z65" i="4"/>
  <c r="AB65" i="4"/>
  <c r="Z31" i="4"/>
  <c r="Z32" i="4"/>
  <c r="Z33" i="4"/>
  <c r="Z34" i="4"/>
  <c r="Z35" i="4"/>
  <c r="Z66" i="4"/>
  <c r="AB66" i="4"/>
  <c r="Z67" i="4"/>
  <c r="AB31" i="4"/>
  <c r="AB32" i="4"/>
  <c r="AB33" i="4"/>
  <c r="AB34" i="4"/>
  <c r="AB35" i="4"/>
  <c r="AB67" i="4"/>
  <c r="Z68" i="4"/>
  <c r="AB68" i="4"/>
  <c r="AA71" i="4"/>
  <c r="Z74" i="4"/>
  <c r="W74" i="4"/>
  <c r="Y74" i="4"/>
  <c r="T74" i="4"/>
  <c r="V74" i="4"/>
  <c r="V86" i="4"/>
  <c r="V87" i="4"/>
  <c r="V81" i="4"/>
  <c r="Y81" i="4"/>
  <c r="Z85" i="4"/>
  <c r="Z36" i="4"/>
  <c r="W75" i="4"/>
  <c r="Y75" i="4"/>
  <c r="T75" i="4"/>
  <c r="V75" i="4"/>
  <c r="Q75" i="4"/>
  <c r="Q86" i="4"/>
  <c r="Q87" i="4"/>
  <c r="S82" i="4"/>
  <c r="V82" i="4"/>
  <c r="Y82" i="4"/>
  <c r="AB85" i="4"/>
  <c r="AB36" i="4"/>
  <c r="Z86" i="4"/>
  <c r="Z87" i="4"/>
  <c r="AB81" i="4"/>
  <c r="AE81" i="4"/>
  <c r="AU81" i="4"/>
  <c r="AC75" i="4"/>
  <c r="AE75" i="4"/>
  <c r="Z75" i="4"/>
  <c r="AB75" i="4"/>
  <c r="AB86" i="4"/>
  <c r="AB87" i="4"/>
  <c r="AB82" i="4"/>
  <c r="AE82" i="4"/>
  <c r="AU82" i="4"/>
  <c r="AT83" i="4"/>
  <c r="AC76" i="4"/>
  <c r="AE76" i="4"/>
  <c r="Z76" i="4"/>
  <c r="AB76" i="4"/>
  <c r="W76" i="4"/>
  <c r="Y76" i="4"/>
  <c r="Y86" i="4"/>
  <c r="Y87" i="4"/>
  <c r="Y83" i="4"/>
  <c r="AB83" i="4"/>
  <c r="AE83" i="4"/>
  <c r="AU83" i="4"/>
  <c r="E93" i="4"/>
  <c r="B164" i="4"/>
  <c r="AT164" i="4"/>
  <c r="AC116" i="4"/>
  <c r="AC117" i="4"/>
  <c r="AC118" i="4"/>
  <c r="AC119" i="4"/>
  <c r="AC120" i="4"/>
  <c r="AC149" i="4"/>
  <c r="AE149" i="4"/>
  <c r="AC150" i="4"/>
  <c r="AE116" i="4"/>
  <c r="AE117" i="4"/>
  <c r="AE118" i="4"/>
  <c r="AE119" i="4"/>
  <c r="AE120" i="4"/>
  <c r="AE150" i="4"/>
  <c r="AC151" i="4"/>
  <c r="AE151" i="4"/>
  <c r="AC152" i="4"/>
  <c r="AE152" i="4"/>
  <c r="AC153" i="4"/>
  <c r="AE153" i="4"/>
  <c r="AD156" i="4"/>
  <c r="AC157" i="4"/>
  <c r="Z157" i="4"/>
  <c r="AB157" i="4"/>
  <c r="W116" i="4"/>
  <c r="W117" i="4"/>
  <c r="W118" i="4"/>
  <c r="W119" i="4"/>
  <c r="W120" i="4"/>
  <c r="W149" i="4"/>
  <c r="Y149" i="4"/>
  <c r="W150" i="4"/>
  <c r="Y150" i="4"/>
  <c r="W151" i="4"/>
  <c r="Y151" i="4"/>
  <c r="W152" i="4"/>
  <c r="Y152" i="4"/>
  <c r="W153" i="4"/>
  <c r="Y116" i="4"/>
  <c r="Y117" i="4"/>
  <c r="Y118" i="4"/>
  <c r="Y119" i="4"/>
  <c r="Y120" i="4"/>
  <c r="Y153" i="4"/>
  <c r="X156" i="4"/>
  <c r="W157" i="4"/>
  <c r="T157" i="4"/>
  <c r="V157" i="4"/>
  <c r="Q157" i="4"/>
  <c r="S157" i="4"/>
  <c r="N116" i="4"/>
  <c r="N117" i="4"/>
  <c r="N118" i="4"/>
  <c r="N119" i="4"/>
  <c r="N120" i="4"/>
  <c r="N149" i="4"/>
  <c r="P149" i="4"/>
  <c r="N150" i="4"/>
  <c r="P150" i="4"/>
  <c r="N151" i="4"/>
  <c r="P116" i="4"/>
  <c r="P117" i="4"/>
  <c r="P118" i="4"/>
  <c r="P119" i="4"/>
  <c r="P120" i="4"/>
  <c r="P151" i="4"/>
  <c r="N152" i="4"/>
  <c r="P152" i="4"/>
  <c r="N153" i="4"/>
  <c r="P153" i="4"/>
  <c r="O156" i="4"/>
  <c r="N157" i="4"/>
  <c r="K157" i="4"/>
  <c r="M157" i="4"/>
  <c r="H157" i="4"/>
  <c r="J157" i="4"/>
  <c r="E116" i="4"/>
  <c r="E117" i="4"/>
  <c r="E118" i="4"/>
  <c r="E119" i="4"/>
  <c r="E120" i="4"/>
  <c r="E149" i="4"/>
  <c r="G149" i="4"/>
  <c r="E150" i="4"/>
  <c r="G150" i="4"/>
  <c r="E151" i="4"/>
  <c r="G151" i="4"/>
  <c r="E152" i="4"/>
  <c r="G116" i="4"/>
  <c r="G117" i="4"/>
  <c r="G118" i="4"/>
  <c r="G119" i="4"/>
  <c r="G120" i="4"/>
  <c r="G152" i="4"/>
  <c r="E153" i="4"/>
  <c r="G153" i="4"/>
  <c r="F156" i="4"/>
  <c r="E157" i="4"/>
  <c r="B157" i="4"/>
  <c r="D157" i="4"/>
  <c r="C164" i="4"/>
  <c r="D164" i="4"/>
  <c r="E170" i="4"/>
  <c r="E121" i="4"/>
  <c r="B160" i="4"/>
  <c r="D160" i="4"/>
  <c r="E99" i="4"/>
  <c r="B167" i="4"/>
  <c r="C167" i="4"/>
  <c r="D167" i="4"/>
  <c r="G170" i="4"/>
  <c r="G121" i="4"/>
  <c r="E171" i="4"/>
  <c r="E172" i="4"/>
  <c r="G164" i="4"/>
  <c r="J164" i="4"/>
  <c r="M164" i="4"/>
  <c r="N170" i="4"/>
  <c r="N121" i="4"/>
  <c r="K159" i="4"/>
  <c r="M159" i="4"/>
  <c r="H149" i="4"/>
  <c r="J149" i="4"/>
  <c r="H150" i="4"/>
  <c r="J150" i="4"/>
  <c r="H116" i="4"/>
  <c r="H117" i="4"/>
  <c r="H118" i="4"/>
  <c r="H119" i="4"/>
  <c r="H120" i="4"/>
  <c r="H151" i="4"/>
  <c r="J151" i="4"/>
  <c r="H152" i="4"/>
  <c r="J152" i="4"/>
  <c r="H153" i="4"/>
  <c r="J116" i="4"/>
  <c r="J117" i="4"/>
  <c r="J118" i="4"/>
  <c r="J119" i="4"/>
  <c r="J120" i="4"/>
  <c r="J153" i="4"/>
  <c r="I156" i="4"/>
  <c r="H159" i="4"/>
  <c r="E159" i="4"/>
  <c r="G159" i="4"/>
  <c r="B159" i="4"/>
  <c r="D159" i="4"/>
  <c r="E97" i="4"/>
  <c r="B166" i="4"/>
  <c r="C166" i="4"/>
  <c r="D166" i="4"/>
  <c r="G166" i="4"/>
  <c r="H170" i="4"/>
  <c r="H121" i="4"/>
  <c r="E161" i="4"/>
  <c r="G161" i="4"/>
  <c r="B161" i="4"/>
  <c r="B149" i="4"/>
  <c r="D149" i="4"/>
  <c r="B116" i="4"/>
  <c r="B117" i="4"/>
  <c r="B118" i="4"/>
  <c r="B119" i="4"/>
  <c r="B120" i="4"/>
  <c r="B150" i="4"/>
  <c r="D150" i="4"/>
  <c r="B151" i="4"/>
  <c r="D151" i="4"/>
  <c r="B152" i="4"/>
  <c r="D152" i="4"/>
  <c r="B153" i="4"/>
  <c r="D116" i="4"/>
  <c r="D117" i="4"/>
  <c r="D118" i="4"/>
  <c r="D119" i="4"/>
  <c r="D120" i="4"/>
  <c r="D153" i="4"/>
  <c r="C156" i="4"/>
  <c r="D161" i="4"/>
  <c r="B168" i="4"/>
  <c r="C168" i="4"/>
  <c r="D170" i="4"/>
  <c r="D121" i="4"/>
  <c r="E95" i="4"/>
  <c r="B165" i="4"/>
  <c r="C165" i="4"/>
  <c r="B170" i="4"/>
  <c r="B121" i="4"/>
  <c r="D171" i="4"/>
  <c r="D172" i="4"/>
  <c r="D168" i="4"/>
  <c r="G168" i="4"/>
  <c r="J170" i="4"/>
  <c r="J121" i="4"/>
  <c r="H171" i="4"/>
  <c r="H172" i="4"/>
  <c r="J166" i="4"/>
  <c r="M166" i="4"/>
  <c r="P170" i="4"/>
  <c r="P121" i="4"/>
  <c r="N171" i="4"/>
  <c r="N172" i="4"/>
  <c r="P164" i="4"/>
  <c r="S164" i="4"/>
  <c r="V164" i="4"/>
  <c r="W170" i="4"/>
  <c r="W121" i="4"/>
  <c r="T161" i="4"/>
  <c r="V161" i="4"/>
  <c r="Q161" i="4"/>
  <c r="Q149" i="4"/>
  <c r="S149" i="4"/>
  <c r="Q150" i="4"/>
  <c r="S150" i="4"/>
  <c r="Q151" i="4"/>
  <c r="S151" i="4"/>
  <c r="Q116" i="4"/>
  <c r="Q117" i="4"/>
  <c r="Q118" i="4"/>
  <c r="Q119" i="4"/>
  <c r="Q120" i="4"/>
  <c r="Q152" i="4"/>
  <c r="S152" i="4"/>
  <c r="Q153" i="4"/>
  <c r="S116" i="4"/>
  <c r="S117" i="4"/>
  <c r="S118" i="4"/>
  <c r="S119" i="4"/>
  <c r="S120" i="4"/>
  <c r="S153" i="4"/>
  <c r="R156" i="4"/>
  <c r="S161" i="4"/>
  <c r="N161" i="4"/>
  <c r="P161" i="4"/>
  <c r="K161" i="4"/>
  <c r="M161" i="4"/>
  <c r="H161" i="4"/>
  <c r="J161" i="4"/>
  <c r="J171" i="4"/>
  <c r="J172" i="4"/>
  <c r="J168" i="4"/>
  <c r="M168" i="4"/>
  <c r="P168" i="4"/>
  <c r="S170" i="4"/>
  <c r="S121" i="4"/>
  <c r="N160" i="4"/>
  <c r="P160" i="4"/>
  <c r="K160" i="4"/>
  <c r="K149" i="4"/>
  <c r="M149" i="4"/>
  <c r="K116" i="4"/>
  <c r="K117" i="4"/>
  <c r="K118" i="4"/>
  <c r="K119" i="4"/>
  <c r="K120" i="4"/>
  <c r="K150" i="4"/>
  <c r="M150" i="4"/>
  <c r="K151" i="4"/>
  <c r="M151" i="4"/>
  <c r="K152" i="4"/>
  <c r="M116" i="4"/>
  <c r="M117" i="4"/>
  <c r="M118" i="4"/>
  <c r="M119" i="4"/>
  <c r="M120" i="4"/>
  <c r="M152" i="4"/>
  <c r="K153" i="4"/>
  <c r="M153" i="4"/>
  <c r="L156" i="4"/>
  <c r="M160" i="4"/>
  <c r="H160" i="4"/>
  <c r="J160" i="4"/>
  <c r="E160" i="4"/>
  <c r="G160" i="4"/>
  <c r="G171" i="4"/>
  <c r="G172" i="4"/>
  <c r="G167" i="4"/>
  <c r="J167" i="4"/>
  <c r="M170" i="4"/>
  <c r="M121" i="4"/>
  <c r="H158" i="4"/>
  <c r="J158" i="4"/>
  <c r="E158" i="4"/>
  <c r="G158" i="4"/>
  <c r="B158" i="4"/>
  <c r="B171" i="4"/>
  <c r="B172" i="4"/>
  <c r="D165" i="4"/>
  <c r="G165" i="4"/>
  <c r="J165" i="4"/>
  <c r="K170" i="4"/>
  <c r="K121" i="4"/>
  <c r="M171" i="4"/>
  <c r="M172" i="4"/>
  <c r="M167" i="4"/>
  <c r="P167" i="4"/>
  <c r="Q170" i="4"/>
  <c r="Q121" i="4"/>
  <c r="S171" i="4"/>
  <c r="S172" i="4"/>
  <c r="S168" i="4"/>
  <c r="V168" i="4"/>
  <c r="Y170" i="4"/>
  <c r="Y121" i="4"/>
  <c r="W171" i="4"/>
  <c r="W172" i="4"/>
  <c r="Y164" i="4"/>
  <c r="AB164" i="4"/>
  <c r="AC170" i="4"/>
  <c r="AC121" i="4"/>
  <c r="Z158" i="4"/>
  <c r="AB158" i="4"/>
  <c r="W158" i="4"/>
  <c r="Y158" i="4"/>
  <c r="T149" i="4"/>
  <c r="V149" i="4"/>
  <c r="T116" i="4"/>
  <c r="T117" i="4"/>
  <c r="T118" i="4"/>
  <c r="T119" i="4"/>
  <c r="T120" i="4"/>
  <c r="T150" i="4"/>
  <c r="V150" i="4"/>
  <c r="T151" i="4"/>
  <c r="V116" i="4"/>
  <c r="V117" i="4"/>
  <c r="V118" i="4"/>
  <c r="V119" i="4"/>
  <c r="V120" i="4"/>
  <c r="V151" i="4"/>
  <c r="T152" i="4"/>
  <c r="V152" i="4"/>
  <c r="T153" i="4"/>
  <c r="V153" i="4"/>
  <c r="U156" i="4"/>
  <c r="T158" i="4"/>
  <c r="Q158" i="4"/>
  <c r="S158" i="4"/>
  <c r="N158" i="4"/>
  <c r="P158" i="4"/>
  <c r="K158" i="4"/>
  <c r="K171" i="4"/>
  <c r="K172" i="4"/>
  <c r="M165" i="4"/>
  <c r="P165" i="4"/>
  <c r="S165" i="4"/>
  <c r="T170" i="4"/>
  <c r="T121" i="4"/>
  <c r="Q159" i="4"/>
  <c r="S159" i="4"/>
  <c r="N159" i="4"/>
  <c r="P159" i="4"/>
  <c r="P171" i="4"/>
  <c r="P172" i="4"/>
  <c r="P166" i="4"/>
  <c r="S166" i="4"/>
  <c r="V170" i="4"/>
  <c r="V121" i="4"/>
  <c r="T171" i="4"/>
  <c r="T172" i="4"/>
  <c r="V165" i="4"/>
  <c r="Y165" i="4"/>
  <c r="AB165" i="4"/>
  <c r="AE170" i="4"/>
  <c r="AE121" i="4"/>
  <c r="AC171" i="4"/>
  <c r="AC172" i="4"/>
  <c r="AE164" i="4"/>
  <c r="AU164" i="4"/>
  <c r="AT165" i="4"/>
  <c r="AC158" i="4"/>
  <c r="AE158" i="4"/>
  <c r="AE171" i="4"/>
  <c r="AE172" i="4"/>
  <c r="AE165" i="4"/>
  <c r="AU165" i="4"/>
  <c r="AT166" i="4"/>
  <c r="AC159" i="4"/>
  <c r="AE159" i="4"/>
  <c r="Z149" i="4"/>
  <c r="AB149" i="4"/>
  <c r="Z150" i="4"/>
  <c r="AB150" i="4"/>
  <c r="Z116" i="4"/>
  <c r="Z117" i="4"/>
  <c r="Z118" i="4"/>
  <c r="Z119" i="4"/>
  <c r="Z120" i="4"/>
  <c r="Z151" i="4"/>
  <c r="AB151" i="4"/>
  <c r="Z152" i="4"/>
  <c r="AB116" i="4"/>
  <c r="AB117" i="4"/>
  <c r="AB118" i="4"/>
  <c r="AB119" i="4"/>
  <c r="AB120" i="4"/>
  <c r="AB152" i="4"/>
  <c r="Z153" i="4"/>
  <c r="AB153" i="4"/>
  <c r="AA156" i="4"/>
  <c r="Z159" i="4"/>
  <c r="W159" i="4"/>
  <c r="Y159" i="4"/>
  <c r="T159" i="4"/>
  <c r="V159" i="4"/>
  <c r="V171" i="4"/>
  <c r="V172" i="4"/>
  <c r="V166" i="4"/>
  <c r="Y166" i="4"/>
  <c r="Z170" i="4"/>
  <c r="Z121" i="4"/>
  <c r="W160" i="4"/>
  <c r="Y160" i="4"/>
  <c r="T160" i="4"/>
  <c r="V160" i="4"/>
  <c r="Q160" i="4"/>
  <c r="Q171" i="4"/>
  <c r="Q172" i="4"/>
  <c r="S167" i="4"/>
  <c r="V167" i="4"/>
  <c r="Y167" i="4"/>
  <c r="AB170" i="4"/>
  <c r="AB121" i="4"/>
  <c r="Z171" i="4"/>
  <c r="Z172" i="4"/>
  <c r="AB166" i="4"/>
  <c r="AE166" i="4"/>
  <c r="AU166" i="4"/>
  <c r="AT167" i="4"/>
  <c r="AC160" i="4"/>
  <c r="AE160" i="4"/>
  <c r="Z160" i="4"/>
  <c r="AB160" i="4"/>
  <c r="AB171" i="4"/>
  <c r="AB172" i="4"/>
  <c r="AB167" i="4"/>
  <c r="AE167" i="4"/>
  <c r="AU167" i="4"/>
  <c r="AT168" i="4"/>
  <c r="AC161" i="4"/>
  <c r="AE161" i="4"/>
  <c r="Z161" i="4"/>
  <c r="AB161" i="4"/>
  <c r="W161" i="4"/>
  <c r="Y161" i="4"/>
  <c r="Y171" i="4"/>
  <c r="Y172" i="4"/>
  <c r="Y168" i="4"/>
  <c r="AB168" i="4"/>
  <c r="AE168" i="4"/>
  <c r="AU168" i="4"/>
  <c r="AX12" i="4"/>
  <c r="X230" i="4"/>
  <c r="Y231" i="4"/>
  <c r="V179" i="4"/>
  <c r="X210" i="4"/>
  <c r="W227" i="4"/>
  <c r="AX6" i="4"/>
  <c r="X227" i="4"/>
  <c r="W231" i="4"/>
  <c r="Y232" i="4"/>
  <c r="Y233" i="4"/>
  <c r="Y230" i="4"/>
  <c r="AB230" i="4"/>
  <c r="AE230" i="4"/>
  <c r="AU233" i="4"/>
  <c r="AT233" i="4"/>
  <c r="V180" i="4"/>
  <c r="X211" i="4"/>
  <c r="W228" i="4"/>
  <c r="AX8" i="4"/>
  <c r="X228" i="4"/>
  <c r="Y228" i="4"/>
  <c r="Z231" i="4"/>
  <c r="AF179" i="4"/>
  <c r="X212" i="4"/>
  <c r="W229" i="4"/>
  <c r="AX10" i="4"/>
  <c r="X229" i="4"/>
  <c r="Y229" i="4"/>
  <c r="AB231" i="4"/>
  <c r="Z232" i="4"/>
  <c r="Z233" i="4"/>
  <c r="AB228" i="4"/>
  <c r="AE231" i="4"/>
  <c r="AE219" i="4"/>
  <c r="AE220" i="4"/>
  <c r="AE221" i="4"/>
  <c r="AE222" i="4"/>
  <c r="W232" i="4"/>
  <c r="W233" i="4"/>
  <c r="Y227" i="4"/>
  <c r="AB227" i="4"/>
  <c r="AC231" i="4"/>
  <c r="AC219" i="4"/>
  <c r="AC220" i="4"/>
  <c r="AC221" i="4"/>
  <c r="AC222" i="4"/>
  <c r="AE232" i="4"/>
  <c r="AE233" i="4"/>
  <c r="AC232" i="4"/>
  <c r="AC233" i="4"/>
  <c r="AB232" i="4"/>
  <c r="AB233" i="4"/>
  <c r="E219" i="4"/>
  <c r="E220" i="4"/>
  <c r="E221" i="4"/>
  <c r="E222" i="4"/>
  <c r="G219" i="4"/>
  <c r="G220" i="4"/>
  <c r="G221" i="4"/>
  <c r="G222" i="4"/>
  <c r="J218" i="4"/>
  <c r="L179" i="4"/>
  <c r="B212" i="4"/>
  <c r="B229" i="4"/>
  <c r="AX7" i="4"/>
  <c r="C229" i="4"/>
  <c r="D229" i="4"/>
  <c r="G231" i="4"/>
  <c r="B180" i="4"/>
  <c r="B211" i="4"/>
  <c r="B228" i="4"/>
  <c r="AX4" i="4"/>
  <c r="C228" i="4"/>
  <c r="D228" i="4"/>
  <c r="E231" i="4"/>
  <c r="G232" i="4"/>
  <c r="G233" i="4"/>
  <c r="G229" i="4"/>
  <c r="J231" i="4"/>
  <c r="J219" i="4"/>
  <c r="J220" i="4"/>
  <c r="J221" i="4"/>
  <c r="J222" i="4"/>
  <c r="B219" i="4"/>
  <c r="B220" i="4"/>
  <c r="B221" i="4"/>
  <c r="B222" i="4"/>
  <c r="D219" i="4"/>
  <c r="D220" i="4"/>
  <c r="D221" i="4"/>
  <c r="D222" i="4"/>
  <c r="H218" i="4"/>
  <c r="B179" i="4"/>
  <c r="B210" i="4"/>
  <c r="B227" i="4"/>
  <c r="AX3" i="4"/>
  <c r="C227" i="4"/>
  <c r="B231" i="4"/>
  <c r="L180" i="4"/>
  <c r="B213" i="4"/>
  <c r="B230" i="4"/>
  <c r="AX9" i="4"/>
  <c r="C230" i="4"/>
  <c r="D231" i="4"/>
  <c r="B232" i="4"/>
  <c r="B233" i="4"/>
  <c r="D227" i="4"/>
  <c r="G227" i="4"/>
  <c r="H231" i="4"/>
  <c r="H219" i="4"/>
  <c r="H220" i="4"/>
  <c r="H221" i="4"/>
  <c r="H222" i="4"/>
  <c r="J232" i="4"/>
  <c r="J233" i="4"/>
  <c r="H232" i="4"/>
  <c r="H233" i="4"/>
  <c r="E232" i="4"/>
  <c r="E233" i="4"/>
  <c r="D232" i="4"/>
  <c r="D233" i="4"/>
  <c r="AB229" i="4"/>
  <c r="AE229" i="4"/>
  <c r="AU232" i="4"/>
  <c r="AT232" i="4"/>
  <c r="AE228" i="4"/>
  <c r="AU231" i="4"/>
  <c r="AT231" i="4"/>
  <c r="AE227" i="4"/>
  <c r="AU230" i="4"/>
  <c r="AT230" i="4"/>
  <c r="D230" i="4"/>
  <c r="G230" i="4"/>
  <c r="J230" i="4"/>
  <c r="AU229" i="4"/>
  <c r="AT229" i="4"/>
  <c r="J229" i="4"/>
  <c r="AU228" i="4"/>
  <c r="AT228" i="4"/>
  <c r="G228" i="4"/>
  <c r="J228" i="4"/>
  <c r="AU227" i="4"/>
  <c r="AT227" i="4"/>
  <c r="J227" i="4"/>
  <c r="AU226" i="4"/>
  <c r="AT226" i="4"/>
  <c r="AF223" i="4"/>
  <c r="K223" i="4"/>
  <c r="E102" i="4"/>
  <c r="AL180" i="4"/>
  <c r="AG213" i="4"/>
  <c r="E100" i="4"/>
  <c r="R180" i="4"/>
  <c r="K213" i="4"/>
  <c r="E15" i="4"/>
  <c r="AL179" i="4"/>
  <c r="AG212" i="4"/>
  <c r="E13" i="4"/>
  <c r="R179" i="4"/>
  <c r="K212" i="4"/>
  <c r="E98" i="4"/>
  <c r="AB180" i="4"/>
  <c r="AG211" i="4"/>
  <c r="E94" i="4"/>
  <c r="H180" i="4"/>
  <c r="K211" i="4"/>
  <c r="E11" i="4"/>
  <c r="AB179" i="4"/>
  <c r="AG210" i="4"/>
  <c r="E9" i="4"/>
  <c r="H179" i="4"/>
  <c r="K210" i="4"/>
  <c r="U204" i="4"/>
  <c r="A204" i="4"/>
  <c r="AB203" i="4"/>
  <c r="F203" i="4"/>
  <c r="U199" i="4"/>
  <c r="A199" i="4"/>
  <c r="AF198" i="4"/>
  <c r="J198" i="4"/>
  <c r="U195" i="4"/>
  <c r="A195" i="4"/>
  <c r="AB193" i="4"/>
  <c r="T193" i="4"/>
  <c r="F193" i="4"/>
  <c r="A193" i="4"/>
  <c r="U190" i="4"/>
  <c r="A190" i="4"/>
  <c r="A174" i="4"/>
  <c r="AF161" i="4"/>
  <c r="S160" i="4"/>
  <c r="AF160" i="4"/>
  <c r="J159" i="4"/>
  <c r="AB159" i="4"/>
  <c r="AF159" i="4"/>
  <c r="D158" i="4"/>
  <c r="M158" i="4"/>
  <c r="V158" i="4"/>
  <c r="AF158" i="4"/>
  <c r="G157" i="4"/>
  <c r="P157" i="4"/>
  <c r="Y157" i="4"/>
  <c r="AE157" i="4"/>
  <c r="AF157" i="4"/>
  <c r="AF153" i="4"/>
  <c r="AG153" i="4"/>
  <c r="AF152" i="4"/>
  <c r="AG152" i="4"/>
  <c r="AF151" i="4"/>
  <c r="AG151" i="4"/>
  <c r="AF150" i="4"/>
  <c r="AG150" i="4"/>
  <c r="AF149" i="4"/>
  <c r="AG149" i="4"/>
  <c r="B147" i="4"/>
  <c r="B124" i="4"/>
  <c r="D124" i="4"/>
  <c r="B125" i="4"/>
  <c r="D125" i="4"/>
  <c r="B126" i="4"/>
  <c r="D126" i="4"/>
  <c r="B127" i="4"/>
  <c r="D127" i="4"/>
  <c r="B128" i="4"/>
  <c r="D128" i="4"/>
  <c r="B129" i="4"/>
  <c r="D147" i="4"/>
  <c r="E147" i="4"/>
  <c r="G147" i="4"/>
  <c r="H147" i="4"/>
  <c r="H124" i="4"/>
  <c r="J124" i="4"/>
  <c r="H125" i="4"/>
  <c r="J125" i="4"/>
  <c r="H126" i="4"/>
  <c r="J126" i="4"/>
  <c r="H127" i="4"/>
  <c r="J127" i="4"/>
  <c r="H128" i="4"/>
  <c r="J128" i="4"/>
  <c r="H129" i="4"/>
  <c r="J147" i="4"/>
  <c r="K147" i="4"/>
  <c r="M147" i="4"/>
  <c r="N147" i="4"/>
  <c r="P147" i="4"/>
  <c r="Q147" i="4"/>
  <c r="Q124" i="4"/>
  <c r="S124" i="4"/>
  <c r="Q125" i="4"/>
  <c r="S125" i="4"/>
  <c r="Q126" i="4"/>
  <c r="S126" i="4"/>
  <c r="Q127" i="4"/>
  <c r="S127" i="4"/>
  <c r="Q128" i="4"/>
  <c r="S128" i="4"/>
  <c r="Q129" i="4"/>
  <c r="S147" i="4"/>
  <c r="T147" i="4"/>
  <c r="V147" i="4"/>
  <c r="W147" i="4"/>
  <c r="W124" i="4"/>
  <c r="Y124" i="4"/>
  <c r="W125" i="4"/>
  <c r="Y125" i="4"/>
  <c r="W126" i="4"/>
  <c r="Y126" i="4"/>
  <c r="W127" i="4"/>
  <c r="Y127" i="4"/>
  <c r="W128" i="4"/>
  <c r="Y128" i="4"/>
  <c r="W129" i="4"/>
  <c r="Y147" i="4"/>
  <c r="Z147" i="4"/>
  <c r="AB147" i="4"/>
  <c r="AC147" i="4"/>
  <c r="AE147" i="4"/>
  <c r="AF147" i="4"/>
  <c r="B146" i="4"/>
  <c r="D146" i="4"/>
  <c r="E146" i="4"/>
  <c r="E124" i="4"/>
  <c r="G124" i="4"/>
  <c r="E125" i="4"/>
  <c r="G125" i="4"/>
  <c r="E126" i="4"/>
  <c r="G126" i="4"/>
  <c r="E127" i="4"/>
  <c r="G127" i="4"/>
  <c r="E128" i="4"/>
  <c r="G128" i="4"/>
  <c r="E129" i="4"/>
  <c r="G146" i="4"/>
  <c r="H146" i="4"/>
  <c r="J146" i="4"/>
  <c r="K146" i="4"/>
  <c r="K124" i="4"/>
  <c r="M124" i="4"/>
  <c r="K125" i="4"/>
  <c r="M125" i="4"/>
  <c r="K126" i="4"/>
  <c r="M126" i="4"/>
  <c r="K127" i="4"/>
  <c r="M127" i="4"/>
  <c r="K128" i="4"/>
  <c r="M128" i="4"/>
  <c r="K129" i="4"/>
  <c r="M146" i="4"/>
  <c r="N146" i="4"/>
  <c r="P146" i="4"/>
  <c r="Q146" i="4"/>
  <c r="S146" i="4"/>
  <c r="T146" i="4"/>
  <c r="V146" i="4"/>
  <c r="W146" i="4"/>
  <c r="Y146" i="4"/>
  <c r="Z146" i="4"/>
  <c r="Z124" i="4"/>
  <c r="AB124" i="4"/>
  <c r="Z125" i="4"/>
  <c r="AB125" i="4"/>
  <c r="Z126" i="4"/>
  <c r="AB126" i="4"/>
  <c r="Z127" i="4"/>
  <c r="AB127" i="4"/>
  <c r="Z128" i="4"/>
  <c r="AB128" i="4"/>
  <c r="Z129" i="4"/>
  <c r="AB146" i="4"/>
  <c r="AC146" i="4"/>
  <c r="AE146" i="4"/>
  <c r="AF146" i="4"/>
  <c r="B145" i="4"/>
  <c r="D145" i="4"/>
  <c r="E145" i="4"/>
  <c r="G145" i="4"/>
  <c r="H145" i="4"/>
  <c r="J145" i="4"/>
  <c r="K145" i="4"/>
  <c r="M145" i="4"/>
  <c r="N145" i="4"/>
  <c r="N124" i="4"/>
  <c r="P124" i="4"/>
  <c r="N125" i="4"/>
  <c r="P125" i="4"/>
  <c r="N126" i="4"/>
  <c r="P126" i="4"/>
  <c r="N127" i="4"/>
  <c r="P127" i="4"/>
  <c r="N128" i="4"/>
  <c r="P128" i="4"/>
  <c r="N129" i="4"/>
  <c r="P145" i="4"/>
  <c r="Q145" i="4"/>
  <c r="S145" i="4"/>
  <c r="T145" i="4"/>
  <c r="T124" i="4"/>
  <c r="V124" i="4"/>
  <c r="T125" i="4"/>
  <c r="V125" i="4"/>
  <c r="T126" i="4"/>
  <c r="V126" i="4"/>
  <c r="T127" i="4"/>
  <c r="V127" i="4"/>
  <c r="T128" i="4"/>
  <c r="V128" i="4"/>
  <c r="T129" i="4"/>
  <c r="V145" i="4"/>
  <c r="W145" i="4"/>
  <c r="Y145" i="4"/>
  <c r="Z145" i="4"/>
  <c r="AB145" i="4"/>
  <c r="AC145" i="4"/>
  <c r="AE145" i="4"/>
  <c r="AF145" i="4"/>
  <c r="B144" i="4"/>
  <c r="D144" i="4"/>
  <c r="E144" i="4"/>
  <c r="G144" i="4"/>
  <c r="H144" i="4"/>
  <c r="J144" i="4"/>
  <c r="K144" i="4"/>
  <c r="M144" i="4"/>
  <c r="N144" i="4"/>
  <c r="P144" i="4"/>
  <c r="Q144" i="4"/>
  <c r="S144" i="4"/>
  <c r="T144" i="4"/>
  <c r="V144" i="4"/>
  <c r="W144" i="4"/>
  <c r="Y144" i="4"/>
  <c r="Z144" i="4"/>
  <c r="AB144" i="4"/>
  <c r="AC144" i="4"/>
  <c r="AC124" i="4"/>
  <c r="AE124" i="4"/>
  <c r="AC125" i="4"/>
  <c r="AE125" i="4"/>
  <c r="AC126" i="4"/>
  <c r="AE126" i="4"/>
  <c r="AC127" i="4"/>
  <c r="AE127" i="4"/>
  <c r="AC128" i="4"/>
  <c r="AE128" i="4"/>
  <c r="AC129" i="4"/>
  <c r="AE144" i="4"/>
  <c r="AF144" i="4"/>
  <c r="B143" i="4"/>
  <c r="D143" i="4"/>
  <c r="E143" i="4"/>
  <c r="G143" i="4"/>
  <c r="H143" i="4"/>
  <c r="J143" i="4"/>
  <c r="K143" i="4"/>
  <c r="M143" i="4"/>
  <c r="N143" i="4"/>
  <c r="P143" i="4"/>
  <c r="Q143" i="4"/>
  <c r="S143" i="4"/>
  <c r="T143" i="4"/>
  <c r="V143" i="4"/>
  <c r="W143" i="4"/>
  <c r="Y143" i="4"/>
  <c r="Z143" i="4"/>
  <c r="AB143" i="4"/>
  <c r="AC143" i="4"/>
  <c r="AE143" i="4"/>
  <c r="AF143" i="4"/>
  <c r="B141" i="4"/>
  <c r="B122" i="4"/>
  <c r="D122" i="4"/>
  <c r="C122" i="4"/>
  <c r="D141" i="4"/>
  <c r="E141" i="4"/>
  <c r="G141" i="4"/>
  <c r="H141" i="4"/>
  <c r="H122" i="4"/>
  <c r="J122" i="4"/>
  <c r="I122" i="4"/>
  <c r="J141" i="4"/>
  <c r="K141" i="4"/>
  <c r="M141" i="4"/>
  <c r="N141" i="4"/>
  <c r="P141" i="4"/>
  <c r="Q141" i="4"/>
  <c r="Q122" i="4"/>
  <c r="S122" i="4"/>
  <c r="R122" i="4"/>
  <c r="S141" i="4"/>
  <c r="T141" i="4"/>
  <c r="V141" i="4"/>
  <c r="W141" i="4"/>
  <c r="W122" i="4"/>
  <c r="Y122" i="4"/>
  <c r="X122" i="4"/>
  <c r="Y141" i="4"/>
  <c r="Z141" i="4"/>
  <c r="AB141" i="4"/>
  <c r="AC141" i="4"/>
  <c r="AE141" i="4"/>
  <c r="AF141" i="4"/>
  <c r="B140" i="4"/>
  <c r="D140" i="4"/>
  <c r="E140" i="4"/>
  <c r="E122" i="4"/>
  <c r="G122" i="4"/>
  <c r="F122" i="4"/>
  <c r="G140" i="4"/>
  <c r="H140" i="4"/>
  <c r="J140" i="4"/>
  <c r="K140" i="4"/>
  <c r="K122" i="4"/>
  <c r="M122" i="4"/>
  <c r="L122" i="4"/>
  <c r="M140" i="4"/>
  <c r="N140" i="4"/>
  <c r="P140" i="4"/>
  <c r="Q140" i="4"/>
  <c r="S140" i="4"/>
  <c r="T140" i="4"/>
  <c r="V140" i="4"/>
  <c r="W140" i="4"/>
  <c r="Y140" i="4"/>
  <c r="Z140" i="4"/>
  <c r="Z122" i="4"/>
  <c r="AB122" i="4"/>
  <c r="AA122" i="4"/>
  <c r="AB140" i="4"/>
  <c r="AC140" i="4"/>
  <c r="AE140" i="4"/>
  <c r="AF140" i="4"/>
  <c r="B139" i="4"/>
  <c r="D139" i="4"/>
  <c r="E139" i="4"/>
  <c r="G139" i="4"/>
  <c r="H139" i="4"/>
  <c r="J139" i="4"/>
  <c r="K139" i="4"/>
  <c r="M139" i="4"/>
  <c r="N139" i="4"/>
  <c r="N122" i="4"/>
  <c r="P122" i="4"/>
  <c r="O122" i="4"/>
  <c r="P139" i="4"/>
  <c r="Q139" i="4"/>
  <c r="S139" i="4"/>
  <c r="T139" i="4"/>
  <c r="T122" i="4"/>
  <c r="V122" i="4"/>
  <c r="U122" i="4"/>
  <c r="V139" i="4"/>
  <c r="W139" i="4"/>
  <c r="Y139" i="4"/>
  <c r="Z139" i="4"/>
  <c r="AB139" i="4"/>
  <c r="AC139" i="4"/>
  <c r="AE139" i="4"/>
  <c r="AF139" i="4"/>
  <c r="B138" i="4"/>
  <c r="D138" i="4"/>
  <c r="E138" i="4"/>
  <c r="G138" i="4"/>
  <c r="H138" i="4"/>
  <c r="J138" i="4"/>
  <c r="K138" i="4"/>
  <c r="M138" i="4"/>
  <c r="N138" i="4"/>
  <c r="P138" i="4"/>
  <c r="Q138" i="4"/>
  <c r="S138" i="4"/>
  <c r="T138" i="4"/>
  <c r="V138" i="4"/>
  <c r="W138" i="4"/>
  <c r="Y138" i="4"/>
  <c r="Z138" i="4"/>
  <c r="AB138" i="4"/>
  <c r="AC138" i="4"/>
  <c r="AC122" i="4"/>
  <c r="AE122" i="4"/>
  <c r="AD122" i="4"/>
  <c r="AE138" i="4"/>
  <c r="AF138" i="4"/>
  <c r="B137" i="4"/>
  <c r="D137" i="4"/>
  <c r="E137" i="4"/>
  <c r="G137" i="4"/>
  <c r="H137" i="4"/>
  <c r="J137" i="4"/>
  <c r="K137" i="4"/>
  <c r="M137" i="4"/>
  <c r="N137" i="4"/>
  <c r="P137" i="4"/>
  <c r="Q137" i="4"/>
  <c r="S137" i="4"/>
  <c r="T137" i="4"/>
  <c r="V137" i="4"/>
  <c r="W137" i="4"/>
  <c r="Y137" i="4"/>
  <c r="Z137" i="4"/>
  <c r="AB137" i="4"/>
  <c r="AC137" i="4"/>
  <c r="AE137" i="4"/>
  <c r="AF137" i="4"/>
  <c r="B135" i="4"/>
  <c r="D135" i="4"/>
  <c r="E135" i="4"/>
  <c r="G135" i="4"/>
  <c r="H135" i="4"/>
  <c r="J135" i="4"/>
  <c r="K135" i="4"/>
  <c r="M135" i="4"/>
  <c r="N135" i="4"/>
  <c r="P135" i="4"/>
  <c r="Q135" i="4"/>
  <c r="S135" i="4"/>
  <c r="T135" i="4"/>
  <c r="V135" i="4"/>
  <c r="W135" i="4"/>
  <c r="Y135" i="4"/>
  <c r="Z135" i="4"/>
  <c r="AB135" i="4"/>
  <c r="AC135" i="4"/>
  <c r="AE135" i="4"/>
  <c r="AF135" i="4"/>
  <c r="AG135" i="4"/>
  <c r="B134" i="4"/>
  <c r="D134" i="4"/>
  <c r="E134" i="4"/>
  <c r="G134" i="4"/>
  <c r="H134" i="4"/>
  <c r="J134" i="4"/>
  <c r="K134" i="4"/>
  <c r="M134" i="4"/>
  <c r="N134" i="4"/>
  <c r="P134" i="4"/>
  <c r="Q134" i="4"/>
  <c r="S134" i="4"/>
  <c r="T134" i="4"/>
  <c r="V134" i="4"/>
  <c r="W134" i="4"/>
  <c r="Y134" i="4"/>
  <c r="Z134" i="4"/>
  <c r="AB134" i="4"/>
  <c r="AC134" i="4"/>
  <c r="AE134" i="4"/>
  <c r="AF134" i="4"/>
  <c r="AG134" i="4"/>
  <c r="B133" i="4"/>
  <c r="D133" i="4"/>
  <c r="E133" i="4"/>
  <c r="G133" i="4"/>
  <c r="H133" i="4"/>
  <c r="J133" i="4"/>
  <c r="K133" i="4"/>
  <c r="M133" i="4"/>
  <c r="N133" i="4"/>
  <c r="P133" i="4"/>
  <c r="Q133" i="4"/>
  <c r="S133" i="4"/>
  <c r="T133" i="4"/>
  <c r="V133" i="4"/>
  <c r="W133" i="4"/>
  <c r="Y133" i="4"/>
  <c r="Z133" i="4"/>
  <c r="AB133" i="4"/>
  <c r="AC133" i="4"/>
  <c r="AE133" i="4"/>
  <c r="AF133" i="4"/>
  <c r="AG133" i="4"/>
  <c r="B132" i="4"/>
  <c r="D132" i="4"/>
  <c r="E132" i="4"/>
  <c r="G132" i="4"/>
  <c r="H132" i="4"/>
  <c r="J132" i="4"/>
  <c r="K132" i="4"/>
  <c r="M132" i="4"/>
  <c r="N132" i="4"/>
  <c r="P132" i="4"/>
  <c r="Q132" i="4"/>
  <c r="S132" i="4"/>
  <c r="T132" i="4"/>
  <c r="V132" i="4"/>
  <c r="W132" i="4"/>
  <c r="Y132" i="4"/>
  <c r="Z132" i="4"/>
  <c r="AB132" i="4"/>
  <c r="AC132" i="4"/>
  <c r="AE132" i="4"/>
  <c r="AF132" i="4"/>
  <c r="AG132" i="4"/>
  <c r="B131" i="4"/>
  <c r="D131" i="4"/>
  <c r="E131" i="4"/>
  <c r="G131" i="4"/>
  <c r="H131" i="4"/>
  <c r="J131" i="4"/>
  <c r="K131" i="4"/>
  <c r="M131" i="4"/>
  <c r="N131" i="4"/>
  <c r="P131" i="4"/>
  <c r="Q131" i="4"/>
  <c r="S131" i="4"/>
  <c r="T131" i="4"/>
  <c r="V131" i="4"/>
  <c r="W131" i="4"/>
  <c r="Y131" i="4"/>
  <c r="Z131" i="4"/>
  <c r="AB131" i="4"/>
  <c r="AC131" i="4"/>
  <c r="AE131" i="4"/>
  <c r="AF131" i="4"/>
  <c r="AG131" i="4"/>
  <c r="AE115" i="4"/>
  <c r="AC115" i="4"/>
  <c r="AB115" i="4"/>
  <c r="Z115" i="4"/>
  <c r="Y115" i="4"/>
  <c r="W115" i="4"/>
  <c r="V115" i="4"/>
  <c r="T115" i="4"/>
  <c r="S115" i="4"/>
  <c r="Q115" i="4"/>
  <c r="P115" i="4"/>
  <c r="N115" i="4"/>
  <c r="M115" i="4"/>
  <c r="K115" i="4"/>
  <c r="J115" i="4"/>
  <c r="H115" i="4"/>
  <c r="G115" i="4"/>
  <c r="E115" i="4"/>
  <c r="D115" i="4"/>
  <c r="B115" i="4"/>
  <c r="AD114" i="4"/>
  <c r="AA114" i="4"/>
  <c r="X114" i="4"/>
  <c r="U114" i="4"/>
  <c r="R114" i="4"/>
  <c r="O114" i="4"/>
  <c r="L114" i="4"/>
  <c r="I114" i="4"/>
  <c r="F114" i="4"/>
  <c r="A114" i="4"/>
  <c r="AG113" i="4"/>
  <c r="AH113" i="4"/>
  <c r="AI113" i="4"/>
  <c r="AJ113" i="4"/>
  <c r="AK113" i="4"/>
  <c r="AL113" i="4"/>
  <c r="AM113" i="4"/>
  <c r="AN113" i="4"/>
  <c r="AO113" i="4"/>
  <c r="AP113" i="4"/>
  <c r="AQ113" i="4"/>
  <c r="AF113" i="4"/>
  <c r="AD113" i="4"/>
  <c r="AA113" i="4"/>
  <c r="X113" i="4"/>
  <c r="U113" i="4"/>
  <c r="R113" i="4"/>
  <c r="O113" i="4"/>
  <c r="L113" i="4"/>
  <c r="I113" i="4"/>
  <c r="F113" i="4"/>
  <c r="A113" i="4"/>
  <c r="AG112" i="4"/>
  <c r="AH112" i="4"/>
  <c r="AI112" i="4"/>
  <c r="AJ112" i="4"/>
  <c r="AK112" i="4"/>
  <c r="AL112" i="4"/>
  <c r="AM112" i="4"/>
  <c r="AN112" i="4"/>
  <c r="AO112" i="4"/>
  <c r="AP112" i="4"/>
  <c r="AQ112" i="4"/>
  <c r="AF112" i="4"/>
  <c r="AD112" i="4"/>
  <c r="AA112" i="4"/>
  <c r="X112" i="4"/>
  <c r="U112" i="4"/>
  <c r="R112" i="4"/>
  <c r="O112" i="4"/>
  <c r="L112" i="4"/>
  <c r="I112" i="4"/>
  <c r="F112" i="4"/>
  <c r="A112" i="4"/>
  <c r="AG111" i="4"/>
  <c r="AH111" i="4"/>
  <c r="AI111" i="4"/>
  <c r="AJ111" i="4"/>
  <c r="AK111" i="4"/>
  <c r="AL111" i="4"/>
  <c r="AM111" i="4"/>
  <c r="AN111" i="4"/>
  <c r="AO111" i="4"/>
  <c r="AP111" i="4"/>
  <c r="AQ111" i="4"/>
  <c r="AF111" i="4"/>
  <c r="AD111" i="4"/>
  <c r="AA111" i="4"/>
  <c r="X111" i="4"/>
  <c r="U111" i="4"/>
  <c r="R111" i="4"/>
  <c r="O111" i="4"/>
  <c r="L111" i="4"/>
  <c r="I111" i="4"/>
  <c r="F111" i="4"/>
  <c r="A111" i="4"/>
  <c r="AG110" i="4"/>
  <c r="AH110" i="4"/>
  <c r="AI110" i="4"/>
  <c r="AJ110" i="4"/>
  <c r="AK110" i="4"/>
  <c r="AL110" i="4"/>
  <c r="AM110" i="4"/>
  <c r="AN110" i="4"/>
  <c r="AO110" i="4"/>
  <c r="AP110" i="4"/>
  <c r="AQ110" i="4"/>
  <c r="AF110" i="4"/>
  <c r="AD110" i="4"/>
  <c r="AA110" i="4"/>
  <c r="X110" i="4"/>
  <c r="U110" i="4"/>
  <c r="R110" i="4"/>
  <c r="O110" i="4"/>
  <c r="L110" i="4"/>
  <c r="I110" i="4"/>
  <c r="F110" i="4"/>
  <c r="AG109" i="4"/>
  <c r="AH109" i="4"/>
  <c r="AI109" i="4"/>
  <c r="AJ109" i="4"/>
  <c r="AK109" i="4"/>
  <c r="AL109" i="4"/>
  <c r="AM109" i="4"/>
  <c r="AN109" i="4"/>
  <c r="AO109" i="4"/>
  <c r="AP109" i="4"/>
  <c r="AQ109" i="4"/>
  <c r="AF109" i="4"/>
  <c r="AD109" i="4"/>
  <c r="AA109" i="4"/>
  <c r="X109" i="4"/>
  <c r="U109" i="4"/>
  <c r="R109" i="4"/>
  <c r="O109" i="4"/>
  <c r="L109" i="4"/>
  <c r="I109" i="4"/>
  <c r="F109" i="4"/>
  <c r="AC107" i="4"/>
  <c r="Z107" i="4"/>
  <c r="W107" i="4"/>
  <c r="T107" i="4"/>
  <c r="Q107" i="4"/>
  <c r="N107" i="4"/>
  <c r="K107" i="4"/>
  <c r="H107" i="4"/>
  <c r="E107" i="4"/>
  <c r="AC101" i="4"/>
  <c r="Z101" i="4"/>
  <c r="W101" i="4"/>
  <c r="R101" i="4"/>
  <c r="L101" i="4"/>
  <c r="A101" i="4"/>
  <c r="AC99" i="4"/>
  <c r="Z99" i="4"/>
  <c r="W99" i="4"/>
  <c r="R99" i="4"/>
  <c r="L99" i="4"/>
  <c r="A99" i="4"/>
  <c r="AC97" i="4"/>
  <c r="Z97" i="4"/>
  <c r="W97" i="4"/>
  <c r="R97" i="4"/>
  <c r="L97" i="4"/>
  <c r="A97" i="4"/>
  <c r="E96" i="4"/>
  <c r="AC95" i="4"/>
  <c r="Z95" i="4"/>
  <c r="W95" i="4"/>
  <c r="R95" i="4"/>
  <c r="L95" i="4"/>
  <c r="A95" i="4"/>
  <c r="AC93" i="4"/>
  <c r="Z93" i="4"/>
  <c r="W93" i="4"/>
  <c r="R93" i="4"/>
  <c r="L93" i="4"/>
  <c r="A93" i="4"/>
  <c r="R92" i="4"/>
  <c r="L92" i="4"/>
  <c r="K91" i="4"/>
  <c r="A89" i="4"/>
  <c r="AF76" i="4"/>
  <c r="S75" i="4"/>
  <c r="AF75" i="4"/>
  <c r="J74" i="4"/>
  <c r="AB74" i="4"/>
  <c r="AF74" i="4"/>
  <c r="D73" i="4"/>
  <c r="M73" i="4"/>
  <c r="V73" i="4"/>
  <c r="AF73" i="4"/>
  <c r="G72" i="4"/>
  <c r="P72" i="4"/>
  <c r="Y72" i="4"/>
  <c r="AE72" i="4"/>
  <c r="AF72" i="4"/>
  <c r="AF68" i="4"/>
  <c r="AG68" i="4"/>
  <c r="AF67" i="4"/>
  <c r="AG67" i="4"/>
  <c r="AF66" i="4"/>
  <c r="AG66" i="4"/>
  <c r="AF65" i="4"/>
  <c r="AG65" i="4"/>
  <c r="AF64" i="4"/>
  <c r="AG64" i="4"/>
  <c r="B62" i="4"/>
  <c r="B39" i="4"/>
  <c r="D39" i="4"/>
  <c r="B40" i="4"/>
  <c r="D40" i="4"/>
  <c r="B41" i="4"/>
  <c r="D41" i="4"/>
  <c r="B42" i="4"/>
  <c r="D42" i="4"/>
  <c r="B43" i="4"/>
  <c r="D43" i="4"/>
  <c r="B44" i="4"/>
  <c r="D62" i="4"/>
  <c r="E62" i="4"/>
  <c r="G62" i="4"/>
  <c r="H62" i="4"/>
  <c r="H39" i="4"/>
  <c r="J39" i="4"/>
  <c r="H40" i="4"/>
  <c r="J40" i="4"/>
  <c r="H41" i="4"/>
  <c r="J41" i="4"/>
  <c r="H42" i="4"/>
  <c r="J42" i="4"/>
  <c r="H43" i="4"/>
  <c r="J43" i="4"/>
  <c r="H44" i="4"/>
  <c r="J62" i="4"/>
  <c r="K62" i="4"/>
  <c r="M62" i="4"/>
  <c r="N62" i="4"/>
  <c r="P62" i="4"/>
  <c r="Q62" i="4"/>
  <c r="Q39" i="4"/>
  <c r="S39" i="4"/>
  <c r="Q40" i="4"/>
  <c r="S40" i="4"/>
  <c r="Q41" i="4"/>
  <c r="S41" i="4"/>
  <c r="Q42" i="4"/>
  <c r="S42" i="4"/>
  <c r="Q43" i="4"/>
  <c r="S43" i="4"/>
  <c r="Q44" i="4"/>
  <c r="S62" i="4"/>
  <c r="T62" i="4"/>
  <c r="V62" i="4"/>
  <c r="W62" i="4"/>
  <c r="W39" i="4"/>
  <c r="Y39" i="4"/>
  <c r="W40" i="4"/>
  <c r="Y40" i="4"/>
  <c r="W41" i="4"/>
  <c r="Y41" i="4"/>
  <c r="W42" i="4"/>
  <c r="Y42" i="4"/>
  <c r="W43" i="4"/>
  <c r="Y43" i="4"/>
  <c r="W44" i="4"/>
  <c r="Y62" i="4"/>
  <c r="Z62" i="4"/>
  <c r="AB62" i="4"/>
  <c r="AC62" i="4"/>
  <c r="AE62" i="4"/>
  <c r="AF62" i="4"/>
  <c r="B61" i="4"/>
  <c r="D61" i="4"/>
  <c r="E61" i="4"/>
  <c r="E39" i="4"/>
  <c r="G39" i="4"/>
  <c r="E40" i="4"/>
  <c r="G40" i="4"/>
  <c r="E41" i="4"/>
  <c r="G41" i="4"/>
  <c r="E42" i="4"/>
  <c r="G42" i="4"/>
  <c r="E43" i="4"/>
  <c r="G43" i="4"/>
  <c r="E44" i="4"/>
  <c r="G61" i="4"/>
  <c r="H61" i="4"/>
  <c r="J61" i="4"/>
  <c r="K61" i="4"/>
  <c r="K39" i="4"/>
  <c r="M39" i="4"/>
  <c r="K40" i="4"/>
  <c r="M40" i="4"/>
  <c r="K41" i="4"/>
  <c r="M41" i="4"/>
  <c r="K42" i="4"/>
  <c r="M42" i="4"/>
  <c r="K43" i="4"/>
  <c r="M43" i="4"/>
  <c r="K44" i="4"/>
  <c r="M61" i="4"/>
  <c r="N61" i="4"/>
  <c r="P61" i="4"/>
  <c r="Q61" i="4"/>
  <c r="S61" i="4"/>
  <c r="T61" i="4"/>
  <c r="V61" i="4"/>
  <c r="W61" i="4"/>
  <c r="Y61" i="4"/>
  <c r="Z61" i="4"/>
  <c r="Z39" i="4"/>
  <c r="AB39" i="4"/>
  <c r="Z40" i="4"/>
  <c r="AB40" i="4"/>
  <c r="Z41" i="4"/>
  <c r="AB41" i="4"/>
  <c r="Z42" i="4"/>
  <c r="AB42" i="4"/>
  <c r="Z43" i="4"/>
  <c r="AB43" i="4"/>
  <c r="Z44" i="4"/>
  <c r="AB61" i="4"/>
  <c r="AC61" i="4"/>
  <c r="AE61" i="4"/>
  <c r="AF61" i="4"/>
  <c r="B60" i="4"/>
  <c r="D60" i="4"/>
  <c r="E60" i="4"/>
  <c r="G60" i="4"/>
  <c r="H60" i="4"/>
  <c r="J60" i="4"/>
  <c r="K60" i="4"/>
  <c r="M60" i="4"/>
  <c r="N60" i="4"/>
  <c r="N39" i="4"/>
  <c r="P39" i="4"/>
  <c r="N40" i="4"/>
  <c r="P40" i="4"/>
  <c r="N41" i="4"/>
  <c r="P41" i="4"/>
  <c r="N42" i="4"/>
  <c r="P42" i="4"/>
  <c r="N43" i="4"/>
  <c r="P43" i="4"/>
  <c r="N44" i="4"/>
  <c r="P60" i="4"/>
  <c r="Q60" i="4"/>
  <c r="S60" i="4"/>
  <c r="T60" i="4"/>
  <c r="T39" i="4"/>
  <c r="V39" i="4"/>
  <c r="T40" i="4"/>
  <c r="V40" i="4"/>
  <c r="T41" i="4"/>
  <c r="V41" i="4"/>
  <c r="T42" i="4"/>
  <c r="V42" i="4"/>
  <c r="T43" i="4"/>
  <c r="V43" i="4"/>
  <c r="T44" i="4"/>
  <c r="V60" i="4"/>
  <c r="W60" i="4"/>
  <c r="Y60" i="4"/>
  <c r="Z60" i="4"/>
  <c r="AB60" i="4"/>
  <c r="AC60" i="4"/>
  <c r="AE60" i="4"/>
  <c r="AF60" i="4"/>
  <c r="B59" i="4"/>
  <c r="D59" i="4"/>
  <c r="E59" i="4"/>
  <c r="G59" i="4"/>
  <c r="H59" i="4"/>
  <c r="J59" i="4"/>
  <c r="K59" i="4"/>
  <c r="M59" i="4"/>
  <c r="N59" i="4"/>
  <c r="P59" i="4"/>
  <c r="Q59" i="4"/>
  <c r="S59" i="4"/>
  <c r="T59" i="4"/>
  <c r="V59" i="4"/>
  <c r="W59" i="4"/>
  <c r="Y59" i="4"/>
  <c r="Z59" i="4"/>
  <c r="AB59" i="4"/>
  <c r="AC59" i="4"/>
  <c r="AC39" i="4"/>
  <c r="AE39" i="4"/>
  <c r="AC40" i="4"/>
  <c r="AE40" i="4"/>
  <c r="AC41" i="4"/>
  <c r="AE41" i="4"/>
  <c r="AC42" i="4"/>
  <c r="AE42" i="4"/>
  <c r="AC43" i="4"/>
  <c r="AE43" i="4"/>
  <c r="AC44" i="4"/>
  <c r="AE59" i="4"/>
  <c r="AF59" i="4"/>
  <c r="B58" i="4"/>
  <c r="D58" i="4"/>
  <c r="E58" i="4"/>
  <c r="G58" i="4"/>
  <c r="H58" i="4"/>
  <c r="J58" i="4"/>
  <c r="K58" i="4"/>
  <c r="M58" i="4"/>
  <c r="N58" i="4"/>
  <c r="P58" i="4"/>
  <c r="Q58" i="4"/>
  <c r="S58" i="4"/>
  <c r="T58" i="4"/>
  <c r="V58" i="4"/>
  <c r="W58" i="4"/>
  <c r="Y58" i="4"/>
  <c r="Z58" i="4"/>
  <c r="AB58" i="4"/>
  <c r="AC58" i="4"/>
  <c r="AE58" i="4"/>
  <c r="AF58" i="4"/>
  <c r="B56" i="4"/>
  <c r="B37" i="4"/>
  <c r="D37" i="4"/>
  <c r="C37" i="4"/>
  <c r="D56" i="4"/>
  <c r="E56" i="4"/>
  <c r="G56" i="4"/>
  <c r="H56" i="4"/>
  <c r="H37" i="4"/>
  <c r="J37" i="4"/>
  <c r="I37" i="4"/>
  <c r="J56" i="4"/>
  <c r="K56" i="4"/>
  <c r="M56" i="4"/>
  <c r="N56" i="4"/>
  <c r="P56" i="4"/>
  <c r="Q56" i="4"/>
  <c r="Q37" i="4"/>
  <c r="S37" i="4"/>
  <c r="R37" i="4"/>
  <c r="S56" i="4"/>
  <c r="T56" i="4"/>
  <c r="V56" i="4"/>
  <c r="W56" i="4"/>
  <c r="W37" i="4"/>
  <c r="Y37" i="4"/>
  <c r="X37" i="4"/>
  <c r="Y56" i="4"/>
  <c r="Z56" i="4"/>
  <c r="AB56" i="4"/>
  <c r="AC56" i="4"/>
  <c r="AE56" i="4"/>
  <c r="AF56" i="4"/>
  <c r="B55" i="4"/>
  <c r="D55" i="4"/>
  <c r="E55" i="4"/>
  <c r="E37" i="4"/>
  <c r="G37" i="4"/>
  <c r="F37" i="4"/>
  <c r="G55" i="4"/>
  <c r="H55" i="4"/>
  <c r="J55" i="4"/>
  <c r="K55" i="4"/>
  <c r="K37" i="4"/>
  <c r="M37" i="4"/>
  <c r="L37" i="4"/>
  <c r="M55" i="4"/>
  <c r="N55" i="4"/>
  <c r="P55" i="4"/>
  <c r="Q55" i="4"/>
  <c r="S55" i="4"/>
  <c r="T55" i="4"/>
  <c r="V55" i="4"/>
  <c r="W55" i="4"/>
  <c r="Y55" i="4"/>
  <c r="Z55" i="4"/>
  <c r="Z37" i="4"/>
  <c r="AB37" i="4"/>
  <c r="AA37" i="4"/>
  <c r="AB55" i="4"/>
  <c r="AC55" i="4"/>
  <c r="AE55" i="4"/>
  <c r="AF55" i="4"/>
  <c r="B54" i="4"/>
  <c r="D54" i="4"/>
  <c r="E54" i="4"/>
  <c r="G54" i="4"/>
  <c r="H54" i="4"/>
  <c r="J54" i="4"/>
  <c r="K54" i="4"/>
  <c r="M54" i="4"/>
  <c r="N54" i="4"/>
  <c r="N37" i="4"/>
  <c r="P37" i="4"/>
  <c r="O37" i="4"/>
  <c r="P54" i="4"/>
  <c r="Q54" i="4"/>
  <c r="S54" i="4"/>
  <c r="T54" i="4"/>
  <c r="T37" i="4"/>
  <c r="V37" i="4"/>
  <c r="U37" i="4"/>
  <c r="V54" i="4"/>
  <c r="W54" i="4"/>
  <c r="Y54" i="4"/>
  <c r="Z54" i="4"/>
  <c r="AB54" i="4"/>
  <c r="AC54" i="4"/>
  <c r="AE54" i="4"/>
  <c r="AF54" i="4"/>
  <c r="B53" i="4"/>
  <c r="D53" i="4"/>
  <c r="E53" i="4"/>
  <c r="G53" i="4"/>
  <c r="H53" i="4"/>
  <c r="J53" i="4"/>
  <c r="K53" i="4"/>
  <c r="M53" i="4"/>
  <c r="N53" i="4"/>
  <c r="P53" i="4"/>
  <c r="Q53" i="4"/>
  <c r="S53" i="4"/>
  <c r="T53" i="4"/>
  <c r="V53" i="4"/>
  <c r="W53" i="4"/>
  <c r="Y53" i="4"/>
  <c r="Z53" i="4"/>
  <c r="AB53" i="4"/>
  <c r="AC53" i="4"/>
  <c r="AC37" i="4"/>
  <c r="AE37" i="4"/>
  <c r="AD37" i="4"/>
  <c r="AE53" i="4"/>
  <c r="AF53" i="4"/>
  <c r="B52" i="4"/>
  <c r="D52" i="4"/>
  <c r="E52" i="4"/>
  <c r="G52" i="4"/>
  <c r="H52" i="4"/>
  <c r="J52" i="4"/>
  <c r="K52" i="4"/>
  <c r="M52" i="4"/>
  <c r="N52" i="4"/>
  <c r="P52" i="4"/>
  <c r="Q52" i="4"/>
  <c r="S52" i="4"/>
  <c r="T52" i="4"/>
  <c r="V52" i="4"/>
  <c r="W52" i="4"/>
  <c r="Y52" i="4"/>
  <c r="Z52" i="4"/>
  <c r="AB52" i="4"/>
  <c r="AC52" i="4"/>
  <c r="AE52" i="4"/>
  <c r="AF52" i="4"/>
  <c r="B50" i="4"/>
  <c r="D50" i="4"/>
  <c r="E50" i="4"/>
  <c r="G50" i="4"/>
  <c r="H50" i="4"/>
  <c r="J50" i="4"/>
  <c r="K50" i="4"/>
  <c r="M50" i="4"/>
  <c r="N50" i="4"/>
  <c r="P50" i="4"/>
  <c r="Q50" i="4"/>
  <c r="S50" i="4"/>
  <c r="T50" i="4"/>
  <c r="V50" i="4"/>
  <c r="W50" i="4"/>
  <c r="Y50" i="4"/>
  <c r="Z50" i="4"/>
  <c r="AB50" i="4"/>
  <c r="AC50" i="4"/>
  <c r="AE50" i="4"/>
  <c r="AF50" i="4"/>
  <c r="AG50" i="4"/>
  <c r="B49" i="4"/>
  <c r="D49" i="4"/>
  <c r="E49" i="4"/>
  <c r="G49" i="4"/>
  <c r="H49" i="4"/>
  <c r="J49" i="4"/>
  <c r="K49" i="4"/>
  <c r="M49" i="4"/>
  <c r="N49" i="4"/>
  <c r="P49" i="4"/>
  <c r="Q49" i="4"/>
  <c r="S49" i="4"/>
  <c r="T49" i="4"/>
  <c r="V49" i="4"/>
  <c r="W49" i="4"/>
  <c r="Y49" i="4"/>
  <c r="Z49" i="4"/>
  <c r="AB49" i="4"/>
  <c r="AC49" i="4"/>
  <c r="AE49" i="4"/>
  <c r="AF49" i="4"/>
  <c r="AG49" i="4"/>
  <c r="B48" i="4"/>
  <c r="D48" i="4"/>
  <c r="E48" i="4"/>
  <c r="G48" i="4"/>
  <c r="H48" i="4"/>
  <c r="J48" i="4"/>
  <c r="K48" i="4"/>
  <c r="M48" i="4"/>
  <c r="N48" i="4"/>
  <c r="P48" i="4"/>
  <c r="Q48" i="4"/>
  <c r="S48" i="4"/>
  <c r="T48" i="4"/>
  <c r="V48" i="4"/>
  <c r="W48" i="4"/>
  <c r="Y48" i="4"/>
  <c r="Z48" i="4"/>
  <c r="AB48" i="4"/>
  <c r="AC48" i="4"/>
  <c r="AE48" i="4"/>
  <c r="AF48" i="4"/>
  <c r="AG48" i="4"/>
  <c r="B47" i="4"/>
  <c r="D47" i="4"/>
  <c r="E47" i="4"/>
  <c r="G47" i="4"/>
  <c r="H47" i="4"/>
  <c r="J47" i="4"/>
  <c r="K47" i="4"/>
  <c r="M47" i="4"/>
  <c r="N47" i="4"/>
  <c r="P47" i="4"/>
  <c r="Q47" i="4"/>
  <c r="S47" i="4"/>
  <c r="T47" i="4"/>
  <c r="V47" i="4"/>
  <c r="W47" i="4"/>
  <c r="Y47" i="4"/>
  <c r="Z47" i="4"/>
  <c r="AB47" i="4"/>
  <c r="AC47" i="4"/>
  <c r="AE47" i="4"/>
  <c r="AF47" i="4"/>
  <c r="AG47" i="4"/>
  <c r="B46" i="4"/>
  <c r="D46" i="4"/>
  <c r="E46" i="4"/>
  <c r="G46" i="4"/>
  <c r="H46" i="4"/>
  <c r="J46" i="4"/>
  <c r="K46" i="4"/>
  <c r="M46" i="4"/>
  <c r="N46" i="4"/>
  <c r="P46" i="4"/>
  <c r="Q46" i="4"/>
  <c r="S46" i="4"/>
  <c r="T46" i="4"/>
  <c r="V46" i="4"/>
  <c r="W46" i="4"/>
  <c r="Y46" i="4"/>
  <c r="Z46" i="4"/>
  <c r="AB46" i="4"/>
  <c r="AC46" i="4"/>
  <c r="AE46" i="4"/>
  <c r="AF46" i="4"/>
  <c r="AG46" i="4"/>
  <c r="AE30" i="4"/>
  <c r="AC30" i="4"/>
  <c r="AB30" i="4"/>
  <c r="Z30" i="4"/>
  <c r="Y30" i="4"/>
  <c r="W30" i="4"/>
  <c r="V30" i="4"/>
  <c r="T30" i="4"/>
  <c r="S30" i="4"/>
  <c r="Q30" i="4"/>
  <c r="P30" i="4"/>
  <c r="N30" i="4"/>
  <c r="M30" i="4"/>
  <c r="K30" i="4"/>
  <c r="J30" i="4"/>
  <c r="H30" i="4"/>
  <c r="G30" i="4"/>
  <c r="E30" i="4"/>
  <c r="D30" i="4"/>
  <c r="B30" i="4"/>
  <c r="AD29" i="4"/>
  <c r="AA29" i="4"/>
  <c r="X29" i="4"/>
  <c r="U29" i="4"/>
  <c r="R29" i="4"/>
  <c r="O29" i="4"/>
  <c r="L29" i="4"/>
  <c r="I29" i="4"/>
  <c r="F29" i="4"/>
  <c r="A29" i="4"/>
  <c r="AG28" i="4"/>
  <c r="AH28" i="4"/>
  <c r="AI28" i="4"/>
  <c r="AJ28" i="4"/>
  <c r="AK28" i="4"/>
  <c r="AL28" i="4"/>
  <c r="AM28" i="4"/>
  <c r="AN28" i="4"/>
  <c r="AO28" i="4"/>
  <c r="AP28" i="4"/>
  <c r="AQ28" i="4"/>
  <c r="AF28" i="4"/>
  <c r="AD28" i="4"/>
  <c r="AA28" i="4"/>
  <c r="X28" i="4"/>
  <c r="U28" i="4"/>
  <c r="R28" i="4"/>
  <c r="O28" i="4"/>
  <c r="L28" i="4"/>
  <c r="I28" i="4"/>
  <c r="F28" i="4"/>
  <c r="A28" i="4"/>
  <c r="AG27" i="4"/>
  <c r="AH27" i="4"/>
  <c r="AI27" i="4"/>
  <c r="AJ27" i="4"/>
  <c r="AK27" i="4"/>
  <c r="AL27" i="4"/>
  <c r="AM27" i="4"/>
  <c r="AN27" i="4"/>
  <c r="AO27" i="4"/>
  <c r="AP27" i="4"/>
  <c r="AQ27" i="4"/>
  <c r="AF27" i="4"/>
  <c r="AD27" i="4"/>
  <c r="AA27" i="4"/>
  <c r="X27" i="4"/>
  <c r="U27" i="4"/>
  <c r="R27" i="4"/>
  <c r="O27" i="4"/>
  <c r="L27" i="4"/>
  <c r="I27" i="4"/>
  <c r="F27" i="4"/>
  <c r="A27" i="4"/>
  <c r="AG26" i="4"/>
  <c r="AH26" i="4"/>
  <c r="AI26" i="4"/>
  <c r="AJ26" i="4"/>
  <c r="AK26" i="4"/>
  <c r="AL26" i="4"/>
  <c r="AM26" i="4"/>
  <c r="AN26" i="4"/>
  <c r="AO26" i="4"/>
  <c r="AP26" i="4"/>
  <c r="AQ26" i="4"/>
  <c r="AF26" i="4"/>
  <c r="AD26" i="4"/>
  <c r="AA26" i="4"/>
  <c r="X26" i="4"/>
  <c r="U26" i="4"/>
  <c r="R26" i="4"/>
  <c r="O26" i="4"/>
  <c r="L26" i="4"/>
  <c r="I26" i="4"/>
  <c r="F26" i="4"/>
  <c r="A26" i="4"/>
  <c r="AG25" i="4"/>
  <c r="AH25" i="4"/>
  <c r="AI25" i="4"/>
  <c r="AJ25" i="4"/>
  <c r="AK25" i="4"/>
  <c r="AL25" i="4"/>
  <c r="AM25" i="4"/>
  <c r="AN25" i="4"/>
  <c r="AO25" i="4"/>
  <c r="AP25" i="4"/>
  <c r="AQ25" i="4"/>
  <c r="AF25" i="4"/>
  <c r="AD25" i="4"/>
  <c r="AA25" i="4"/>
  <c r="X25" i="4"/>
  <c r="U25" i="4"/>
  <c r="R25" i="4"/>
  <c r="O25" i="4"/>
  <c r="L25" i="4"/>
  <c r="I25" i="4"/>
  <c r="F25" i="4"/>
  <c r="AG24" i="4"/>
  <c r="AH24" i="4"/>
  <c r="AI24" i="4"/>
  <c r="AJ24" i="4"/>
  <c r="AK24" i="4"/>
  <c r="AL24" i="4"/>
  <c r="AM24" i="4"/>
  <c r="AN24" i="4"/>
  <c r="AO24" i="4"/>
  <c r="AP24" i="4"/>
  <c r="AQ24" i="4"/>
  <c r="AF24" i="4"/>
  <c r="AD24" i="4"/>
  <c r="AA24" i="4"/>
  <c r="X24" i="4"/>
  <c r="U24" i="4"/>
  <c r="R24" i="4"/>
  <c r="O24" i="4"/>
  <c r="L24" i="4"/>
  <c r="I24" i="4"/>
  <c r="F24" i="4"/>
  <c r="AC22" i="4"/>
  <c r="Z22" i="4"/>
  <c r="W22" i="4"/>
  <c r="T22" i="4"/>
  <c r="Q22" i="4"/>
  <c r="N22" i="4"/>
  <c r="K22" i="4"/>
  <c r="H22" i="4"/>
  <c r="E22" i="4"/>
  <c r="E17" i="4"/>
  <c r="AC16" i="4"/>
  <c r="Z16" i="4"/>
  <c r="W16" i="4"/>
  <c r="R16" i="4"/>
  <c r="L16" i="4"/>
  <c r="A16" i="4"/>
  <c r="AC14" i="4"/>
  <c r="Z14" i="4"/>
  <c r="W14" i="4"/>
  <c r="R14" i="4"/>
  <c r="L14" i="4"/>
  <c r="A14" i="4"/>
  <c r="AY12" i="4"/>
  <c r="AC12" i="4"/>
  <c r="Z12" i="4"/>
  <c r="W12" i="4"/>
  <c r="R12" i="4"/>
  <c r="L12" i="4"/>
  <c r="A12" i="4"/>
  <c r="AX11" i="4"/>
  <c r="AY11" i="4"/>
  <c r="AY10" i="4"/>
  <c r="AC10" i="4"/>
  <c r="Z10" i="4"/>
  <c r="W10" i="4"/>
  <c r="R10" i="4"/>
  <c r="L10" i="4"/>
  <c r="A10" i="4"/>
  <c r="AY9" i="4"/>
  <c r="AY8" i="4"/>
  <c r="AC8" i="4"/>
  <c r="Z8" i="4"/>
  <c r="W8" i="4"/>
  <c r="R8" i="4"/>
  <c r="L8" i="4"/>
  <c r="A8" i="4"/>
  <c r="AY7" i="4"/>
  <c r="R7" i="4"/>
  <c r="L7" i="4"/>
  <c r="AY6" i="4"/>
  <c r="K6" i="4"/>
  <c r="AX5" i="4"/>
  <c r="AY5" i="4"/>
  <c r="AY4" i="4"/>
  <c r="AY3" i="4"/>
  <c r="W219" i="3"/>
  <c r="W220" i="3"/>
  <c r="W221" i="3"/>
  <c r="W222" i="3"/>
  <c r="Y219" i="3"/>
  <c r="Y220" i="3"/>
  <c r="Y221" i="3"/>
  <c r="Y222" i="3"/>
  <c r="AC218" i="3"/>
  <c r="Z219" i="3"/>
  <c r="Z220" i="3"/>
  <c r="Z221" i="3"/>
  <c r="Z222" i="3"/>
  <c r="AB219" i="3"/>
  <c r="AB220" i="3"/>
  <c r="AB221" i="3"/>
  <c r="AB222" i="3"/>
  <c r="AE218" i="3"/>
  <c r="E97" i="3"/>
  <c r="AF180" i="3"/>
  <c r="X213" i="3"/>
  <c r="W230" i="3"/>
  <c r="E8" i="3"/>
  <c r="B79" i="3"/>
  <c r="AT79" i="3"/>
  <c r="E10" i="3"/>
  <c r="B80" i="3"/>
  <c r="AT80" i="3"/>
  <c r="E12" i="3"/>
  <c r="B81" i="3"/>
  <c r="AT81" i="3"/>
  <c r="E14" i="3"/>
  <c r="B82" i="3"/>
  <c r="AT82" i="3"/>
  <c r="AC31" i="3"/>
  <c r="AC32" i="3"/>
  <c r="AC33" i="3"/>
  <c r="AC34" i="3"/>
  <c r="AC35" i="3"/>
  <c r="AC64" i="3"/>
  <c r="AE64" i="3"/>
  <c r="AC65" i="3"/>
  <c r="AE31" i="3"/>
  <c r="AE32" i="3"/>
  <c r="AE33" i="3"/>
  <c r="AE34" i="3"/>
  <c r="AE35" i="3"/>
  <c r="AE65" i="3"/>
  <c r="AC66" i="3"/>
  <c r="AE66" i="3"/>
  <c r="AC67" i="3"/>
  <c r="AE67" i="3"/>
  <c r="AC68" i="3"/>
  <c r="AE68" i="3"/>
  <c r="AD71" i="3"/>
  <c r="AC72" i="3"/>
  <c r="Z72" i="3"/>
  <c r="AB72" i="3"/>
  <c r="W31" i="3"/>
  <c r="W32" i="3"/>
  <c r="W33" i="3"/>
  <c r="W34" i="3"/>
  <c r="W35" i="3"/>
  <c r="W64" i="3"/>
  <c r="Y64" i="3"/>
  <c r="W65" i="3"/>
  <c r="Y65" i="3"/>
  <c r="W66" i="3"/>
  <c r="Y66" i="3"/>
  <c r="W67" i="3"/>
  <c r="Y67" i="3"/>
  <c r="W68" i="3"/>
  <c r="Y31" i="3"/>
  <c r="Y32" i="3"/>
  <c r="Y33" i="3"/>
  <c r="Y34" i="3"/>
  <c r="Y35" i="3"/>
  <c r="Y68" i="3"/>
  <c r="X71" i="3"/>
  <c r="W72" i="3"/>
  <c r="T72" i="3"/>
  <c r="V72" i="3"/>
  <c r="Q72" i="3"/>
  <c r="S72" i="3"/>
  <c r="N31" i="3"/>
  <c r="N32" i="3"/>
  <c r="N33" i="3"/>
  <c r="N34" i="3"/>
  <c r="N35" i="3"/>
  <c r="N64" i="3"/>
  <c r="P64" i="3"/>
  <c r="N65" i="3"/>
  <c r="P65" i="3"/>
  <c r="N66" i="3"/>
  <c r="P31" i="3"/>
  <c r="P32" i="3"/>
  <c r="P33" i="3"/>
  <c r="P34" i="3"/>
  <c r="P35" i="3"/>
  <c r="P66" i="3"/>
  <c r="N67" i="3"/>
  <c r="P67" i="3"/>
  <c r="N68" i="3"/>
  <c r="P68" i="3"/>
  <c r="O71" i="3"/>
  <c r="N72" i="3"/>
  <c r="K72" i="3"/>
  <c r="M72" i="3"/>
  <c r="H72" i="3"/>
  <c r="J72" i="3"/>
  <c r="E31" i="3"/>
  <c r="E32" i="3"/>
  <c r="E33" i="3"/>
  <c r="E34" i="3"/>
  <c r="E35" i="3"/>
  <c r="E64" i="3"/>
  <c r="G64" i="3"/>
  <c r="E65" i="3"/>
  <c r="G65" i="3"/>
  <c r="E66" i="3"/>
  <c r="G66" i="3"/>
  <c r="E67" i="3"/>
  <c r="G31" i="3"/>
  <c r="G32" i="3"/>
  <c r="G33" i="3"/>
  <c r="G34" i="3"/>
  <c r="G35" i="3"/>
  <c r="G67" i="3"/>
  <c r="E68" i="3"/>
  <c r="G68" i="3"/>
  <c r="F71" i="3"/>
  <c r="E72" i="3"/>
  <c r="B72" i="3"/>
  <c r="D72" i="3"/>
  <c r="C79" i="3"/>
  <c r="D79" i="3"/>
  <c r="E85" i="3"/>
  <c r="E36" i="3"/>
  <c r="B75" i="3"/>
  <c r="D75" i="3"/>
  <c r="C82" i="3"/>
  <c r="D82" i="3"/>
  <c r="G85" i="3"/>
  <c r="G36" i="3"/>
  <c r="E86" i="3"/>
  <c r="E87" i="3"/>
  <c r="G79" i="3"/>
  <c r="J79" i="3"/>
  <c r="M79" i="3"/>
  <c r="N85" i="3"/>
  <c r="N36" i="3"/>
  <c r="K74" i="3"/>
  <c r="M74" i="3"/>
  <c r="H64" i="3"/>
  <c r="J64" i="3"/>
  <c r="H65" i="3"/>
  <c r="J65" i="3"/>
  <c r="H31" i="3"/>
  <c r="H32" i="3"/>
  <c r="H33" i="3"/>
  <c r="H34" i="3"/>
  <c r="H35" i="3"/>
  <c r="H66" i="3"/>
  <c r="J66" i="3"/>
  <c r="H67" i="3"/>
  <c r="J67" i="3"/>
  <c r="H68" i="3"/>
  <c r="J31" i="3"/>
  <c r="J32" i="3"/>
  <c r="J33" i="3"/>
  <c r="J34" i="3"/>
  <c r="J35" i="3"/>
  <c r="J68" i="3"/>
  <c r="I71" i="3"/>
  <c r="H74" i="3"/>
  <c r="E74" i="3"/>
  <c r="G74" i="3"/>
  <c r="B74" i="3"/>
  <c r="D74" i="3"/>
  <c r="C81" i="3"/>
  <c r="D81" i="3"/>
  <c r="G81" i="3"/>
  <c r="H85" i="3"/>
  <c r="H36" i="3"/>
  <c r="E76" i="3"/>
  <c r="G76" i="3"/>
  <c r="B76" i="3"/>
  <c r="B64" i="3"/>
  <c r="D64" i="3"/>
  <c r="B31" i="3"/>
  <c r="B32" i="3"/>
  <c r="B33" i="3"/>
  <c r="B34" i="3"/>
  <c r="B35" i="3"/>
  <c r="B65" i="3"/>
  <c r="D65" i="3"/>
  <c r="B66" i="3"/>
  <c r="D66" i="3"/>
  <c r="B67" i="3"/>
  <c r="D67" i="3"/>
  <c r="B68" i="3"/>
  <c r="D31" i="3"/>
  <c r="D32" i="3"/>
  <c r="D33" i="3"/>
  <c r="D34" i="3"/>
  <c r="D35" i="3"/>
  <c r="D68" i="3"/>
  <c r="C71" i="3"/>
  <c r="D76" i="3"/>
  <c r="E16" i="3"/>
  <c r="B83" i="3"/>
  <c r="C83" i="3"/>
  <c r="D85" i="3"/>
  <c r="D36" i="3"/>
  <c r="C80" i="3"/>
  <c r="B85" i="3"/>
  <c r="B36" i="3"/>
  <c r="D86" i="3"/>
  <c r="D87" i="3"/>
  <c r="D83" i="3"/>
  <c r="G83" i="3"/>
  <c r="J85" i="3"/>
  <c r="J36" i="3"/>
  <c r="H86" i="3"/>
  <c r="H87" i="3"/>
  <c r="J81" i="3"/>
  <c r="M81" i="3"/>
  <c r="P85" i="3"/>
  <c r="P36" i="3"/>
  <c r="N86" i="3"/>
  <c r="N87" i="3"/>
  <c r="P79" i="3"/>
  <c r="S79" i="3"/>
  <c r="V79" i="3"/>
  <c r="W85" i="3"/>
  <c r="W36" i="3"/>
  <c r="T76" i="3"/>
  <c r="V76" i="3"/>
  <c r="Q76" i="3"/>
  <c r="Q64" i="3"/>
  <c r="S64" i="3"/>
  <c r="Q65" i="3"/>
  <c r="S65" i="3"/>
  <c r="Q66" i="3"/>
  <c r="S66" i="3"/>
  <c r="Q31" i="3"/>
  <c r="Q32" i="3"/>
  <c r="Q33" i="3"/>
  <c r="Q34" i="3"/>
  <c r="Q35" i="3"/>
  <c r="Q67" i="3"/>
  <c r="S67" i="3"/>
  <c r="Q68" i="3"/>
  <c r="S31" i="3"/>
  <c r="S32" i="3"/>
  <c r="S33" i="3"/>
  <c r="S34" i="3"/>
  <c r="S35" i="3"/>
  <c r="S68" i="3"/>
  <c r="R71" i="3"/>
  <c r="S76" i="3"/>
  <c r="N76" i="3"/>
  <c r="P76" i="3"/>
  <c r="K76" i="3"/>
  <c r="M76" i="3"/>
  <c r="H76" i="3"/>
  <c r="J76" i="3"/>
  <c r="J86" i="3"/>
  <c r="J87" i="3"/>
  <c r="J83" i="3"/>
  <c r="M83" i="3"/>
  <c r="P83" i="3"/>
  <c r="S85" i="3"/>
  <c r="S36" i="3"/>
  <c r="N75" i="3"/>
  <c r="P75" i="3"/>
  <c r="K75" i="3"/>
  <c r="K64" i="3"/>
  <c r="M64" i="3"/>
  <c r="K31" i="3"/>
  <c r="K32" i="3"/>
  <c r="K33" i="3"/>
  <c r="K34" i="3"/>
  <c r="K35" i="3"/>
  <c r="K65" i="3"/>
  <c r="M65" i="3"/>
  <c r="K66" i="3"/>
  <c r="M66" i="3"/>
  <c r="K67" i="3"/>
  <c r="M31" i="3"/>
  <c r="M32" i="3"/>
  <c r="M33" i="3"/>
  <c r="M34" i="3"/>
  <c r="M35" i="3"/>
  <c r="M67" i="3"/>
  <c r="K68" i="3"/>
  <c r="M68" i="3"/>
  <c r="L71" i="3"/>
  <c r="M75" i="3"/>
  <c r="H75" i="3"/>
  <c r="J75" i="3"/>
  <c r="E75" i="3"/>
  <c r="G75" i="3"/>
  <c r="G86" i="3"/>
  <c r="G87" i="3"/>
  <c r="G82" i="3"/>
  <c r="J82" i="3"/>
  <c r="M85" i="3"/>
  <c r="M36" i="3"/>
  <c r="H73" i="3"/>
  <c r="J73" i="3"/>
  <c r="E73" i="3"/>
  <c r="G73" i="3"/>
  <c r="B73" i="3"/>
  <c r="B86" i="3"/>
  <c r="B87" i="3"/>
  <c r="D80" i="3"/>
  <c r="G80" i="3"/>
  <c r="J80" i="3"/>
  <c r="K85" i="3"/>
  <c r="K36" i="3"/>
  <c r="M86" i="3"/>
  <c r="M87" i="3"/>
  <c r="M82" i="3"/>
  <c r="P82" i="3"/>
  <c r="Q85" i="3"/>
  <c r="Q36" i="3"/>
  <c r="S86" i="3"/>
  <c r="S87" i="3"/>
  <c r="S83" i="3"/>
  <c r="V83" i="3"/>
  <c r="Y85" i="3"/>
  <c r="Y36" i="3"/>
  <c r="W86" i="3"/>
  <c r="W87" i="3"/>
  <c r="Y79" i="3"/>
  <c r="AB79" i="3"/>
  <c r="AC85" i="3"/>
  <c r="AC36" i="3"/>
  <c r="Z73" i="3"/>
  <c r="AB73" i="3"/>
  <c r="W73" i="3"/>
  <c r="Y73" i="3"/>
  <c r="T64" i="3"/>
  <c r="V64" i="3"/>
  <c r="T31" i="3"/>
  <c r="T32" i="3"/>
  <c r="T33" i="3"/>
  <c r="T34" i="3"/>
  <c r="T35" i="3"/>
  <c r="T65" i="3"/>
  <c r="V65" i="3"/>
  <c r="T66" i="3"/>
  <c r="V31" i="3"/>
  <c r="V32" i="3"/>
  <c r="V33" i="3"/>
  <c r="V34" i="3"/>
  <c r="V35" i="3"/>
  <c r="V66" i="3"/>
  <c r="T67" i="3"/>
  <c r="V67" i="3"/>
  <c r="T68" i="3"/>
  <c r="V68" i="3"/>
  <c r="U71" i="3"/>
  <c r="T73" i="3"/>
  <c r="Q73" i="3"/>
  <c r="S73" i="3"/>
  <c r="N73" i="3"/>
  <c r="P73" i="3"/>
  <c r="K73" i="3"/>
  <c r="K86" i="3"/>
  <c r="K87" i="3"/>
  <c r="M80" i="3"/>
  <c r="P80" i="3"/>
  <c r="S80" i="3"/>
  <c r="T85" i="3"/>
  <c r="T36" i="3"/>
  <c r="Q74" i="3"/>
  <c r="S74" i="3"/>
  <c r="N74" i="3"/>
  <c r="P74" i="3"/>
  <c r="P86" i="3"/>
  <c r="P87" i="3"/>
  <c r="P81" i="3"/>
  <c r="S81" i="3"/>
  <c r="V85" i="3"/>
  <c r="V36" i="3"/>
  <c r="T86" i="3"/>
  <c r="T87" i="3"/>
  <c r="V80" i="3"/>
  <c r="Y80" i="3"/>
  <c r="AB80" i="3"/>
  <c r="AE85" i="3"/>
  <c r="AE36" i="3"/>
  <c r="AC86" i="3"/>
  <c r="AC87" i="3"/>
  <c r="AE79" i="3"/>
  <c r="AU79" i="3"/>
  <c r="AC73" i="3"/>
  <c r="AE73" i="3"/>
  <c r="AE86" i="3"/>
  <c r="AE87" i="3"/>
  <c r="AE80" i="3"/>
  <c r="AU80" i="3"/>
  <c r="AC74" i="3"/>
  <c r="AE74" i="3"/>
  <c r="Z64" i="3"/>
  <c r="AB64" i="3"/>
  <c r="Z65" i="3"/>
  <c r="AB65" i="3"/>
  <c r="Z31" i="3"/>
  <c r="Z32" i="3"/>
  <c r="Z33" i="3"/>
  <c r="Z34" i="3"/>
  <c r="Z35" i="3"/>
  <c r="Z66" i="3"/>
  <c r="AB66" i="3"/>
  <c r="Z67" i="3"/>
  <c r="AB31" i="3"/>
  <c r="AB32" i="3"/>
  <c r="AB33" i="3"/>
  <c r="AB34" i="3"/>
  <c r="AB35" i="3"/>
  <c r="AB67" i="3"/>
  <c r="Z68" i="3"/>
  <c r="AB68" i="3"/>
  <c r="AA71" i="3"/>
  <c r="Z74" i="3"/>
  <c r="W74" i="3"/>
  <c r="Y74" i="3"/>
  <c r="T74" i="3"/>
  <c r="V74" i="3"/>
  <c r="V86" i="3"/>
  <c r="V87" i="3"/>
  <c r="V81" i="3"/>
  <c r="Y81" i="3"/>
  <c r="Z85" i="3"/>
  <c r="Z36" i="3"/>
  <c r="W75" i="3"/>
  <c r="Y75" i="3"/>
  <c r="T75" i="3"/>
  <c r="V75" i="3"/>
  <c r="Q75" i="3"/>
  <c r="Q86" i="3"/>
  <c r="Q87" i="3"/>
  <c r="S82" i="3"/>
  <c r="V82" i="3"/>
  <c r="Y82" i="3"/>
  <c r="AB85" i="3"/>
  <c r="AB36" i="3"/>
  <c r="Z86" i="3"/>
  <c r="Z87" i="3"/>
  <c r="AB81" i="3"/>
  <c r="AE81" i="3"/>
  <c r="AU81" i="3"/>
  <c r="AC75" i="3"/>
  <c r="AE75" i="3"/>
  <c r="Z75" i="3"/>
  <c r="AB75" i="3"/>
  <c r="AB86" i="3"/>
  <c r="AB87" i="3"/>
  <c r="AB82" i="3"/>
  <c r="AE82" i="3"/>
  <c r="AU82" i="3"/>
  <c r="AT83" i="3"/>
  <c r="AC76" i="3"/>
  <c r="AE76" i="3"/>
  <c r="Z76" i="3"/>
  <c r="AB76" i="3"/>
  <c r="W76" i="3"/>
  <c r="Y76" i="3"/>
  <c r="Y86" i="3"/>
  <c r="Y87" i="3"/>
  <c r="Y83" i="3"/>
  <c r="AB83" i="3"/>
  <c r="AE83" i="3"/>
  <c r="AU83" i="3"/>
  <c r="E93" i="3"/>
  <c r="B164" i="3"/>
  <c r="AT164" i="3"/>
  <c r="AC116" i="3"/>
  <c r="AC117" i="3"/>
  <c r="AC118" i="3"/>
  <c r="AC119" i="3"/>
  <c r="AC120" i="3"/>
  <c r="AC149" i="3"/>
  <c r="AE149" i="3"/>
  <c r="AC150" i="3"/>
  <c r="AE116" i="3"/>
  <c r="AE117" i="3"/>
  <c r="AE118" i="3"/>
  <c r="AE119" i="3"/>
  <c r="AE120" i="3"/>
  <c r="AE150" i="3"/>
  <c r="AC151" i="3"/>
  <c r="AE151" i="3"/>
  <c r="AC152" i="3"/>
  <c r="AE152" i="3"/>
  <c r="AC153" i="3"/>
  <c r="AE153" i="3"/>
  <c r="AD156" i="3"/>
  <c r="AC157" i="3"/>
  <c r="Z157" i="3"/>
  <c r="AB157" i="3"/>
  <c r="W116" i="3"/>
  <c r="W117" i="3"/>
  <c r="W118" i="3"/>
  <c r="W119" i="3"/>
  <c r="W120" i="3"/>
  <c r="W149" i="3"/>
  <c r="Y149" i="3"/>
  <c r="W150" i="3"/>
  <c r="Y150" i="3"/>
  <c r="W151" i="3"/>
  <c r="Y151" i="3"/>
  <c r="W152" i="3"/>
  <c r="Y152" i="3"/>
  <c r="W153" i="3"/>
  <c r="Y116" i="3"/>
  <c r="Y117" i="3"/>
  <c r="Y118" i="3"/>
  <c r="Y119" i="3"/>
  <c r="Y120" i="3"/>
  <c r="Y153" i="3"/>
  <c r="X156" i="3"/>
  <c r="W157" i="3"/>
  <c r="T157" i="3"/>
  <c r="V157" i="3"/>
  <c r="Q157" i="3"/>
  <c r="S157" i="3"/>
  <c r="N116" i="3"/>
  <c r="N117" i="3"/>
  <c r="N118" i="3"/>
  <c r="N119" i="3"/>
  <c r="N120" i="3"/>
  <c r="N149" i="3"/>
  <c r="P149" i="3"/>
  <c r="N150" i="3"/>
  <c r="P150" i="3"/>
  <c r="N151" i="3"/>
  <c r="P116" i="3"/>
  <c r="P117" i="3"/>
  <c r="P118" i="3"/>
  <c r="P119" i="3"/>
  <c r="P120" i="3"/>
  <c r="P151" i="3"/>
  <c r="N152" i="3"/>
  <c r="P152" i="3"/>
  <c r="N153" i="3"/>
  <c r="P153" i="3"/>
  <c r="O156" i="3"/>
  <c r="N157" i="3"/>
  <c r="K157" i="3"/>
  <c r="M157" i="3"/>
  <c r="H157" i="3"/>
  <c r="J157" i="3"/>
  <c r="E116" i="3"/>
  <c r="E117" i="3"/>
  <c r="E118" i="3"/>
  <c r="E119" i="3"/>
  <c r="E120" i="3"/>
  <c r="E149" i="3"/>
  <c r="G149" i="3"/>
  <c r="E150" i="3"/>
  <c r="G150" i="3"/>
  <c r="E151" i="3"/>
  <c r="G151" i="3"/>
  <c r="E152" i="3"/>
  <c r="G116" i="3"/>
  <c r="G117" i="3"/>
  <c r="G118" i="3"/>
  <c r="G119" i="3"/>
  <c r="G120" i="3"/>
  <c r="G152" i="3"/>
  <c r="E153" i="3"/>
  <c r="G153" i="3"/>
  <c r="F156" i="3"/>
  <c r="E157" i="3"/>
  <c r="B157" i="3"/>
  <c r="D157" i="3"/>
  <c r="C164" i="3"/>
  <c r="D164" i="3"/>
  <c r="E170" i="3"/>
  <c r="E121" i="3"/>
  <c r="B160" i="3"/>
  <c r="D160" i="3"/>
  <c r="E99" i="3"/>
  <c r="B167" i="3"/>
  <c r="C167" i="3"/>
  <c r="D167" i="3"/>
  <c r="G170" i="3"/>
  <c r="G121" i="3"/>
  <c r="E171" i="3"/>
  <c r="E172" i="3"/>
  <c r="G164" i="3"/>
  <c r="J164" i="3"/>
  <c r="M164" i="3"/>
  <c r="N170" i="3"/>
  <c r="N121" i="3"/>
  <c r="K159" i="3"/>
  <c r="M159" i="3"/>
  <c r="H149" i="3"/>
  <c r="J149" i="3"/>
  <c r="H150" i="3"/>
  <c r="J150" i="3"/>
  <c r="H116" i="3"/>
  <c r="H117" i="3"/>
  <c r="H118" i="3"/>
  <c r="H119" i="3"/>
  <c r="H120" i="3"/>
  <c r="H151" i="3"/>
  <c r="J151" i="3"/>
  <c r="H152" i="3"/>
  <c r="J152" i="3"/>
  <c r="H153" i="3"/>
  <c r="J116" i="3"/>
  <c r="J117" i="3"/>
  <c r="J118" i="3"/>
  <c r="J119" i="3"/>
  <c r="J120" i="3"/>
  <c r="J153" i="3"/>
  <c r="I156" i="3"/>
  <c r="H159" i="3"/>
  <c r="E159" i="3"/>
  <c r="G159" i="3"/>
  <c r="B159" i="3"/>
  <c r="D159" i="3"/>
  <c r="B166" i="3"/>
  <c r="C166" i="3"/>
  <c r="D166" i="3"/>
  <c r="G166" i="3"/>
  <c r="H170" i="3"/>
  <c r="H121" i="3"/>
  <c r="E161" i="3"/>
  <c r="G161" i="3"/>
  <c r="B161" i="3"/>
  <c r="B149" i="3"/>
  <c r="D149" i="3"/>
  <c r="B116" i="3"/>
  <c r="B117" i="3"/>
  <c r="B118" i="3"/>
  <c r="B119" i="3"/>
  <c r="B120" i="3"/>
  <c r="B150" i="3"/>
  <c r="D150" i="3"/>
  <c r="B151" i="3"/>
  <c r="D151" i="3"/>
  <c r="B152" i="3"/>
  <c r="D152" i="3"/>
  <c r="B153" i="3"/>
  <c r="D116" i="3"/>
  <c r="D117" i="3"/>
  <c r="D118" i="3"/>
  <c r="D119" i="3"/>
  <c r="D120" i="3"/>
  <c r="D153" i="3"/>
  <c r="C156" i="3"/>
  <c r="D161" i="3"/>
  <c r="E101" i="3"/>
  <c r="B168" i="3"/>
  <c r="C168" i="3"/>
  <c r="D170" i="3"/>
  <c r="D121" i="3"/>
  <c r="E95" i="3"/>
  <c r="B165" i="3"/>
  <c r="C165" i="3"/>
  <c r="B170" i="3"/>
  <c r="B121" i="3"/>
  <c r="D171" i="3"/>
  <c r="D172" i="3"/>
  <c r="D168" i="3"/>
  <c r="G168" i="3"/>
  <c r="J170" i="3"/>
  <c r="J121" i="3"/>
  <c r="H171" i="3"/>
  <c r="H172" i="3"/>
  <c r="J166" i="3"/>
  <c r="M166" i="3"/>
  <c r="P170" i="3"/>
  <c r="P121" i="3"/>
  <c r="N171" i="3"/>
  <c r="N172" i="3"/>
  <c r="P164" i="3"/>
  <c r="S164" i="3"/>
  <c r="V164" i="3"/>
  <c r="W170" i="3"/>
  <c r="W121" i="3"/>
  <c r="T161" i="3"/>
  <c r="V161" i="3"/>
  <c r="Q161" i="3"/>
  <c r="Q149" i="3"/>
  <c r="S149" i="3"/>
  <c r="Q150" i="3"/>
  <c r="S150" i="3"/>
  <c r="Q151" i="3"/>
  <c r="S151" i="3"/>
  <c r="Q116" i="3"/>
  <c r="Q117" i="3"/>
  <c r="Q118" i="3"/>
  <c r="Q119" i="3"/>
  <c r="Q120" i="3"/>
  <c r="Q152" i="3"/>
  <c r="S152" i="3"/>
  <c r="Q153" i="3"/>
  <c r="S116" i="3"/>
  <c r="S117" i="3"/>
  <c r="S118" i="3"/>
  <c r="S119" i="3"/>
  <c r="S120" i="3"/>
  <c r="S153" i="3"/>
  <c r="R156" i="3"/>
  <c r="S161" i="3"/>
  <c r="N161" i="3"/>
  <c r="P161" i="3"/>
  <c r="K161" i="3"/>
  <c r="M161" i="3"/>
  <c r="H161" i="3"/>
  <c r="J161" i="3"/>
  <c r="J171" i="3"/>
  <c r="J172" i="3"/>
  <c r="J168" i="3"/>
  <c r="M168" i="3"/>
  <c r="P168" i="3"/>
  <c r="S170" i="3"/>
  <c r="S121" i="3"/>
  <c r="N160" i="3"/>
  <c r="P160" i="3"/>
  <c r="K160" i="3"/>
  <c r="K149" i="3"/>
  <c r="M149" i="3"/>
  <c r="K116" i="3"/>
  <c r="K117" i="3"/>
  <c r="K118" i="3"/>
  <c r="K119" i="3"/>
  <c r="K120" i="3"/>
  <c r="K150" i="3"/>
  <c r="M150" i="3"/>
  <c r="K151" i="3"/>
  <c r="M151" i="3"/>
  <c r="K152" i="3"/>
  <c r="M116" i="3"/>
  <c r="M117" i="3"/>
  <c r="M118" i="3"/>
  <c r="M119" i="3"/>
  <c r="M120" i="3"/>
  <c r="M152" i="3"/>
  <c r="K153" i="3"/>
  <c r="M153" i="3"/>
  <c r="L156" i="3"/>
  <c r="M160" i="3"/>
  <c r="H160" i="3"/>
  <c r="J160" i="3"/>
  <c r="E160" i="3"/>
  <c r="G160" i="3"/>
  <c r="G171" i="3"/>
  <c r="G172" i="3"/>
  <c r="G167" i="3"/>
  <c r="J167" i="3"/>
  <c r="M170" i="3"/>
  <c r="M121" i="3"/>
  <c r="H158" i="3"/>
  <c r="J158" i="3"/>
  <c r="E158" i="3"/>
  <c r="G158" i="3"/>
  <c r="B158" i="3"/>
  <c r="B171" i="3"/>
  <c r="B172" i="3"/>
  <c r="D165" i="3"/>
  <c r="G165" i="3"/>
  <c r="J165" i="3"/>
  <c r="K170" i="3"/>
  <c r="K121" i="3"/>
  <c r="M171" i="3"/>
  <c r="M172" i="3"/>
  <c r="M167" i="3"/>
  <c r="P167" i="3"/>
  <c r="Q170" i="3"/>
  <c r="Q121" i="3"/>
  <c r="S171" i="3"/>
  <c r="S172" i="3"/>
  <c r="S168" i="3"/>
  <c r="V168" i="3"/>
  <c r="Y170" i="3"/>
  <c r="Y121" i="3"/>
  <c r="W171" i="3"/>
  <c r="W172" i="3"/>
  <c r="Y164" i="3"/>
  <c r="AB164" i="3"/>
  <c r="AC170" i="3"/>
  <c r="AC121" i="3"/>
  <c r="Z158" i="3"/>
  <c r="AB158" i="3"/>
  <c r="W158" i="3"/>
  <c r="Y158" i="3"/>
  <c r="T149" i="3"/>
  <c r="V149" i="3"/>
  <c r="T116" i="3"/>
  <c r="T117" i="3"/>
  <c r="T118" i="3"/>
  <c r="T119" i="3"/>
  <c r="T120" i="3"/>
  <c r="T150" i="3"/>
  <c r="V150" i="3"/>
  <c r="T151" i="3"/>
  <c r="V116" i="3"/>
  <c r="V117" i="3"/>
  <c r="V118" i="3"/>
  <c r="V119" i="3"/>
  <c r="V120" i="3"/>
  <c r="V151" i="3"/>
  <c r="T152" i="3"/>
  <c r="V152" i="3"/>
  <c r="T153" i="3"/>
  <c r="V153" i="3"/>
  <c r="U156" i="3"/>
  <c r="T158" i="3"/>
  <c r="Q158" i="3"/>
  <c r="S158" i="3"/>
  <c r="N158" i="3"/>
  <c r="P158" i="3"/>
  <c r="K158" i="3"/>
  <c r="K171" i="3"/>
  <c r="K172" i="3"/>
  <c r="M165" i="3"/>
  <c r="P165" i="3"/>
  <c r="S165" i="3"/>
  <c r="T170" i="3"/>
  <c r="T121" i="3"/>
  <c r="Q159" i="3"/>
  <c r="S159" i="3"/>
  <c r="N159" i="3"/>
  <c r="P159" i="3"/>
  <c r="P171" i="3"/>
  <c r="P172" i="3"/>
  <c r="P166" i="3"/>
  <c r="S166" i="3"/>
  <c r="V170" i="3"/>
  <c r="V121" i="3"/>
  <c r="T171" i="3"/>
  <c r="T172" i="3"/>
  <c r="V165" i="3"/>
  <c r="Y165" i="3"/>
  <c r="AB165" i="3"/>
  <c r="AE170" i="3"/>
  <c r="AE121" i="3"/>
  <c r="AC171" i="3"/>
  <c r="AC172" i="3"/>
  <c r="AE164" i="3"/>
  <c r="AU164" i="3"/>
  <c r="AT165" i="3"/>
  <c r="AC158" i="3"/>
  <c r="AE158" i="3"/>
  <c r="AE171" i="3"/>
  <c r="AE172" i="3"/>
  <c r="AE165" i="3"/>
  <c r="AU165" i="3"/>
  <c r="AT166" i="3"/>
  <c r="AC159" i="3"/>
  <c r="AE159" i="3"/>
  <c r="Z149" i="3"/>
  <c r="AB149" i="3"/>
  <c r="Z150" i="3"/>
  <c r="AB150" i="3"/>
  <c r="Z116" i="3"/>
  <c r="Z117" i="3"/>
  <c r="Z118" i="3"/>
  <c r="Z119" i="3"/>
  <c r="Z120" i="3"/>
  <c r="Z151" i="3"/>
  <c r="AB151" i="3"/>
  <c r="Z152" i="3"/>
  <c r="AB116" i="3"/>
  <c r="AB117" i="3"/>
  <c r="AB118" i="3"/>
  <c r="AB119" i="3"/>
  <c r="AB120" i="3"/>
  <c r="AB152" i="3"/>
  <c r="Z153" i="3"/>
  <c r="AB153" i="3"/>
  <c r="AA156" i="3"/>
  <c r="Z159" i="3"/>
  <c r="W159" i="3"/>
  <c r="Y159" i="3"/>
  <c r="T159" i="3"/>
  <c r="V159" i="3"/>
  <c r="V171" i="3"/>
  <c r="V172" i="3"/>
  <c r="V166" i="3"/>
  <c r="Y166" i="3"/>
  <c r="Z170" i="3"/>
  <c r="Z121" i="3"/>
  <c r="W160" i="3"/>
  <c r="Y160" i="3"/>
  <c r="T160" i="3"/>
  <c r="V160" i="3"/>
  <c r="Q160" i="3"/>
  <c r="Q171" i="3"/>
  <c r="Q172" i="3"/>
  <c r="S167" i="3"/>
  <c r="V167" i="3"/>
  <c r="Y167" i="3"/>
  <c r="AB170" i="3"/>
  <c r="AB121" i="3"/>
  <c r="Z171" i="3"/>
  <c r="Z172" i="3"/>
  <c r="AB166" i="3"/>
  <c r="AE166" i="3"/>
  <c r="AU166" i="3"/>
  <c r="AT167" i="3"/>
  <c r="AC160" i="3"/>
  <c r="AE160" i="3"/>
  <c r="Z160" i="3"/>
  <c r="AB160" i="3"/>
  <c r="AB171" i="3"/>
  <c r="AB172" i="3"/>
  <c r="AB167" i="3"/>
  <c r="AE167" i="3"/>
  <c r="AU167" i="3"/>
  <c r="AT168" i="3"/>
  <c r="AC161" i="3"/>
  <c r="AE161" i="3"/>
  <c r="Z161" i="3"/>
  <c r="AB161" i="3"/>
  <c r="W161" i="3"/>
  <c r="Y161" i="3"/>
  <c r="Y171" i="3"/>
  <c r="Y172" i="3"/>
  <c r="Y168" i="3"/>
  <c r="AB168" i="3"/>
  <c r="AE168" i="3"/>
  <c r="AU168" i="3"/>
  <c r="AX8" i="3"/>
  <c r="X230" i="3"/>
  <c r="Y231" i="3"/>
  <c r="V179" i="3"/>
  <c r="X210" i="3"/>
  <c r="W227" i="3"/>
  <c r="AX6" i="3"/>
  <c r="X227" i="3"/>
  <c r="W231" i="3"/>
  <c r="Y232" i="3"/>
  <c r="Y233" i="3"/>
  <c r="Y230" i="3"/>
  <c r="AB230" i="3"/>
  <c r="AE230" i="3"/>
  <c r="AU233" i="3"/>
  <c r="AT233" i="3"/>
  <c r="V180" i="3"/>
  <c r="X211" i="3"/>
  <c r="W228" i="3"/>
  <c r="AX9" i="3"/>
  <c r="X228" i="3"/>
  <c r="Y228" i="3"/>
  <c r="Z231" i="3"/>
  <c r="AF179" i="3"/>
  <c r="X212" i="3"/>
  <c r="W229" i="3"/>
  <c r="AX3" i="3"/>
  <c r="X229" i="3"/>
  <c r="Y229" i="3"/>
  <c r="AB231" i="3"/>
  <c r="Z232" i="3"/>
  <c r="Z233" i="3"/>
  <c r="AB228" i="3"/>
  <c r="AE231" i="3"/>
  <c r="AE219" i="3"/>
  <c r="AE220" i="3"/>
  <c r="AE221" i="3"/>
  <c r="AE222" i="3"/>
  <c r="W232" i="3"/>
  <c r="W233" i="3"/>
  <c r="Y227" i="3"/>
  <c r="AB227" i="3"/>
  <c r="AC231" i="3"/>
  <c r="AC219" i="3"/>
  <c r="AC220" i="3"/>
  <c r="AC221" i="3"/>
  <c r="AC222" i="3"/>
  <c r="AE232" i="3"/>
  <c r="AE233" i="3"/>
  <c r="AC232" i="3"/>
  <c r="AC233" i="3"/>
  <c r="AB232" i="3"/>
  <c r="AB233" i="3"/>
  <c r="E219" i="3"/>
  <c r="E220" i="3"/>
  <c r="E221" i="3"/>
  <c r="E222" i="3"/>
  <c r="G219" i="3"/>
  <c r="G220" i="3"/>
  <c r="G221" i="3"/>
  <c r="G222" i="3"/>
  <c r="J218" i="3"/>
  <c r="B180" i="3"/>
  <c r="B211" i="3"/>
  <c r="B228" i="3"/>
  <c r="AX5" i="3"/>
  <c r="C228" i="3"/>
  <c r="D228" i="3"/>
  <c r="E231" i="3"/>
  <c r="L179" i="3"/>
  <c r="B212" i="3"/>
  <c r="B229" i="3"/>
  <c r="AX11" i="3"/>
  <c r="C229" i="3"/>
  <c r="D229" i="3"/>
  <c r="G231" i="3"/>
  <c r="E232" i="3"/>
  <c r="E233" i="3"/>
  <c r="G228" i="3"/>
  <c r="J231" i="3"/>
  <c r="J219" i="3"/>
  <c r="J220" i="3"/>
  <c r="J221" i="3"/>
  <c r="J222" i="3"/>
  <c r="B219" i="3"/>
  <c r="B220" i="3"/>
  <c r="B221" i="3"/>
  <c r="B222" i="3"/>
  <c r="D219" i="3"/>
  <c r="D220" i="3"/>
  <c r="D221" i="3"/>
  <c r="D222" i="3"/>
  <c r="H218" i="3"/>
  <c r="B179" i="3"/>
  <c r="B210" i="3"/>
  <c r="B227" i="3"/>
  <c r="AX10" i="3"/>
  <c r="C227" i="3"/>
  <c r="B231" i="3"/>
  <c r="L180" i="3"/>
  <c r="B213" i="3"/>
  <c r="B230" i="3"/>
  <c r="AX12" i="3"/>
  <c r="C230" i="3"/>
  <c r="D231" i="3"/>
  <c r="B232" i="3"/>
  <c r="B233" i="3"/>
  <c r="D227" i="3"/>
  <c r="G227" i="3"/>
  <c r="H231" i="3"/>
  <c r="H219" i="3"/>
  <c r="H220" i="3"/>
  <c r="H221" i="3"/>
  <c r="H222" i="3"/>
  <c r="J232" i="3"/>
  <c r="J233" i="3"/>
  <c r="H232" i="3"/>
  <c r="H233" i="3"/>
  <c r="G232" i="3"/>
  <c r="G233" i="3"/>
  <c r="D232" i="3"/>
  <c r="D233" i="3"/>
  <c r="AB229" i="3"/>
  <c r="AE229" i="3"/>
  <c r="AU232" i="3"/>
  <c r="AT232" i="3"/>
  <c r="AE228" i="3"/>
  <c r="AU231" i="3"/>
  <c r="AT231" i="3"/>
  <c r="AE227" i="3"/>
  <c r="AU230" i="3"/>
  <c r="AT230" i="3"/>
  <c r="D230" i="3"/>
  <c r="G230" i="3"/>
  <c r="J230" i="3"/>
  <c r="AU229" i="3"/>
  <c r="AT229" i="3"/>
  <c r="G229" i="3"/>
  <c r="J229" i="3"/>
  <c r="AU228" i="3"/>
  <c r="AT228" i="3"/>
  <c r="J228" i="3"/>
  <c r="AU227" i="3"/>
  <c r="AT227" i="3"/>
  <c r="J227" i="3"/>
  <c r="AU226" i="3"/>
  <c r="AT226" i="3"/>
  <c r="AF223" i="3"/>
  <c r="K223" i="3"/>
  <c r="E98" i="3"/>
  <c r="AL180" i="3"/>
  <c r="AG213" i="3"/>
  <c r="E102" i="3"/>
  <c r="R180" i="3"/>
  <c r="K213" i="3"/>
  <c r="E9" i="3"/>
  <c r="AL179" i="3"/>
  <c r="AG212" i="3"/>
  <c r="E17" i="3"/>
  <c r="R179" i="3"/>
  <c r="K212" i="3"/>
  <c r="E100" i="3"/>
  <c r="AB180" i="3"/>
  <c r="AG211" i="3"/>
  <c r="E96" i="3"/>
  <c r="H180" i="3"/>
  <c r="K211" i="3"/>
  <c r="E11" i="3"/>
  <c r="AB179" i="3"/>
  <c r="AG210" i="3"/>
  <c r="E15" i="3"/>
  <c r="H179" i="3"/>
  <c r="K210" i="3"/>
  <c r="U204" i="3"/>
  <c r="A204" i="3"/>
  <c r="AB203" i="3"/>
  <c r="F203" i="3"/>
  <c r="U199" i="3"/>
  <c r="A199" i="3"/>
  <c r="AF198" i="3"/>
  <c r="J198" i="3"/>
  <c r="U195" i="3"/>
  <c r="A195" i="3"/>
  <c r="AB193" i="3"/>
  <c r="T193" i="3"/>
  <c r="F193" i="3"/>
  <c r="A193" i="3"/>
  <c r="U190" i="3"/>
  <c r="A190" i="3"/>
  <c r="A174" i="3"/>
  <c r="AF161" i="3"/>
  <c r="S160" i="3"/>
  <c r="AF160" i="3"/>
  <c r="J159" i="3"/>
  <c r="AB159" i="3"/>
  <c r="AF159" i="3"/>
  <c r="D158" i="3"/>
  <c r="M158" i="3"/>
  <c r="V158" i="3"/>
  <c r="AF158" i="3"/>
  <c r="G157" i="3"/>
  <c r="P157" i="3"/>
  <c r="Y157" i="3"/>
  <c r="AE157" i="3"/>
  <c r="AF157" i="3"/>
  <c r="AF153" i="3"/>
  <c r="AG153" i="3"/>
  <c r="AF152" i="3"/>
  <c r="AG152" i="3"/>
  <c r="AF151" i="3"/>
  <c r="AG151" i="3"/>
  <c r="AF150" i="3"/>
  <c r="AG150" i="3"/>
  <c r="AF149" i="3"/>
  <c r="AG149" i="3"/>
  <c r="B147" i="3"/>
  <c r="B124" i="3"/>
  <c r="D124" i="3"/>
  <c r="B125" i="3"/>
  <c r="D125" i="3"/>
  <c r="B126" i="3"/>
  <c r="D126" i="3"/>
  <c r="B127" i="3"/>
  <c r="D127" i="3"/>
  <c r="B128" i="3"/>
  <c r="D128" i="3"/>
  <c r="B129" i="3"/>
  <c r="D147" i="3"/>
  <c r="E147" i="3"/>
  <c r="G147" i="3"/>
  <c r="H147" i="3"/>
  <c r="H124" i="3"/>
  <c r="J124" i="3"/>
  <c r="H125" i="3"/>
  <c r="J125" i="3"/>
  <c r="H126" i="3"/>
  <c r="J126" i="3"/>
  <c r="H127" i="3"/>
  <c r="J127" i="3"/>
  <c r="H128" i="3"/>
  <c r="J128" i="3"/>
  <c r="H129" i="3"/>
  <c r="J147" i="3"/>
  <c r="K147" i="3"/>
  <c r="M147" i="3"/>
  <c r="N147" i="3"/>
  <c r="P147" i="3"/>
  <c r="Q147" i="3"/>
  <c r="Q124" i="3"/>
  <c r="S124" i="3"/>
  <c r="Q125" i="3"/>
  <c r="S125" i="3"/>
  <c r="Q126" i="3"/>
  <c r="S126" i="3"/>
  <c r="Q127" i="3"/>
  <c r="S127" i="3"/>
  <c r="Q128" i="3"/>
  <c r="S128" i="3"/>
  <c r="Q129" i="3"/>
  <c r="S147" i="3"/>
  <c r="T147" i="3"/>
  <c r="V147" i="3"/>
  <c r="W147" i="3"/>
  <c r="W124" i="3"/>
  <c r="Y124" i="3"/>
  <c r="W125" i="3"/>
  <c r="Y125" i="3"/>
  <c r="W126" i="3"/>
  <c r="Y126" i="3"/>
  <c r="W127" i="3"/>
  <c r="Y127" i="3"/>
  <c r="W128" i="3"/>
  <c r="Y128" i="3"/>
  <c r="W129" i="3"/>
  <c r="Y147" i="3"/>
  <c r="Z147" i="3"/>
  <c r="AB147" i="3"/>
  <c r="AC147" i="3"/>
  <c r="AE147" i="3"/>
  <c r="AF147" i="3"/>
  <c r="B146" i="3"/>
  <c r="D146" i="3"/>
  <c r="E146" i="3"/>
  <c r="E124" i="3"/>
  <c r="G124" i="3"/>
  <c r="E125" i="3"/>
  <c r="G125" i="3"/>
  <c r="E126" i="3"/>
  <c r="G126" i="3"/>
  <c r="E127" i="3"/>
  <c r="G127" i="3"/>
  <c r="E128" i="3"/>
  <c r="G128" i="3"/>
  <c r="E129" i="3"/>
  <c r="G146" i="3"/>
  <c r="H146" i="3"/>
  <c r="J146" i="3"/>
  <c r="K146" i="3"/>
  <c r="K124" i="3"/>
  <c r="M124" i="3"/>
  <c r="K125" i="3"/>
  <c r="M125" i="3"/>
  <c r="K126" i="3"/>
  <c r="M126" i="3"/>
  <c r="K127" i="3"/>
  <c r="M127" i="3"/>
  <c r="K128" i="3"/>
  <c r="M128" i="3"/>
  <c r="K129" i="3"/>
  <c r="M146" i="3"/>
  <c r="N146" i="3"/>
  <c r="P146" i="3"/>
  <c r="Q146" i="3"/>
  <c r="S146" i="3"/>
  <c r="T146" i="3"/>
  <c r="V146" i="3"/>
  <c r="W146" i="3"/>
  <c r="Y146" i="3"/>
  <c r="Z146" i="3"/>
  <c r="Z124" i="3"/>
  <c r="AB124" i="3"/>
  <c r="Z125" i="3"/>
  <c r="AB125" i="3"/>
  <c r="Z126" i="3"/>
  <c r="AB126" i="3"/>
  <c r="Z127" i="3"/>
  <c r="AB127" i="3"/>
  <c r="Z128" i="3"/>
  <c r="AB128" i="3"/>
  <c r="Z129" i="3"/>
  <c r="AB146" i="3"/>
  <c r="AC146" i="3"/>
  <c r="AE146" i="3"/>
  <c r="AF146" i="3"/>
  <c r="B145" i="3"/>
  <c r="D145" i="3"/>
  <c r="E145" i="3"/>
  <c r="G145" i="3"/>
  <c r="H145" i="3"/>
  <c r="J145" i="3"/>
  <c r="K145" i="3"/>
  <c r="M145" i="3"/>
  <c r="N145" i="3"/>
  <c r="N124" i="3"/>
  <c r="P124" i="3"/>
  <c r="N125" i="3"/>
  <c r="P125" i="3"/>
  <c r="N126" i="3"/>
  <c r="P126" i="3"/>
  <c r="N127" i="3"/>
  <c r="P127" i="3"/>
  <c r="N128" i="3"/>
  <c r="P128" i="3"/>
  <c r="N129" i="3"/>
  <c r="P145" i="3"/>
  <c r="Q145" i="3"/>
  <c r="S145" i="3"/>
  <c r="T145" i="3"/>
  <c r="T124" i="3"/>
  <c r="V124" i="3"/>
  <c r="T125" i="3"/>
  <c r="V125" i="3"/>
  <c r="T126" i="3"/>
  <c r="V126" i="3"/>
  <c r="T127" i="3"/>
  <c r="V127" i="3"/>
  <c r="T128" i="3"/>
  <c r="V128" i="3"/>
  <c r="T129" i="3"/>
  <c r="V145" i="3"/>
  <c r="W145" i="3"/>
  <c r="Y145" i="3"/>
  <c r="Z145" i="3"/>
  <c r="AB145" i="3"/>
  <c r="AC145" i="3"/>
  <c r="AE145" i="3"/>
  <c r="AF145" i="3"/>
  <c r="B144" i="3"/>
  <c r="D144" i="3"/>
  <c r="E144" i="3"/>
  <c r="G144" i="3"/>
  <c r="H144" i="3"/>
  <c r="J144" i="3"/>
  <c r="K144" i="3"/>
  <c r="M144" i="3"/>
  <c r="N144" i="3"/>
  <c r="P144" i="3"/>
  <c r="Q144" i="3"/>
  <c r="S144" i="3"/>
  <c r="T144" i="3"/>
  <c r="V144" i="3"/>
  <c r="W144" i="3"/>
  <c r="Y144" i="3"/>
  <c r="Z144" i="3"/>
  <c r="AB144" i="3"/>
  <c r="AC144" i="3"/>
  <c r="AC124" i="3"/>
  <c r="AE124" i="3"/>
  <c r="AC125" i="3"/>
  <c r="AE125" i="3"/>
  <c r="AC126" i="3"/>
  <c r="AE126" i="3"/>
  <c r="AC127" i="3"/>
  <c r="AE127" i="3"/>
  <c r="AC128" i="3"/>
  <c r="AE128" i="3"/>
  <c r="AC129" i="3"/>
  <c r="AE144" i="3"/>
  <c r="AF144" i="3"/>
  <c r="B143" i="3"/>
  <c r="D143" i="3"/>
  <c r="E143" i="3"/>
  <c r="G143" i="3"/>
  <c r="H143" i="3"/>
  <c r="J143" i="3"/>
  <c r="K143" i="3"/>
  <c r="M143" i="3"/>
  <c r="N143" i="3"/>
  <c r="P143" i="3"/>
  <c r="Q143" i="3"/>
  <c r="S143" i="3"/>
  <c r="T143" i="3"/>
  <c r="V143" i="3"/>
  <c r="W143" i="3"/>
  <c r="Y143" i="3"/>
  <c r="Z143" i="3"/>
  <c r="AB143" i="3"/>
  <c r="AC143" i="3"/>
  <c r="AE143" i="3"/>
  <c r="AF143" i="3"/>
  <c r="B141" i="3"/>
  <c r="B122" i="3"/>
  <c r="D122" i="3"/>
  <c r="C122" i="3"/>
  <c r="D141" i="3"/>
  <c r="E141" i="3"/>
  <c r="G141" i="3"/>
  <c r="H141" i="3"/>
  <c r="H122" i="3"/>
  <c r="J122" i="3"/>
  <c r="I122" i="3"/>
  <c r="J141" i="3"/>
  <c r="K141" i="3"/>
  <c r="M141" i="3"/>
  <c r="N141" i="3"/>
  <c r="P141" i="3"/>
  <c r="Q141" i="3"/>
  <c r="Q122" i="3"/>
  <c r="S122" i="3"/>
  <c r="R122" i="3"/>
  <c r="S141" i="3"/>
  <c r="T141" i="3"/>
  <c r="V141" i="3"/>
  <c r="W141" i="3"/>
  <c r="W122" i="3"/>
  <c r="Y122" i="3"/>
  <c r="X122" i="3"/>
  <c r="Y141" i="3"/>
  <c r="Z141" i="3"/>
  <c r="AB141" i="3"/>
  <c r="AC141" i="3"/>
  <c r="AE141" i="3"/>
  <c r="AF141" i="3"/>
  <c r="B140" i="3"/>
  <c r="D140" i="3"/>
  <c r="E140" i="3"/>
  <c r="E122" i="3"/>
  <c r="G122" i="3"/>
  <c r="F122" i="3"/>
  <c r="G140" i="3"/>
  <c r="H140" i="3"/>
  <c r="J140" i="3"/>
  <c r="K140" i="3"/>
  <c r="K122" i="3"/>
  <c r="M122" i="3"/>
  <c r="L122" i="3"/>
  <c r="M140" i="3"/>
  <c r="N140" i="3"/>
  <c r="P140" i="3"/>
  <c r="Q140" i="3"/>
  <c r="S140" i="3"/>
  <c r="T140" i="3"/>
  <c r="V140" i="3"/>
  <c r="W140" i="3"/>
  <c r="Y140" i="3"/>
  <c r="Z140" i="3"/>
  <c r="Z122" i="3"/>
  <c r="AB122" i="3"/>
  <c r="AA122" i="3"/>
  <c r="AB140" i="3"/>
  <c r="AC140" i="3"/>
  <c r="AE140" i="3"/>
  <c r="AF140" i="3"/>
  <c r="B139" i="3"/>
  <c r="D139" i="3"/>
  <c r="E139" i="3"/>
  <c r="G139" i="3"/>
  <c r="H139" i="3"/>
  <c r="J139" i="3"/>
  <c r="K139" i="3"/>
  <c r="M139" i="3"/>
  <c r="N139" i="3"/>
  <c r="N122" i="3"/>
  <c r="P122" i="3"/>
  <c r="O122" i="3"/>
  <c r="P139" i="3"/>
  <c r="Q139" i="3"/>
  <c r="S139" i="3"/>
  <c r="T139" i="3"/>
  <c r="T122" i="3"/>
  <c r="V122" i="3"/>
  <c r="U122" i="3"/>
  <c r="V139" i="3"/>
  <c r="W139" i="3"/>
  <c r="Y139" i="3"/>
  <c r="Z139" i="3"/>
  <c r="AB139" i="3"/>
  <c r="AC139" i="3"/>
  <c r="AE139" i="3"/>
  <c r="AF139" i="3"/>
  <c r="B138" i="3"/>
  <c r="D138" i="3"/>
  <c r="E138" i="3"/>
  <c r="G138" i="3"/>
  <c r="H138" i="3"/>
  <c r="J138" i="3"/>
  <c r="K138" i="3"/>
  <c r="M138" i="3"/>
  <c r="N138" i="3"/>
  <c r="P138" i="3"/>
  <c r="Q138" i="3"/>
  <c r="S138" i="3"/>
  <c r="T138" i="3"/>
  <c r="V138" i="3"/>
  <c r="W138" i="3"/>
  <c r="Y138" i="3"/>
  <c r="Z138" i="3"/>
  <c r="AB138" i="3"/>
  <c r="AC138" i="3"/>
  <c r="AC122" i="3"/>
  <c r="AE122" i="3"/>
  <c r="AD122" i="3"/>
  <c r="AE138" i="3"/>
  <c r="AF138" i="3"/>
  <c r="B137" i="3"/>
  <c r="D137" i="3"/>
  <c r="E137" i="3"/>
  <c r="G137" i="3"/>
  <c r="H137" i="3"/>
  <c r="J137" i="3"/>
  <c r="K137" i="3"/>
  <c r="M137" i="3"/>
  <c r="N137" i="3"/>
  <c r="P137" i="3"/>
  <c r="Q137" i="3"/>
  <c r="S137" i="3"/>
  <c r="T137" i="3"/>
  <c r="V137" i="3"/>
  <c r="W137" i="3"/>
  <c r="Y137" i="3"/>
  <c r="Z137" i="3"/>
  <c r="AB137" i="3"/>
  <c r="AC137" i="3"/>
  <c r="AE137" i="3"/>
  <c r="AF137" i="3"/>
  <c r="B135" i="3"/>
  <c r="D135" i="3"/>
  <c r="E135" i="3"/>
  <c r="G135" i="3"/>
  <c r="H135" i="3"/>
  <c r="J135" i="3"/>
  <c r="K135" i="3"/>
  <c r="M135" i="3"/>
  <c r="N135" i="3"/>
  <c r="P135" i="3"/>
  <c r="Q135" i="3"/>
  <c r="S135" i="3"/>
  <c r="T135" i="3"/>
  <c r="V135" i="3"/>
  <c r="W135" i="3"/>
  <c r="Y135" i="3"/>
  <c r="Z135" i="3"/>
  <c r="AB135" i="3"/>
  <c r="AC135" i="3"/>
  <c r="AE135" i="3"/>
  <c r="AF135" i="3"/>
  <c r="AG135" i="3"/>
  <c r="B134" i="3"/>
  <c r="D134" i="3"/>
  <c r="E134" i="3"/>
  <c r="G134" i="3"/>
  <c r="H134" i="3"/>
  <c r="J134" i="3"/>
  <c r="K134" i="3"/>
  <c r="M134" i="3"/>
  <c r="N134" i="3"/>
  <c r="P134" i="3"/>
  <c r="Q134" i="3"/>
  <c r="S134" i="3"/>
  <c r="T134" i="3"/>
  <c r="V134" i="3"/>
  <c r="W134" i="3"/>
  <c r="Y134" i="3"/>
  <c r="Z134" i="3"/>
  <c r="AB134" i="3"/>
  <c r="AC134" i="3"/>
  <c r="AE134" i="3"/>
  <c r="AF134" i="3"/>
  <c r="AG134" i="3"/>
  <c r="B133" i="3"/>
  <c r="D133" i="3"/>
  <c r="E133" i="3"/>
  <c r="G133" i="3"/>
  <c r="H133" i="3"/>
  <c r="J133" i="3"/>
  <c r="K133" i="3"/>
  <c r="M133" i="3"/>
  <c r="N133" i="3"/>
  <c r="P133" i="3"/>
  <c r="Q133" i="3"/>
  <c r="S133" i="3"/>
  <c r="T133" i="3"/>
  <c r="V133" i="3"/>
  <c r="W133" i="3"/>
  <c r="Y133" i="3"/>
  <c r="Z133" i="3"/>
  <c r="AB133" i="3"/>
  <c r="AC133" i="3"/>
  <c r="AE133" i="3"/>
  <c r="AF133" i="3"/>
  <c r="AG133" i="3"/>
  <c r="B132" i="3"/>
  <c r="D132" i="3"/>
  <c r="E132" i="3"/>
  <c r="G132" i="3"/>
  <c r="H132" i="3"/>
  <c r="J132" i="3"/>
  <c r="K132" i="3"/>
  <c r="M132" i="3"/>
  <c r="N132" i="3"/>
  <c r="P132" i="3"/>
  <c r="Q132" i="3"/>
  <c r="S132" i="3"/>
  <c r="T132" i="3"/>
  <c r="V132" i="3"/>
  <c r="W132" i="3"/>
  <c r="Y132" i="3"/>
  <c r="Z132" i="3"/>
  <c r="AB132" i="3"/>
  <c r="AC132" i="3"/>
  <c r="AE132" i="3"/>
  <c r="AF132" i="3"/>
  <c r="AG132" i="3"/>
  <c r="B131" i="3"/>
  <c r="D131" i="3"/>
  <c r="E131" i="3"/>
  <c r="G131" i="3"/>
  <c r="H131" i="3"/>
  <c r="J131" i="3"/>
  <c r="K131" i="3"/>
  <c r="M131" i="3"/>
  <c r="N131" i="3"/>
  <c r="P131" i="3"/>
  <c r="Q131" i="3"/>
  <c r="S131" i="3"/>
  <c r="T131" i="3"/>
  <c r="V131" i="3"/>
  <c r="W131" i="3"/>
  <c r="Y131" i="3"/>
  <c r="Z131" i="3"/>
  <c r="AB131" i="3"/>
  <c r="AC131" i="3"/>
  <c r="AE131" i="3"/>
  <c r="AF131" i="3"/>
  <c r="AG131" i="3"/>
  <c r="AE115" i="3"/>
  <c r="AC115" i="3"/>
  <c r="AB115" i="3"/>
  <c r="Z115" i="3"/>
  <c r="Y115" i="3"/>
  <c r="W115" i="3"/>
  <c r="V115" i="3"/>
  <c r="T115" i="3"/>
  <c r="S115" i="3"/>
  <c r="Q115" i="3"/>
  <c r="P115" i="3"/>
  <c r="N115" i="3"/>
  <c r="M115" i="3"/>
  <c r="K115" i="3"/>
  <c r="J115" i="3"/>
  <c r="H115" i="3"/>
  <c r="G115" i="3"/>
  <c r="E115" i="3"/>
  <c r="D115" i="3"/>
  <c r="B115" i="3"/>
  <c r="AD114" i="3"/>
  <c r="AA114" i="3"/>
  <c r="X114" i="3"/>
  <c r="U114" i="3"/>
  <c r="R114" i="3"/>
  <c r="O114" i="3"/>
  <c r="L114" i="3"/>
  <c r="I114" i="3"/>
  <c r="F114" i="3"/>
  <c r="A114" i="3"/>
  <c r="AG113" i="3"/>
  <c r="AH113" i="3"/>
  <c r="AI113" i="3"/>
  <c r="AJ113" i="3"/>
  <c r="AK113" i="3"/>
  <c r="AL113" i="3"/>
  <c r="AM113" i="3"/>
  <c r="AN113" i="3"/>
  <c r="AO113" i="3"/>
  <c r="AP113" i="3"/>
  <c r="AQ113" i="3"/>
  <c r="AF113" i="3"/>
  <c r="AD113" i="3"/>
  <c r="AA113" i="3"/>
  <c r="X113" i="3"/>
  <c r="U113" i="3"/>
  <c r="R113" i="3"/>
  <c r="O113" i="3"/>
  <c r="L113" i="3"/>
  <c r="I113" i="3"/>
  <c r="F113" i="3"/>
  <c r="A113" i="3"/>
  <c r="AG112" i="3"/>
  <c r="AH112" i="3"/>
  <c r="AI112" i="3"/>
  <c r="AJ112" i="3"/>
  <c r="AK112" i="3"/>
  <c r="AL112" i="3"/>
  <c r="AM112" i="3"/>
  <c r="AN112" i="3"/>
  <c r="AO112" i="3"/>
  <c r="AP112" i="3"/>
  <c r="AQ112" i="3"/>
  <c r="AF112" i="3"/>
  <c r="AD112" i="3"/>
  <c r="AA112" i="3"/>
  <c r="X112" i="3"/>
  <c r="U112" i="3"/>
  <c r="R112" i="3"/>
  <c r="O112" i="3"/>
  <c r="L112" i="3"/>
  <c r="I112" i="3"/>
  <c r="F112" i="3"/>
  <c r="A112" i="3"/>
  <c r="AG111" i="3"/>
  <c r="AH111" i="3"/>
  <c r="AI111" i="3"/>
  <c r="AJ111" i="3"/>
  <c r="AK111" i="3"/>
  <c r="AL111" i="3"/>
  <c r="AM111" i="3"/>
  <c r="AN111" i="3"/>
  <c r="AO111" i="3"/>
  <c r="AP111" i="3"/>
  <c r="AQ111" i="3"/>
  <c r="AF111" i="3"/>
  <c r="AD111" i="3"/>
  <c r="AA111" i="3"/>
  <c r="X111" i="3"/>
  <c r="U111" i="3"/>
  <c r="R111" i="3"/>
  <c r="O111" i="3"/>
  <c r="L111" i="3"/>
  <c r="I111" i="3"/>
  <c r="F111" i="3"/>
  <c r="A111" i="3"/>
  <c r="AG110" i="3"/>
  <c r="AH110" i="3"/>
  <c r="AI110" i="3"/>
  <c r="AJ110" i="3"/>
  <c r="AK110" i="3"/>
  <c r="AL110" i="3"/>
  <c r="AM110" i="3"/>
  <c r="AN110" i="3"/>
  <c r="AO110" i="3"/>
  <c r="AP110" i="3"/>
  <c r="AQ110" i="3"/>
  <c r="AF110" i="3"/>
  <c r="AD110" i="3"/>
  <c r="AA110" i="3"/>
  <c r="X110" i="3"/>
  <c r="U110" i="3"/>
  <c r="R110" i="3"/>
  <c r="O110" i="3"/>
  <c r="L110" i="3"/>
  <c r="I110" i="3"/>
  <c r="F110" i="3"/>
  <c r="AG109" i="3"/>
  <c r="AH109" i="3"/>
  <c r="AI109" i="3"/>
  <c r="AJ109" i="3"/>
  <c r="AK109" i="3"/>
  <c r="AL109" i="3"/>
  <c r="AM109" i="3"/>
  <c r="AN109" i="3"/>
  <c r="AO109" i="3"/>
  <c r="AP109" i="3"/>
  <c r="AQ109" i="3"/>
  <c r="AF109" i="3"/>
  <c r="AD109" i="3"/>
  <c r="AA109" i="3"/>
  <c r="X109" i="3"/>
  <c r="U109" i="3"/>
  <c r="R109" i="3"/>
  <c r="O109" i="3"/>
  <c r="L109" i="3"/>
  <c r="I109" i="3"/>
  <c r="F109" i="3"/>
  <c r="AC107" i="3"/>
  <c r="Z107" i="3"/>
  <c r="W107" i="3"/>
  <c r="T107" i="3"/>
  <c r="Q107" i="3"/>
  <c r="N107" i="3"/>
  <c r="K107" i="3"/>
  <c r="H107" i="3"/>
  <c r="E107" i="3"/>
  <c r="AC101" i="3"/>
  <c r="Z101" i="3"/>
  <c r="W101" i="3"/>
  <c r="R101" i="3"/>
  <c r="L101" i="3"/>
  <c r="A101" i="3"/>
  <c r="AC99" i="3"/>
  <c r="Z99" i="3"/>
  <c r="W99" i="3"/>
  <c r="R99" i="3"/>
  <c r="L99" i="3"/>
  <c r="A99" i="3"/>
  <c r="AC97" i="3"/>
  <c r="Z97" i="3"/>
  <c r="W97" i="3"/>
  <c r="R97" i="3"/>
  <c r="L97" i="3"/>
  <c r="A97" i="3"/>
  <c r="AC95" i="3"/>
  <c r="Z95" i="3"/>
  <c r="W95" i="3"/>
  <c r="R95" i="3"/>
  <c r="L95" i="3"/>
  <c r="A95" i="3"/>
  <c r="E94" i="3"/>
  <c r="AC93" i="3"/>
  <c r="Z93" i="3"/>
  <c r="W93" i="3"/>
  <c r="R93" i="3"/>
  <c r="L93" i="3"/>
  <c r="A93" i="3"/>
  <c r="R92" i="3"/>
  <c r="L92" i="3"/>
  <c r="K91" i="3"/>
  <c r="A89" i="3"/>
  <c r="AF76" i="3"/>
  <c r="S75" i="3"/>
  <c r="AF75" i="3"/>
  <c r="J74" i="3"/>
  <c r="AB74" i="3"/>
  <c r="AF74" i="3"/>
  <c r="D73" i="3"/>
  <c r="M73" i="3"/>
  <c r="V73" i="3"/>
  <c r="AF73" i="3"/>
  <c r="G72" i="3"/>
  <c r="P72" i="3"/>
  <c r="Y72" i="3"/>
  <c r="AE72" i="3"/>
  <c r="AF72" i="3"/>
  <c r="AF68" i="3"/>
  <c r="AG68" i="3"/>
  <c r="AF67" i="3"/>
  <c r="AG67" i="3"/>
  <c r="AF66" i="3"/>
  <c r="AG66" i="3"/>
  <c r="AF65" i="3"/>
  <c r="AG65" i="3"/>
  <c r="AF64" i="3"/>
  <c r="AG64" i="3"/>
  <c r="B62" i="3"/>
  <c r="B39" i="3"/>
  <c r="D39" i="3"/>
  <c r="B40" i="3"/>
  <c r="D40" i="3"/>
  <c r="B41" i="3"/>
  <c r="D41" i="3"/>
  <c r="B42" i="3"/>
  <c r="D42" i="3"/>
  <c r="B43" i="3"/>
  <c r="D43" i="3"/>
  <c r="B44" i="3"/>
  <c r="D62" i="3"/>
  <c r="E62" i="3"/>
  <c r="G62" i="3"/>
  <c r="H62" i="3"/>
  <c r="H39" i="3"/>
  <c r="J39" i="3"/>
  <c r="H40" i="3"/>
  <c r="J40" i="3"/>
  <c r="H41" i="3"/>
  <c r="J41" i="3"/>
  <c r="H42" i="3"/>
  <c r="J42" i="3"/>
  <c r="H43" i="3"/>
  <c r="J43" i="3"/>
  <c r="H44" i="3"/>
  <c r="J62" i="3"/>
  <c r="K62" i="3"/>
  <c r="M62" i="3"/>
  <c r="N62" i="3"/>
  <c r="P62" i="3"/>
  <c r="Q62" i="3"/>
  <c r="Q39" i="3"/>
  <c r="S39" i="3"/>
  <c r="Q40" i="3"/>
  <c r="S40" i="3"/>
  <c r="Q41" i="3"/>
  <c r="S41" i="3"/>
  <c r="Q42" i="3"/>
  <c r="S42" i="3"/>
  <c r="Q43" i="3"/>
  <c r="S43" i="3"/>
  <c r="Q44" i="3"/>
  <c r="S62" i="3"/>
  <c r="T62" i="3"/>
  <c r="V62" i="3"/>
  <c r="W62" i="3"/>
  <c r="W39" i="3"/>
  <c r="Y39" i="3"/>
  <c r="W40" i="3"/>
  <c r="Y40" i="3"/>
  <c r="W41" i="3"/>
  <c r="Y41" i="3"/>
  <c r="W42" i="3"/>
  <c r="Y42" i="3"/>
  <c r="W43" i="3"/>
  <c r="Y43" i="3"/>
  <c r="W44" i="3"/>
  <c r="Y62" i="3"/>
  <c r="Z62" i="3"/>
  <c r="AB62" i="3"/>
  <c r="AC62" i="3"/>
  <c r="AE62" i="3"/>
  <c r="AF62" i="3"/>
  <c r="B61" i="3"/>
  <c r="D61" i="3"/>
  <c r="E61" i="3"/>
  <c r="E39" i="3"/>
  <c r="G39" i="3"/>
  <c r="E40" i="3"/>
  <c r="G40" i="3"/>
  <c r="E41" i="3"/>
  <c r="G41" i="3"/>
  <c r="E42" i="3"/>
  <c r="G42" i="3"/>
  <c r="E43" i="3"/>
  <c r="G43" i="3"/>
  <c r="E44" i="3"/>
  <c r="G61" i="3"/>
  <c r="H61" i="3"/>
  <c r="J61" i="3"/>
  <c r="K61" i="3"/>
  <c r="K39" i="3"/>
  <c r="M39" i="3"/>
  <c r="K40" i="3"/>
  <c r="M40" i="3"/>
  <c r="K41" i="3"/>
  <c r="M41" i="3"/>
  <c r="K42" i="3"/>
  <c r="M42" i="3"/>
  <c r="K43" i="3"/>
  <c r="M43" i="3"/>
  <c r="K44" i="3"/>
  <c r="M61" i="3"/>
  <c r="N61" i="3"/>
  <c r="P61" i="3"/>
  <c r="Q61" i="3"/>
  <c r="S61" i="3"/>
  <c r="T61" i="3"/>
  <c r="V61" i="3"/>
  <c r="W61" i="3"/>
  <c r="Y61" i="3"/>
  <c r="Z61" i="3"/>
  <c r="Z39" i="3"/>
  <c r="AB39" i="3"/>
  <c r="Z40" i="3"/>
  <c r="AB40" i="3"/>
  <c r="Z41" i="3"/>
  <c r="AB41" i="3"/>
  <c r="Z42" i="3"/>
  <c r="AB42" i="3"/>
  <c r="Z43" i="3"/>
  <c r="AB43" i="3"/>
  <c r="Z44" i="3"/>
  <c r="AB61" i="3"/>
  <c r="AC61" i="3"/>
  <c r="AE61" i="3"/>
  <c r="AF61" i="3"/>
  <c r="B60" i="3"/>
  <c r="D60" i="3"/>
  <c r="E60" i="3"/>
  <c r="G60" i="3"/>
  <c r="H60" i="3"/>
  <c r="J60" i="3"/>
  <c r="K60" i="3"/>
  <c r="M60" i="3"/>
  <c r="N60" i="3"/>
  <c r="N39" i="3"/>
  <c r="P39" i="3"/>
  <c r="N40" i="3"/>
  <c r="P40" i="3"/>
  <c r="N41" i="3"/>
  <c r="P41" i="3"/>
  <c r="N42" i="3"/>
  <c r="P42" i="3"/>
  <c r="N43" i="3"/>
  <c r="P43" i="3"/>
  <c r="N44" i="3"/>
  <c r="P60" i="3"/>
  <c r="Q60" i="3"/>
  <c r="S60" i="3"/>
  <c r="T60" i="3"/>
  <c r="T39" i="3"/>
  <c r="V39" i="3"/>
  <c r="T40" i="3"/>
  <c r="V40" i="3"/>
  <c r="T41" i="3"/>
  <c r="V41" i="3"/>
  <c r="T42" i="3"/>
  <c r="V42" i="3"/>
  <c r="T43" i="3"/>
  <c r="V43" i="3"/>
  <c r="T44" i="3"/>
  <c r="V60" i="3"/>
  <c r="W60" i="3"/>
  <c r="Y60" i="3"/>
  <c r="Z60" i="3"/>
  <c r="AB60" i="3"/>
  <c r="AC60" i="3"/>
  <c r="AE60" i="3"/>
  <c r="AF60" i="3"/>
  <c r="B59" i="3"/>
  <c r="D59" i="3"/>
  <c r="E59" i="3"/>
  <c r="G59" i="3"/>
  <c r="H59" i="3"/>
  <c r="J59" i="3"/>
  <c r="K59" i="3"/>
  <c r="M59" i="3"/>
  <c r="N59" i="3"/>
  <c r="P59" i="3"/>
  <c r="Q59" i="3"/>
  <c r="S59" i="3"/>
  <c r="T59" i="3"/>
  <c r="V59" i="3"/>
  <c r="W59" i="3"/>
  <c r="Y59" i="3"/>
  <c r="Z59" i="3"/>
  <c r="AB59" i="3"/>
  <c r="AC59" i="3"/>
  <c r="AC39" i="3"/>
  <c r="AE39" i="3"/>
  <c r="AC40" i="3"/>
  <c r="AE40" i="3"/>
  <c r="AC41" i="3"/>
  <c r="AE41" i="3"/>
  <c r="AC42" i="3"/>
  <c r="AE42" i="3"/>
  <c r="AC43" i="3"/>
  <c r="AE43" i="3"/>
  <c r="AC44" i="3"/>
  <c r="AE59" i="3"/>
  <c r="AF59" i="3"/>
  <c r="B58" i="3"/>
  <c r="D58" i="3"/>
  <c r="E58" i="3"/>
  <c r="G58" i="3"/>
  <c r="H58" i="3"/>
  <c r="J58" i="3"/>
  <c r="K58" i="3"/>
  <c r="M58" i="3"/>
  <c r="N58" i="3"/>
  <c r="P58" i="3"/>
  <c r="Q58" i="3"/>
  <c r="S58" i="3"/>
  <c r="T58" i="3"/>
  <c r="V58" i="3"/>
  <c r="W58" i="3"/>
  <c r="Y58" i="3"/>
  <c r="Z58" i="3"/>
  <c r="AB58" i="3"/>
  <c r="AC58" i="3"/>
  <c r="AE58" i="3"/>
  <c r="AF58" i="3"/>
  <c r="B56" i="3"/>
  <c r="B37" i="3"/>
  <c r="D37" i="3"/>
  <c r="C37" i="3"/>
  <c r="D56" i="3"/>
  <c r="E56" i="3"/>
  <c r="G56" i="3"/>
  <c r="H56" i="3"/>
  <c r="H37" i="3"/>
  <c r="J37" i="3"/>
  <c r="I37" i="3"/>
  <c r="J56" i="3"/>
  <c r="K56" i="3"/>
  <c r="M56" i="3"/>
  <c r="N56" i="3"/>
  <c r="P56" i="3"/>
  <c r="Q56" i="3"/>
  <c r="Q37" i="3"/>
  <c r="S37" i="3"/>
  <c r="R37" i="3"/>
  <c r="S56" i="3"/>
  <c r="T56" i="3"/>
  <c r="V56" i="3"/>
  <c r="W56" i="3"/>
  <c r="W37" i="3"/>
  <c r="Y37" i="3"/>
  <c r="X37" i="3"/>
  <c r="Y56" i="3"/>
  <c r="Z56" i="3"/>
  <c r="AB56" i="3"/>
  <c r="AC56" i="3"/>
  <c r="AE56" i="3"/>
  <c r="AF56" i="3"/>
  <c r="B55" i="3"/>
  <c r="D55" i="3"/>
  <c r="E55" i="3"/>
  <c r="E37" i="3"/>
  <c r="G37" i="3"/>
  <c r="F37" i="3"/>
  <c r="G55" i="3"/>
  <c r="H55" i="3"/>
  <c r="J55" i="3"/>
  <c r="K55" i="3"/>
  <c r="K37" i="3"/>
  <c r="M37" i="3"/>
  <c r="L37" i="3"/>
  <c r="M55" i="3"/>
  <c r="N55" i="3"/>
  <c r="P55" i="3"/>
  <c r="Q55" i="3"/>
  <c r="S55" i="3"/>
  <c r="T55" i="3"/>
  <c r="V55" i="3"/>
  <c r="W55" i="3"/>
  <c r="Y55" i="3"/>
  <c r="Z55" i="3"/>
  <c r="Z37" i="3"/>
  <c r="AB37" i="3"/>
  <c r="AA37" i="3"/>
  <c r="AB55" i="3"/>
  <c r="AC55" i="3"/>
  <c r="AE55" i="3"/>
  <c r="AF55" i="3"/>
  <c r="B54" i="3"/>
  <c r="D54" i="3"/>
  <c r="E54" i="3"/>
  <c r="G54" i="3"/>
  <c r="H54" i="3"/>
  <c r="J54" i="3"/>
  <c r="K54" i="3"/>
  <c r="M54" i="3"/>
  <c r="N54" i="3"/>
  <c r="N37" i="3"/>
  <c r="P37" i="3"/>
  <c r="O37" i="3"/>
  <c r="P54" i="3"/>
  <c r="Q54" i="3"/>
  <c r="S54" i="3"/>
  <c r="T54" i="3"/>
  <c r="T37" i="3"/>
  <c r="V37" i="3"/>
  <c r="U37" i="3"/>
  <c r="V54" i="3"/>
  <c r="W54" i="3"/>
  <c r="Y54" i="3"/>
  <c r="Z54" i="3"/>
  <c r="AB54" i="3"/>
  <c r="AC54" i="3"/>
  <c r="AE54" i="3"/>
  <c r="AF54" i="3"/>
  <c r="B53" i="3"/>
  <c r="D53" i="3"/>
  <c r="E53" i="3"/>
  <c r="G53" i="3"/>
  <c r="H53" i="3"/>
  <c r="J53" i="3"/>
  <c r="K53" i="3"/>
  <c r="M53" i="3"/>
  <c r="N53" i="3"/>
  <c r="P53" i="3"/>
  <c r="Q53" i="3"/>
  <c r="S53" i="3"/>
  <c r="T53" i="3"/>
  <c r="V53" i="3"/>
  <c r="W53" i="3"/>
  <c r="Y53" i="3"/>
  <c r="Z53" i="3"/>
  <c r="AB53" i="3"/>
  <c r="AC53" i="3"/>
  <c r="AC37" i="3"/>
  <c r="AE37" i="3"/>
  <c r="AD37" i="3"/>
  <c r="AE53" i="3"/>
  <c r="AF53" i="3"/>
  <c r="B52" i="3"/>
  <c r="D52" i="3"/>
  <c r="E52" i="3"/>
  <c r="G52" i="3"/>
  <c r="H52" i="3"/>
  <c r="J52" i="3"/>
  <c r="K52" i="3"/>
  <c r="M52" i="3"/>
  <c r="N52" i="3"/>
  <c r="P52" i="3"/>
  <c r="Q52" i="3"/>
  <c r="S52" i="3"/>
  <c r="T52" i="3"/>
  <c r="V52" i="3"/>
  <c r="W52" i="3"/>
  <c r="Y52" i="3"/>
  <c r="Z52" i="3"/>
  <c r="AB52" i="3"/>
  <c r="AC52" i="3"/>
  <c r="AE52" i="3"/>
  <c r="AF52" i="3"/>
  <c r="B50" i="3"/>
  <c r="D50" i="3"/>
  <c r="E50" i="3"/>
  <c r="G50" i="3"/>
  <c r="H50" i="3"/>
  <c r="J50" i="3"/>
  <c r="K50" i="3"/>
  <c r="M50" i="3"/>
  <c r="N50" i="3"/>
  <c r="P50" i="3"/>
  <c r="Q50" i="3"/>
  <c r="S50" i="3"/>
  <c r="T50" i="3"/>
  <c r="V50" i="3"/>
  <c r="W50" i="3"/>
  <c r="Y50" i="3"/>
  <c r="Z50" i="3"/>
  <c r="AB50" i="3"/>
  <c r="AC50" i="3"/>
  <c r="AE50" i="3"/>
  <c r="AF50" i="3"/>
  <c r="AG50" i="3"/>
  <c r="B49" i="3"/>
  <c r="D49" i="3"/>
  <c r="E49" i="3"/>
  <c r="G49" i="3"/>
  <c r="H49" i="3"/>
  <c r="J49" i="3"/>
  <c r="K49" i="3"/>
  <c r="M49" i="3"/>
  <c r="N49" i="3"/>
  <c r="P49" i="3"/>
  <c r="Q49" i="3"/>
  <c r="S49" i="3"/>
  <c r="T49" i="3"/>
  <c r="V49" i="3"/>
  <c r="W49" i="3"/>
  <c r="Y49" i="3"/>
  <c r="Z49" i="3"/>
  <c r="AB49" i="3"/>
  <c r="AC49" i="3"/>
  <c r="AE49" i="3"/>
  <c r="AF49" i="3"/>
  <c r="AG49" i="3"/>
  <c r="B48" i="3"/>
  <c r="D48" i="3"/>
  <c r="E48" i="3"/>
  <c r="G48" i="3"/>
  <c r="H48" i="3"/>
  <c r="J48" i="3"/>
  <c r="K48" i="3"/>
  <c r="M48" i="3"/>
  <c r="N48" i="3"/>
  <c r="P48" i="3"/>
  <c r="Q48" i="3"/>
  <c r="S48" i="3"/>
  <c r="T48" i="3"/>
  <c r="V48" i="3"/>
  <c r="W48" i="3"/>
  <c r="Y48" i="3"/>
  <c r="Z48" i="3"/>
  <c r="AB48" i="3"/>
  <c r="AC48" i="3"/>
  <c r="AE48" i="3"/>
  <c r="AF48" i="3"/>
  <c r="AG48" i="3"/>
  <c r="B47" i="3"/>
  <c r="D47" i="3"/>
  <c r="E47" i="3"/>
  <c r="G47" i="3"/>
  <c r="H47" i="3"/>
  <c r="J47" i="3"/>
  <c r="K47" i="3"/>
  <c r="M47" i="3"/>
  <c r="N47" i="3"/>
  <c r="P47" i="3"/>
  <c r="Q47" i="3"/>
  <c r="S47" i="3"/>
  <c r="T47" i="3"/>
  <c r="V47" i="3"/>
  <c r="W47" i="3"/>
  <c r="Y47" i="3"/>
  <c r="Z47" i="3"/>
  <c r="AB47" i="3"/>
  <c r="AC47" i="3"/>
  <c r="AE47" i="3"/>
  <c r="AF47" i="3"/>
  <c r="AG47" i="3"/>
  <c r="B46" i="3"/>
  <c r="D46" i="3"/>
  <c r="E46" i="3"/>
  <c r="G46" i="3"/>
  <c r="H46" i="3"/>
  <c r="J46" i="3"/>
  <c r="K46" i="3"/>
  <c r="M46" i="3"/>
  <c r="N46" i="3"/>
  <c r="P46" i="3"/>
  <c r="Q46" i="3"/>
  <c r="S46" i="3"/>
  <c r="T46" i="3"/>
  <c r="V46" i="3"/>
  <c r="W46" i="3"/>
  <c r="Y46" i="3"/>
  <c r="Z46" i="3"/>
  <c r="AB46" i="3"/>
  <c r="AC46" i="3"/>
  <c r="AE46" i="3"/>
  <c r="AF46" i="3"/>
  <c r="AG46" i="3"/>
  <c r="AE30" i="3"/>
  <c r="AC30" i="3"/>
  <c r="AB30" i="3"/>
  <c r="Z30" i="3"/>
  <c r="Y30" i="3"/>
  <c r="W30" i="3"/>
  <c r="V30" i="3"/>
  <c r="T30" i="3"/>
  <c r="S30" i="3"/>
  <c r="Q30" i="3"/>
  <c r="P30" i="3"/>
  <c r="N30" i="3"/>
  <c r="M30" i="3"/>
  <c r="K30" i="3"/>
  <c r="J30" i="3"/>
  <c r="H30" i="3"/>
  <c r="G30" i="3"/>
  <c r="E30" i="3"/>
  <c r="D30" i="3"/>
  <c r="B30" i="3"/>
  <c r="AD29" i="3"/>
  <c r="AA29" i="3"/>
  <c r="X29" i="3"/>
  <c r="U29" i="3"/>
  <c r="R29" i="3"/>
  <c r="O29" i="3"/>
  <c r="L29" i="3"/>
  <c r="I29" i="3"/>
  <c r="F29" i="3"/>
  <c r="A29" i="3"/>
  <c r="AG28" i="3"/>
  <c r="AH28" i="3"/>
  <c r="AI28" i="3"/>
  <c r="AJ28" i="3"/>
  <c r="AK28" i="3"/>
  <c r="AL28" i="3"/>
  <c r="AM28" i="3"/>
  <c r="AN28" i="3"/>
  <c r="AO28" i="3"/>
  <c r="AP28" i="3"/>
  <c r="AQ28" i="3"/>
  <c r="AF28" i="3"/>
  <c r="AD28" i="3"/>
  <c r="AA28" i="3"/>
  <c r="X28" i="3"/>
  <c r="U28" i="3"/>
  <c r="R28" i="3"/>
  <c r="O28" i="3"/>
  <c r="L28" i="3"/>
  <c r="I28" i="3"/>
  <c r="F28" i="3"/>
  <c r="A28" i="3"/>
  <c r="AG27" i="3"/>
  <c r="AH27" i="3"/>
  <c r="AI27" i="3"/>
  <c r="AJ27" i="3"/>
  <c r="AK27" i="3"/>
  <c r="AL27" i="3"/>
  <c r="AM27" i="3"/>
  <c r="AN27" i="3"/>
  <c r="AO27" i="3"/>
  <c r="AP27" i="3"/>
  <c r="AQ27" i="3"/>
  <c r="AF27" i="3"/>
  <c r="AD27" i="3"/>
  <c r="AA27" i="3"/>
  <c r="X27" i="3"/>
  <c r="U27" i="3"/>
  <c r="R27" i="3"/>
  <c r="O27" i="3"/>
  <c r="L27" i="3"/>
  <c r="I27" i="3"/>
  <c r="F27" i="3"/>
  <c r="A27" i="3"/>
  <c r="AG26" i="3"/>
  <c r="AH26" i="3"/>
  <c r="AI26" i="3"/>
  <c r="AJ26" i="3"/>
  <c r="AK26" i="3"/>
  <c r="AL26" i="3"/>
  <c r="AM26" i="3"/>
  <c r="AN26" i="3"/>
  <c r="AO26" i="3"/>
  <c r="AP26" i="3"/>
  <c r="AQ26" i="3"/>
  <c r="AF26" i="3"/>
  <c r="AD26" i="3"/>
  <c r="AA26" i="3"/>
  <c r="X26" i="3"/>
  <c r="U26" i="3"/>
  <c r="R26" i="3"/>
  <c r="O26" i="3"/>
  <c r="L26" i="3"/>
  <c r="I26" i="3"/>
  <c r="F26" i="3"/>
  <c r="A26" i="3"/>
  <c r="AG25" i="3"/>
  <c r="AH25" i="3"/>
  <c r="AI25" i="3"/>
  <c r="AJ25" i="3"/>
  <c r="AK25" i="3"/>
  <c r="AL25" i="3"/>
  <c r="AM25" i="3"/>
  <c r="AN25" i="3"/>
  <c r="AO25" i="3"/>
  <c r="AP25" i="3"/>
  <c r="AQ25" i="3"/>
  <c r="AF25" i="3"/>
  <c r="AD25" i="3"/>
  <c r="AA25" i="3"/>
  <c r="X25" i="3"/>
  <c r="U25" i="3"/>
  <c r="R25" i="3"/>
  <c r="O25" i="3"/>
  <c r="L25" i="3"/>
  <c r="I25" i="3"/>
  <c r="F25" i="3"/>
  <c r="AG24" i="3"/>
  <c r="AH24" i="3"/>
  <c r="AI24" i="3"/>
  <c r="AJ24" i="3"/>
  <c r="AK24" i="3"/>
  <c r="AL24" i="3"/>
  <c r="AM24" i="3"/>
  <c r="AN24" i="3"/>
  <c r="AO24" i="3"/>
  <c r="AP24" i="3"/>
  <c r="AQ24" i="3"/>
  <c r="AF24" i="3"/>
  <c r="AD24" i="3"/>
  <c r="AA24" i="3"/>
  <c r="X24" i="3"/>
  <c r="U24" i="3"/>
  <c r="R24" i="3"/>
  <c r="O24" i="3"/>
  <c r="L24" i="3"/>
  <c r="I24" i="3"/>
  <c r="F24" i="3"/>
  <c r="AC22" i="3"/>
  <c r="Z22" i="3"/>
  <c r="W22" i="3"/>
  <c r="T22" i="3"/>
  <c r="Q22" i="3"/>
  <c r="N22" i="3"/>
  <c r="K22" i="3"/>
  <c r="H22" i="3"/>
  <c r="E22" i="3"/>
  <c r="AC16" i="3"/>
  <c r="Z16" i="3"/>
  <c r="W16" i="3"/>
  <c r="R16" i="3"/>
  <c r="L16" i="3"/>
  <c r="A16" i="3"/>
  <c r="AC14" i="3"/>
  <c r="Z14" i="3"/>
  <c r="W14" i="3"/>
  <c r="R14" i="3"/>
  <c r="L14" i="3"/>
  <c r="A14" i="3"/>
  <c r="E13" i="3"/>
  <c r="AY12" i="3"/>
  <c r="AC12" i="3"/>
  <c r="Z12" i="3"/>
  <c r="W12" i="3"/>
  <c r="R12" i="3"/>
  <c r="L12" i="3"/>
  <c r="A12" i="3"/>
  <c r="AY11" i="3"/>
  <c r="AY10" i="3"/>
  <c r="AC10" i="3"/>
  <c r="Z10" i="3"/>
  <c r="W10" i="3"/>
  <c r="R10" i="3"/>
  <c r="L10" i="3"/>
  <c r="A10" i="3"/>
  <c r="AY9" i="3"/>
  <c r="AY8" i="3"/>
  <c r="AC8" i="3"/>
  <c r="Z8" i="3"/>
  <c r="W8" i="3"/>
  <c r="R8" i="3"/>
  <c r="L8" i="3"/>
  <c r="A8" i="3"/>
  <c r="AX7" i="3"/>
  <c r="AY7" i="3"/>
  <c r="R7" i="3"/>
  <c r="L7" i="3"/>
  <c r="AY6" i="3"/>
  <c r="K6" i="3"/>
  <c r="AY5" i="3"/>
  <c r="AX4" i="3"/>
  <c r="AY4" i="3"/>
  <c r="AY3" i="3"/>
  <c r="W219" i="2"/>
  <c r="W220" i="2"/>
  <c r="W221" i="2"/>
  <c r="W222" i="2"/>
  <c r="Y219" i="2"/>
  <c r="Y220" i="2"/>
  <c r="Y221" i="2"/>
  <c r="Y222" i="2"/>
  <c r="AC218" i="2"/>
  <c r="Z219" i="2"/>
  <c r="Z220" i="2"/>
  <c r="Z221" i="2"/>
  <c r="Z222" i="2"/>
  <c r="AB219" i="2"/>
  <c r="AB220" i="2"/>
  <c r="AB221" i="2"/>
  <c r="AB222" i="2"/>
  <c r="AE218" i="2"/>
  <c r="E99" i="2"/>
  <c r="AF180" i="2"/>
  <c r="X213" i="2"/>
  <c r="W230" i="2"/>
  <c r="E8" i="2"/>
  <c r="B79" i="2"/>
  <c r="AT79" i="2"/>
  <c r="E10" i="2"/>
  <c r="B80" i="2"/>
  <c r="AT80" i="2"/>
  <c r="E12" i="2"/>
  <c r="B81" i="2"/>
  <c r="AT81" i="2"/>
  <c r="E14" i="2"/>
  <c r="B82" i="2"/>
  <c r="AT82" i="2"/>
  <c r="AC31" i="2"/>
  <c r="AC32" i="2"/>
  <c r="AC33" i="2"/>
  <c r="AC34" i="2"/>
  <c r="AC35" i="2"/>
  <c r="AC64" i="2"/>
  <c r="AE64" i="2"/>
  <c r="AC65" i="2"/>
  <c r="AE31" i="2"/>
  <c r="AE32" i="2"/>
  <c r="AE33" i="2"/>
  <c r="AE34" i="2"/>
  <c r="AE35" i="2"/>
  <c r="AE65" i="2"/>
  <c r="AC66" i="2"/>
  <c r="AE66" i="2"/>
  <c r="AC67" i="2"/>
  <c r="AE67" i="2"/>
  <c r="AC68" i="2"/>
  <c r="AE68" i="2"/>
  <c r="AD71" i="2"/>
  <c r="AC72" i="2"/>
  <c r="AE72" i="2"/>
  <c r="Z72" i="2"/>
  <c r="AB72" i="2"/>
  <c r="W31" i="2"/>
  <c r="W32" i="2"/>
  <c r="W33" i="2"/>
  <c r="W34" i="2"/>
  <c r="W35" i="2"/>
  <c r="W64" i="2"/>
  <c r="Y64" i="2"/>
  <c r="W65" i="2"/>
  <c r="Y65" i="2"/>
  <c r="W66" i="2"/>
  <c r="Y66" i="2"/>
  <c r="W67" i="2"/>
  <c r="Y67" i="2"/>
  <c r="W68" i="2"/>
  <c r="Y31" i="2"/>
  <c r="Y32" i="2"/>
  <c r="Y33" i="2"/>
  <c r="Y34" i="2"/>
  <c r="Y35" i="2"/>
  <c r="Y68" i="2"/>
  <c r="X71" i="2"/>
  <c r="W72" i="2"/>
  <c r="Y72" i="2"/>
  <c r="T72" i="2"/>
  <c r="V72" i="2"/>
  <c r="Q31" i="2"/>
  <c r="Q32" i="2"/>
  <c r="Q33" i="2"/>
  <c r="Q34" i="2"/>
  <c r="Q35" i="2"/>
  <c r="Q64" i="2"/>
  <c r="S64" i="2"/>
  <c r="Q65" i="2"/>
  <c r="S31" i="2"/>
  <c r="S32" i="2"/>
  <c r="S33" i="2"/>
  <c r="S34" i="2"/>
  <c r="S35" i="2"/>
  <c r="S65" i="2"/>
  <c r="Q66" i="2"/>
  <c r="S66" i="2"/>
  <c r="Q67" i="2"/>
  <c r="S67" i="2"/>
  <c r="Q68" i="2"/>
  <c r="S68" i="2"/>
  <c r="R71" i="2"/>
  <c r="Q72" i="2"/>
  <c r="N72" i="2"/>
  <c r="P72" i="2"/>
  <c r="K31" i="2"/>
  <c r="K32" i="2"/>
  <c r="K33" i="2"/>
  <c r="K34" i="2"/>
  <c r="K35" i="2"/>
  <c r="K64" i="2"/>
  <c r="M64" i="2"/>
  <c r="K65" i="2"/>
  <c r="M65" i="2"/>
  <c r="K66" i="2"/>
  <c r="M31" i="2"/>
  <c r="M32" i="2"/>
  <c r="M33" i="2"/>
  <c r="M34" i="2"/>
  <c r="M35" i="2"/>
  <c r="M66" i="2"/>
  <c r="K67" i="2"/>
  <c r="M67" i="2"/>
  <c r="K68" i="2"/>
  <c r="M68" i="2"/>
  <c r="L71" i="2"/>
  <c r="K72" i="2"/>
  <c r="H72" i="2"/>
  <c r="J72" i="2"/>
  <c r="E31" i="2"/>
  <c r="E32" i="2"/>
  <c r="E33" i="2"/>
  <c r="E34" i="2"/>
  <c r="E35" i="2"/>
  <c r="E64" i="2"/>
  <c r="G64" i="2"/>
  <c r="E65" i="2"/>
  <c r="G65" i="2"/>
  <c r="E66" i="2"/>
  <c r="G66" i="2"/>
  <c r="E67" i="2"/>
  <c r="G31" i="2"/>
  <c r="G32" i="2"/>
  <c r="G33" i="2"/>
  <c r="G34" i="2"/>
  <c r="G35" i="2"/>
  <c r="G67" i="2"/>
  <c r="E68" i="2"/>
  <c r="G68" i="2"/>
  <c r="F71" i="2"/>
  <c r="E72" i="2"/>
  <c r="B72" i="2"/>
  <c r="D72" i="2"/>
  <c r="C79" i="2"/>
  <c r="D79" i="2"/>
  <c r="E85" i="2"/>
  <c r="E36" i="2"/>
  <c r="B75" i="2"/>
  <c r="D75" i="2"/>
  <c r="C82" i="2"/>
  <c r="D82" i="2"/>
  <c r="G85" i="2"/>
  <c r="G36" i="2"/>
  <c r="E86" i="2"/>
  <c r="E87" i="2"/>
  <c r="G79" i="2"/>
  <c r="J79" i="2"/>
  <c r="K85" i="2"/>
  <c r="K36" i="2"/>
  <c r="H74" i="2"/>
  <c r="J74" i="2"/>
  <c r="E74" i="2"/>
  <c r="G74" i="2"/>
  <c r="B74" i="2"/>
  <c r="B64" i="2"/>
  <c r="D64" i="2"/>
  <c r="B31" i="2"/>
  <c r="B32" i="2"/>
  <c r="B33" i="2"/>
  <c r="B34" i="2"/>
  <c r="B35" i="2"/>
  <c r="B65" i="2"/>
  <c r="D65" i="2"/>
  <c r="B66" i="2"/>
  <c r="D31" i="2"/>
  <c r="D32" i="2"/>
  <c r="D33" i="2"/>
  <c r="D34" i="2"/>
  <c r="D35" i="2"/>
  <c r="D66" i="2"/>
  <c r="B67" i="2"/>
  <c r="D67" i="2"/>
  <c r="B68" i="2"/>
  <c r="D68" i="2"/>
  <c r="C71" i="2"/>
  <c r="D74" i="2"/>
  <c r="C81" i="2"/>
  <c r="D85" i="2"/>
  <c r="D36" i="2"/>
  <c r="C80" i="2"/>
  <c r="B85" i="2"/>
  <c r="B36" i="2"/>
  <c r="D86" i="2"/>
  <c r="D87" i="2"/>
  <c r="D81" i="2"/>
  <c r="G81" i="2"/>
  <c r="J81" i="2"/>
  <c r="M85" i="2"/>
  <c r="M36" i="2"/>
  <c r="K86" i="2"/>
  <c r="K87" i="2"/>
  <c r="M79" i="2"/>
  <c r="P79" i="2"/>
  <c r="Q85" i="2"/>
  <c r="Q36" i="2"/>
  <c r="N73" i="2"/>
  <c r="P73" i="2"/>
  <c r="K73" i="2"/>
  <c r="M73" i="2"/>
  <c r="H64" i="2"/>
  <c r="J64" i="2"/>
  <c r="H31" i="2"/>
  <c r="H32" i="2"/>
  <c r="H33" i="2"/>
  <c r="H34" i="2"/>
  <c r="H35" i="2"/>
  <c r="H65" i="2"/>
  <c r="J65" i="2"/>
  <c r="H66" i="2"/>
  <c r="J66" i="2"/>
  <c r="H67" i="2"/>
  <c r="J31" i="2"/>
  <c r="J32" i="2"/>
  <c r="J33" i="2"/>
  <c r="J34" i="2"/>
  <c r="J35" i="2"/>
  <c r="J67" i="2"/>
  <c r="H68" i="2"/>
  <c r="J68" i="2"/>
  <c r="I71" i="2"/>
  <c r="H73" i="2"/>
  <c r="E73" i="2"/>
  <c r="G73" i="2"/>
  <c r="B73" i="2"/>
  <c r="B86" i="2"/>
  <c r="B87" i="2"/>
  <c r="D80" i="2"/>
  <c r="G80" i="2"/>
  <c r="H85" i="2"/>
  <c r="H36" i="2"/>
  <c r="E75" i="2"/>
  <c r="G75" i="2"/>
  <c r="G86" i="2"/>
  <c r="G87" i="2"/>
  <c r="G82" i="2"/>
  <c r="J85" i="2"/>
  <c r="J36" i="2"/>
  <c r="H86" i="2"/>
  <c r="H87" i="2"/>
  <c r="J80" i="2"/>
  <c r="M80" i="2"/>
  <c r="P80" i="2"/>
  <c r="S85" i="2"/>
  <c r="S36" i="2"/>
  <c r="Q86" i="2"/>
  <c r="Q87" i="2"/>
  <c r="S79" i="2"/>
  <c r="V79" i="2"/>
  <c r="Y79" i="2"/>
  <c r="AB79" i="2"/>
  <c r="AE79" i="2"/>
  <c r="AU79" i="2"/>
  <c r="AC73" i="2"/>
  <c r="AE73" i="2"/>
  <c r="Z73" i="2"/>
  <c r="AB73" i="2"/>
  <c r="W73" i="2"/>
  <c r="Y73" i="2"/>
  <c r="T64" i="2"/>
  <c r="V64" i="2"/>
  <c r="T31" i="2"/>
  <c r="T32" i="2"/>
  <c r="T33" i="2"/>
  <c r="T34" i="2"/>
  <c r="T35" i="2"/>
  <c r="T65" i="2"/>
  <c r="V65" i="2"/>
  <c r="T66" i="2"/>
  <c r="V31" i="2"/>
  <c r="V32" i="2"/>
  <c r="V33" i="2"/>
  <c r="V34" i="2"/>
  <c r="V35" i="2"/>
  <c r="V66" i="2"/>
  <c r="T67" i="2"/>
  <c r="V67" i="2"/>
  <c r="T68" i="2"/>
  <c r="V68" i="2"/>
  <c r="U71" i="2"/>
  <c r="T73" i="2"/>
  <c r="V73" i="2"/>
  <c r="Q73" i="2"/>
  <c r="S73" i="2"/>
  <c r="S86" i="2"/>
  <c r="S87" i="2"/>
  <c r="S80" i="2"/>
  <c r="V80" i="2"/>
  <c r="Y80" i="2"/>
  <c r="AB80" i="2"/>
  <c r="AE80" i="2"/>
  <c r="AU80" i="2"/>
  <c r="AC74" i="2"/>
  <c r="AE74" i="2"/>
  <c r="Z64" i="2"/>
  <c r="AB64" i="2"/>
  <c r="Z65" i="2"/>
  <c r="AB65" i="2"/>
  <c r="Z31" i="2"/>
  <c r="Z32" i="2"/>
  <c r="Z33" i="2"/>
  <c r="Z34" i="2"/>
  <c r="Z35" i="2"/>
  <c r="Z66" i="2"/>
  <c r="AB66" i="2"/>
  <c r="Z67" i="2"/>
  <c r="AB31" i="2"/>
  <c r="AB32" i="2"/>
  <c r="AB33" i="2"/>
  <c r="AB34" i="2"/>
  <c r="AB35" i="2"/>
  <c r="AB67" i="2"/>
  <c r="Z68" i="2"/>
  <c r="AB68" i="2"/>
  <c r="AA71" i="2"/>
  <c r="Z74" i="2"/>
  <c r="AB74" i="2"/>
  <c r="W74" i="2"/>
  <c r="Y74" i="2"/>
  <c r="T74" i="2"/>
  <c r="V74" i="2"/>
  <c r="Q74" i="2"/>
  <c r="S74" i="2"/>
  <c r="N64" i="2"/>
  <c r="P64" i="2"/>
  <c r="N65" i="2"/>
  <c r="P65" i="2"/>
  <c r="N31" i="2"/>
  <c r="N32" i="2"/>
  <c r="N33" i="2"/>
  <c r="N34" i="2"/>
  <c r="N35" i="2"/>
  <c r="N66" i="2"/>
  <c r="P66" i="2"/>
  <c r="N67" i="2"/>
  <c r="P31" i="2"/>
  <c r="P32" i="2"/>
  <c r="P33" i="2"/>
  <c r="P34" i="2"/>
  <c r="P35" i="2"/>
  <c r="P67" i="2"/>
  <c r="N68" i="2"/>
  <c r="P68" i="2"/>
  <c r="O71" i="2"/>
  <c r="N74" i="2"/>
  <c r="K74" i="2"/>
  <c r="M74" i="2"/>
  <c r="M86" i="2"/>
  <c r="M87" i="2"/>
  <c r="M81" i="2"/>
  <c r="N85" i="2"/>
  <c r="N36" i="2"/>
  <c r="K75" i="2"/>
  <c r="M75" i="2"/>
  <c r="H75" i="2"/>
  <c r="J75" i="2"/>
  <c r="J86" i="2"/>
  <c r="J87" i="2"/>
  <c r="J82" i="2"/>
  <c r="M82" i="2"/>
  <c r="P85" i="2"/>
  <c r="P36" i="2"/>
  <c r="N86" i="2"/>
  <c r="N87" i="2"/>
  <c r="P81" i="2"/>
  <c r="S81" i="2"/>
  <c r="V81" i="2"/>
  <c r="Y81" i="2"/>
  <c r="AB81" i="2"/>
  <c r="AE81" i="2"/>
  <c r="AU81" i="2"/>
  <c r="AC75" i="2"/>
  <c r="AE75" i="2"/>
  <c r="Z75" i="2"/>
  <c r="AB75" i="2"/>
  <c r="W75" i="2"/>
  <c r="Y75" i="2"/>
  <c r="T75" i="2"/>
  <c r="V75" i="2"/>
  <c r="Q75" i="2"/>
  <c r="S75" i="2"/>
  <c r="N75" i="2"/>
  <c r="P75" i="2"/>
  <c r="P86" i="2"/>
  <c r="P87" i="2"/>
  <c r="P82" i="2"/>
  <c r="S82" i="2"/>
  <c r="V82" i="2"/>
  <c r="Y82" i="2"/>
  <c r="AB82" i="2"/>
  <c r="AE82" i="2"/>
  <c r="AU82" i="2"/>
  <c r="E16" i="2"/>
  <c r="B83" i="2"/>
  <c r="AT83" i="2"/>
  <c r="AC76" i="2"/>
  <c r="AE76" i="2"/>
  <c r="Z76" i="2"/>
  <c r="AB76" i="2"/>
  <c r="W76" i="2"/>
  <c r="Y76" i="2"/>
  <c r="T76" i="2"/>
  <c r="V76" i="2"/>
  <c r="Q76" i="2"/>
  <c r="S76" i="2"/>
  <c r="N76" i="2"/>
  <c r="P76" i="2"/>
  <c r="K76" i="2"/>
  <c r="M76" i="2"/>
  <c r="H76" i="2"/>
  <c r="J76" i="2"/>
  <c r="E76" i="2"/>
  <c r="G76" i="2"/>
  <c r="B76" i="2"/>
  <c r="D76" i="2"/>
  <c r="C83" i="2"/>
  <c r="D83" i="2"/>
  <c r="G83" i="2"/>
  <c r="J83" i="2"/>
  <c r="M83" i="2"/>
  <c r="P83" i="2"/>
  <c r="S83" i="2"/>
  <c r="V83" i="2"/>
  <c r="Y83" i="2"/>
  <c r="AB83" i="2"/>
  <c r="AE83" i="2"/>
  <c r="AU83" i="2"/>
  <c r="E93" i="2"/>
  <c r="B164" i="2"/>
  <c r="AT164" i="2"/>
  <c r="AC116" i="2"/>
  <c r="AC117" i="2"/>
  <c r="AC118" i="2"/>
  <c r="AC119" i="2"/>
  <c r="AC120" i="2"/>
  <c r="AC149" i="2"/>
  <c r="AE149" i="2"/>
  <c r="AC150" i="2"/>
  <c r="AE116" i="2"/>
  <c r="AE117" i="2"/>
  <c r="AE118" i="2"/>
  <c r="AE119" i="2"/>
  <c r="AE120" i="2"/>
  <c r="AE150" i="2"/>
  <c r="AC151" i="2"/>
  <c r="AE151" i="2"/>
  <c r="AC152" i="2"/>
  <c r="AE152" i="2"/>
  <c r="AC153" i="2"/>
  <c r="AE153" i="2"/>
  <c r="AD156" i="2"/>
  <c r="AC157" i="2"/>
  <c r="AE157" i="2"/>
  <c r="Z157" i="2"/>
  <c r="AB157" i="2"/>
  <c r="W116" i="2"/>
  <c r="W117" i="2"/>
  <c r="W118" i="2"/>
  <c r="W119" i="2"/>
  <c r="W120" i="2"/>
  <c r="W149" i="2"/>
  <c r="Y149" i="2"/>
  <c r="W150" i="2"/>
  <c r="Y150" i="2"/>
  <c r="W151" i="2"/>
  <c r="Y151" i="2"/>
  <c r="W152" i="2"/>
  <c r="Y152" i="2"/>
  <c r="W153" i="2"/>
  <c r="Y116" i="2"/>
  <c r="Y117" i="2"/>
  <c r="Y118" i="2"/>
  <c r="Y119" i="2"/>
  <c r="Y120" i="2"/>
  <c r="Y153" i="2"/>
  <c r="X156" i="2"/>
  <c r="W157" i="2"/>
  <c r="Y157" i="2"/>
  <c r="T157" i="2"/>
  <c r="V157" i="2"/>
  <c r="Q116" i="2"/>
  <c r="Q117" i="2"/>
  <c r="Q118" i="2"/>
  <c r="Q119" i="2"/>
  <c r="Q120" i="2"/>
  <c r="Q149" i="2"/>
  <c r="S149" i="2"/>
  <c r="Q150" i="2"/>
  <c r="S116" i="2"/>
  <c r="S117" i="2"/>
  <c r="S118" i="2"/>
  <c r="S119" i="2"/>
  <c r="S120" i="2"/>
  <c r="S150" i="2"/>
  <c r="Q151" i="2"/>
  <c r="S151" i="2"/>
  <c r="Q152" i="2"/>
  <c r="S152" i="2"/>
  <c r="Q153" i="2"/>
  <c r="S153" i="2"/>
  <c r="R156" i="2"/>
  <c r="Q157" i="2"/>
  <c r="N157" i="2"/>
  <c r="P157" i="2"/>
  <c r="K116" i="2"/>
  <c r="K117" i="2"/>
  <c r="K118" i="2"/>
  <c r="K119" i="2"/>
  <c r="K120" i="2"/>
  <c r="K149" i="2"/>
  <c r="M149" i="2"/>
  <c r="K150" i="2"/>
  <c r="M150" i="2"/>
  <c r="K151" i="2"/>
  <c r="M116" i="2"/>
  <c r="M117" i="2"/>
  <c r="M118" i="2"/>
  <c r="M119" i="2"/>
  <c r="M120" i="2"/>
  <c r="M151" i="2"/>
  <c r="K152" i="2"/>
  <c r="M152" i="2"/>
  <c r="K153" i="2"/>
  <c r="M153" i="2"/>
  <c r="L156" i="2"/>
  <c r="K157" i="2"/>
  <c r="H157" i="2"/>
  <c r="J157" i="2"/>
  <c r="E116" i="2"/>
  <c r="E117" i="2"/>
  <c r="E118" i="2"/>
  <c r="E119" i="2"/>
  <c r="E120" i="2"/>
  <c r="E149" i="2"/>
  <c r="G149" i="2"/>
  <c r="E150" i="2"/>
  <c r="G150" i="2"/>
  <c r="E151" i="2"/>
  <c r="G151" i="2"/>
  <c r="E152" i="2"/>
  <c r="G116" i="2"/>
  <c r="G117" i="2"/>
  <c r="G118" i="2"/>
  <c r="G119" i="2"/>
  <c r="G120" i="2"/>
  <c r="G152" i="2"/>
  <c r="E153" i="2"/>
  <c r="G153" i="2"/>
  <c r="F156" i="2"/>
  <c r="E157" i="2"/>
  <c r="B157" i="2"/>
  <c r="D157" i="2"/>
  <c r="C164" i="2"/>
  <c r="D164" i="2"/>
  <c r="E170" i="2"/>
  <c r="E121" i="2"/>
  <c r="B160" i="2"/>
  <c r="D160" i="2"/>
  <c r="B167" i="2"/>
  <c r="C167" i="2"/>
  <c r="D167" i="2"/>
  <c r="G170" i="2"/>
  <c r="G121" i="2"/>
  <c r="E171" i="2"/>
  <c r="E172" i="2"/>
  <c r="G164" i="2"/>
  <c r="J164" i="2"/>
  <c r="K170" i="2"/>
  <c r="K121" i="2"/>
  <c r="H159" i="2"/>
  <c r="J159" i="2"/>
  <c r="E159" i="2"/>
  <c r="G159" i="2"/>
  <c r="B159" i="2"/>
  <c r="B149" i="2"/>
  <c r="D149" i="2"/>
  <c r="B116" i="2"/>
  <c r="B117" i="2"/>
  <c r="B118" i="2"/>
  <c r="B119" i="2"/>
  <c r="B120" i="2"/>
  <c r="B150" i="2"/>
  <c r="D150" i="2"/>
  <c r="B151" i="2"/>
  <c r="D116" i="2"/>
  <c r="D117" i="2"/>
  <c r="D118" i="2"/>
  <c r="D119" i="2"/>
  <c r="D120" i="2"/>
  <c r="D151" i="2"/>
  <c r="B152" i="2"/>
  <c r="D152" i="2"/>
  <c r="B153" i="2"/>
  <c r="D153" i="2"/>
  <c r="C156" i="2"/>
  <c r="D159" i="2"/>
  <c r="E97" i="2"/>
  <c r="B166" i="2"/>
  <c r="C166" i="2"/>
  <c r="D170" i="2"/>
  <c r="D121" i="2"/>
  <c r="E95" i="2"/>
  <c r="B165" i="2"/>
  <c r="C165" i="2"/>
  <c r="B170" i="2"/>
  <c r="B121" i="2"/>
  <c r="D171" i="2"/>
  <c r="D172" i="2"/>
  <c r="D166" i="2"/>
  <c r="G166" i="2"/>
  <c r="J166" i="2"/>
  <c r="M170" i="2"/>
  <c r="M121" i="2"/>
  <c r="K171" i="2"/>
  <c r="K172" i="2"/>
  <c r="M164" i="2"/>
  <c r="P164" i="2"/>
  <c r="Q170" i="2"/>
  <c r="Q121" i="2"/>
  <c r="N158" i="2"/>
  <c r="P158" i="2"/>
  <c r="K158" i="2"/>
  <c r="M158" i="2"/>
  <c r="H149" i="2"/>
  <c r="J149" i="2"/>
  <c r="H116" i="2"/>
  <c r="H117" i="2"/>
  <c r="H118" i="2"/>
  <c r="H119" i="2"/>
  <c r="H120" i="2"/>
  <c r="H150" i="2"/>
  <c r="J150" i="2"/>
  <c r="H151" i="2"/>
  <c r="J151" i="2"/>
  <c r="H152" i="2"/>
  <c r="J116" i="2"/>
  <c r="J117" i="2"/>
  <c r="J118" i="2"/>
  <c r="J119" i="2"/>
  <c r="J120" i="2"/>
  <c r="J152" i="2"/>
  <c r="H153" i="2"/>
  <c r="J153" i="2"/>
  <c r="I156" i="2"/>
  <c r="H158" i="2"/>
  <c r="E158" i="2"/>
  <c r="G158" i="2"/>
  <c r="B158" i="2"/>
  <c r="B171" i="2"/>
  <c r="B172" i="2"/>
  <c r="D165" i="2"/>
  <c r="G165" i="2"/>
  <c r="H170" i="2"/>
  <c r="H121" i="2"/>
  <c r="E160" i="2"/>
  <c r="G160" i="2"/>
  <c r="G171" i="2"/>
  <c r="G172" i="2"/>
  <c r="G167" i="2"/>
  <c r="J170" i="2"/>
  <c r="J121" i="2"/>
  <c r="H171" i="2"/>
  <c r="H172" i="2"/>
  <c r="J165" i="2"/>
  <c r="M165" i="2"/>
  <c r="P165" i="2"/>
  <c r="S170" i="2"/>
  <c r="S121" i="2"/>
  <c r="Q171" i="2"/>
  <c r="Q172" i="2"/>
  <c r="S164" i="2"/>
  <c r="V164" i="2"/>
  <c r="Y164" i="2"/>
  <c r="AB164" i="2"/>
  <c r="AE164" i="2"/>
  <c r="AU164" i="2"/>
  <c r="AT165" i="2"/>
  <c r="AC158" i="2"/>
  <c r="AE158" i="2"/>
  <c r="Z158" i="2"/>
  <c r="AB158" i="2"/>
  <c r="W158" i="2"/>
  <c r="Y158" i="2"/>
  <c r="T149" i="2"/>
  <c r="V149" i="2"/>
  <c r="T116" i="2"/>
  <c r="T117" i="2"/>
  <c r="T118" i="2"/>
  <c r="T119" i="2"/>
  <c r="T120" i="2"/>
  <c r="T150" i="2"/>
  <c r="V150" i="2"/>
  <c r="T151" i="2"/>
  <c r="V116" i="2"/>
  <c r="V117" i="2"/>
  <c r="V118" i="2"/>
  <c r="V119" i="2"/>
  <c r="V120" i="2"/>
  <c r="V151" i="2"/>
  <c r="T152" i="2"/>
  <c r="V152" i="2"/>
  <c r="T153" i="2"/>
  <c r="V153" i="2"/>
  <c r="U156" i="2"/>
  <c r="T158" i="2"/>
  <c r="V158" i="2"/>
  <c r="Q158" i="2"/>
  <c r="S158" i="2"/>
  <c r="S171" i="2"/>
  <c r="S172" i="2"/>
  <c r="S165" i="2"/>
  <c r="V165" i="2"/>
  <c r="Y165" i="2"/>
  <c r="AB165" i="2"/>
  <c r="AE165" i="2"/>
  <c r="AU165" i="2"/>
  <c r="AT166" i="2"/>
  <c r="AC159" i="2"/>
  <c r="AE159" i="2"/>
  <c r="Z149" i="2"/>
  <c r="AB149" i="2"/>
  <c r="Z150" i="2"/>
  <c r="AB150" i="2"/>
  <c r="Z116" i="2"/>
  <c r="Z117" i="2"/>
  <c r="Z118" i="2"/>
  <c r="Z119" i="2"/>
  <c r="Z120" i="2"/>
  <c r="Z151" i="2"/>
  <c r="AB151" i="2"/>
  <c r="Z152" i="2"/>
  <c r="AB116" i="2"/>
  <c r="AB117" i="2"/>
  <c r="AB118" i="2"/>
  <c r="AB119" i="2"/>
  <c r="AB120" i="2"/>
  <c r="AB152" i="2"/>
  <c r="Z153" i="2"/>
  <c r="AB153" i="2"/>
  <c r="AA156" i="2"/>
  <c r="Z159" i="2"/>
  <c r="AB159" i="2"/>
  <c r="W159" i="2"/>
  <c r="Y159" i="2"/>
  <c r="T159" i="2"/>
  <c r="V159" i="2"/>
  <c r="Q159" i="2"/>
  <c r="S159" i="2"/>
  <c r="N149" i="2"/>
  <c r="P149" i="2"/>
  <c r="N150" i="2"/>
  <c r="P150" i="2"/>
  <c r="N116" i="2"/>
  <c r="N117" i="2"/>
  <c r="N118" i="2"/>
  <c r="N119" i="2"/>
  <c r="N120" i="2"/>
  <c r="N151" i="2"/>
  <c r="P151" i="2"/>
  <c r="N152" i="2"/>
  <c r="P116" i="2"/>
  <c r="P117" i="2"/>
  <c r="P118" i="2"/>
  <c r="P119" i="2"/>
  <c r="P120" i="2"/>
  <c r="P152" i="2"/>
  <c r="N153" i="2"/>
  <c r="P153" i="2"/>
  <c r="O156" i="2"/>
  <c r="N159" i="2"/>
  <c r="K159" i="2"/>
  <c r="M159" i="2"/>
  <c r="M171" i="2"/>
  <c r="M172" i="2"/>
  <c r="M166" i="2"/>
  <c r="N170" i="2"/>
  <c r="N121" i="2"/>
  <c r="K160" i="2"/>
  <c r="M160" i="2"/>
  <c r="H160" i="2"/>
  <c r="J160" i="2"/>
  <c r="J171" i="2"/>
  <c r="J172" i="2"/>
  <c r="J167" i="2"/>
  <c r="M167" i="2"/>
  <c r="P170" i="2"/>
  <c r="P121" i="2"/>
  <c r="N171" i="2"/>
  <c r="N172" i="2"/>
  <c r="P166" i="2"/>
  <c r="S166" i="2"/>
  <c r="V166" i="2"/>
  <c r="Y166" i="2"/>
  <c r="AB166" i="2"/>
  <c r="AE166" i="2"/>
  <c r="AU166" i="2"/>
  <c r="AT167" i="2"/>
  <c r="AC160" i="2"/>
  <c r="AE160" i="2"/>
  <c r="Z160" i="2"/>
  <c r="AB160" i="2"/>
  <c r="W160" i="2"/>
  <c r="Y160" i="2"/>
  <c r="T160" i="2"/>
  <c r="V160" i="2"/>
  <c r="Q160" i="2"/>
  <c r="S160" i="2"/>
  <c r="N160" i="2"/>
  <c r="P160" i="2"/>
  <c r="P171" i="2"/>
  <c r="P172" i="2"/>
  <c r="P167" i="2"/>
  <c r="S167" i="2"/>
  <c r="V167" i="2"/>
  <c r="Y167" i="2"/>
  <c r="AB167" i="2"/>
  <c r="AE167" i="2"/>
  <c r="AU167" i="2"/>
  <c r="E101" i="2"/>
  <c r="B168" i="2"/>
  <c r="AT168" i="2"/>
  <c r="AC161" i="2"/>
  <c r="AE161" i="2"/>
  <c r="Z161" i="2"/>
  <c r="AB161" i="2"/>
  <c r="W161" i="2"/>
  <c r="Y161" i="2"/>
  <c r="T161" i="2"/>
  <c r="V161" i="2"/>
  <c r="Q161" i="2"/>
  <c r="S161" i="2"/>
  <c r="N161" i="2"/>
  <c r="P161" i="2"/>
  <c r="K161" i="2"/>
  <c r="M161" i="2"/>
  <c r="H161" i="2"/>
  <c r="J161" i="2"/>
  <c r="E161" i="2"/>
  <c r="G161" i="2"/>
  <c r="B161" i="2"/>
  <c r="D161" i="2"/>
  <c r="C168" i="2"/>
  <c r="D168" i="2"/>
  <c r="G168" i="2"/>
  <c r="J168" i="2"/>
  <c r="M168" i="2"/>
  <c r="P168" i="2"/>
  <c r="S168" i="2"/>
  <c r="V168" i="2"/>
  <c r="Y168" i="2"/>
  <c r="AB168" i="2"/>
  <c r="AE168" i="2"/>
  <c r="AU168" i="2"/>
  <c r="AX9" i="2"/>
  <c r="X230" i="2"/>
  <c r="Y231" i="2"/>
  <c r="W22" i="2"/>
  <c r="V179" i="2"/>
  <c r="X210" i="2"/>
  <c r="W227" i="2"/>
  <c r="AX6" i="2"/>
  <c r="X227" i="2"/>
  <c r="W231" i="2"/>
  <c r="Y232" i="2"/>
  <c r="Y233" i="2"/>
  <c r="Y230" i="2"/>
  <c r="AB230" i="2"/>
  <c r="AE230" i="2"/>
  <c r="AU233" i="2"/>
  <c r="AT233" i="2"/>
  <c r="V180" i="2"/>
  <c r="X211" i="2"/>
  <c r="W228" i="2"/>
  <c r="AX8" i="2"/>
  <c r="X228" i="2"/>
  <c r="Y228" i="2"/>
  <c r="Z231" i="2"/>
  <c r="AF179" i="2"/>
  <c r="X212" i="2"/>
  <c r="W229" i="2"/>
  <c r="AX10" i="2"/>
  <c r="X229" i="2"/>
  <c r="Y229" i="2"/>
  <c r="AB231" i="2"/>
  <c r="Z232" i="2"/>
  <c r="Z233" i="2"/>
  <c r="AB228" i="2"/>
  <c r="AE231" i="2"/>
  <c r="AE219" i="2"/>
  <c r="AE220" i="2"/>
  <c r="AE221" i="2"/>
  <c r="AE222" i="2"/>
  <c r="AC22" i="2"/>
  <c r="W232" i="2"/>
  <c r="W233" i="2"/>
  <c r="Y227" i="2"/>
  <c r="AB227" i="2"/>
  <c r="AC231" i="2"/>
  <c r="AC219" i="2"/>
  <c r="AC220" i="2"/>
  <c r="AC221" i="2"/>
  <c r="AC222" i="2"/>
  <c r="AE232" i="2"/>
  <c r="AE233" i="2"/>
  <c r="AC232" i="2"/>
  <c r="AC233" i="2"/>
  <c r="Z22" i="2"/>
  <c r="AB232" i="2"/>
  <c r="AB233" i="2"/>
  <c r="E219" i="2"/>
  <c r="E220" i="2"/>
  <c r="E221" i="2"/>
  <c r="E222" i="2"/>
  <c r="G219" i="2"/>
  <c r="G220" i="2"/>
  <c r="G221" i="2"/>
  <c r="G222" i="2"/>
  <c r="J218" i="2"/>
  <c r="L179" i="2"/>
  <c r="B212" i="2"/>
  <c r="B229" i="2"/>
  <c r="AX3" i="2"/>
  <c r="C229" i="2"/>
  <c r="D229" i="2"/>
  <c r="G231" i="2"/>
  <c r="E22" i="2"/>
  <c r="B180" i="2"/>
  <c r="B211" i="2"/>
  <c r="B228" i="2"/>
  <c r="AX5" i="2"/>
  <c r="C228" i="2"/>
  <c r="D228" i="2"/>
  <c r="E231" i="2"/>
  <c r="G232" i="2"/>
  <c r="G233" i="2"/>
  <c r="G229" i="2"/>
  <c r="J231" i="2"/>
  <c r="J219" i="2"/>
  <c r="J220" i="2"/>
  <c r="J221" i="2"/>
  <c r="J222" i="2"/>
  <c r="H22" i="2"/>
  <c r="B219" i="2"/>
  <c r="B220" i="2"/>
  <c r="B221" i="2"/>
  <c r="B222" i="2"/>
  <c r="D219" i="2"/>
  <c r="D220" i="2"/>
  <c r="D221" i="2"/>
  <c r="D222" i="2"/>
  <c r="H218" i="2"/>
  <c r="B179" i="2"/>
  <c r="B210" i="2"/>
  <c r="B227" i="2"/>
  <c r="AX7" i="2"/>
  <c r="C227" i="2"/>
  <c r="B231" i="2"/>
  <c r="L180" i="2"/>
  <c r="B213" i="2"/>
  <c r="B230" i="2"/>
  <c r="AX4" i="2"/>
  <c r="C230" i="2"/>
  <c r="D231" i="2"/>
  <c r="B232" i="2"/>
  <c r="B233" i="2"/>
  <c r="D227" i="2"/>
  <c r="G227" i="2"/>
  <c r="H231" i="2"/>
  <c r="H219" i="2"/>
  <c r="H220" i="2"/>
  <c r="H221" i="2"/>
  <c r="H222" i="2"/>
  <c r="J232" i="2"/>
  <c r="J233" i="2"/>
  <c r="H232" i="2"/>
  <c r="H233" i="2"/>
  <c r="E232" i="2"/>
  <c r="E233" i="2"/>
  <c r="D232" i="2"/>
  <c r="D233" i="2"/>
  <c r="AB229" i="2"/>
  <c r="AE229" i="2"/>
  <c r="AU232" i="2"/>
  <c r="AT232" i="2"/>
  <c r="AE228" i="2"/>
  <c r="AU231" i="2"/>
  <c r="AT231" i="2"/>
  <c r="AE227" i="2"/>
  <c r="AU230" i="2"/>
  <c r="AT230" i="2"/>
  <c r="D230" i="2"/>
  <c r="G230" i="2"/>
  <c r="J230" i="2"/>
  <c r="AU229" i="2"/>
  <c r="AT229" i="2"/>
  <c r="J229" i="2"/>
  <c r="AU228" i="2"/>
  <c r="AT228" i="2"/>
  <c r="G228" i="2"/>
  <c r="J228" i="2"/>
  <c r="AU227" i="2"/>
  <c r="AT227" i="2"/>
  <c r="J227" i="2"/>
  <c r="AU226" i="2"/>
  <c r="AT226" i="2"/>
  <c r="AF223" i="2"/>
  <c r="K223" i="2"/>
  <c r="E100" i="2"/>
  <c r="AL180" i="2"/>
  <c r="AG213" i="2"/>
  <c r="E94" i="2"/>
  <c r="R180" i="2"/>
  <c r="K213" i="2"/>
  <c r="E15" i="2"/>
  <c r="AL179" i="2"/>
  <c r="AG212" i="2"/>
  <c r="E9" i="2"/>
  <c r="R179" i="2"/>
  <c r="K212" i="2"/>
  <c r="E98" i="2"/>
  <c r="AB180" i="2"/>
  <c r="AG211" i="2"/>
  <c r="E96" i="2"/>
  <c r="H180" i="2"/>
  <c r="K211" i="2"/>
  <c r="E11" i="2"/>
  <c r="AB179" i="2"/>
  <c r="AG210" i="2"/>
  <c r="E13" i="2"/>
  <c r="H179" i="2"/>
  <c r="K210" i="2"/>
  <c r="U204" i="2"/>
  <c r="A204" i="2"/>
  <c r="AB203" i="2"/>
  <c r="F203" i="2"/>
  <c r="U199" i="2"/>
  <c r="A199" i="2"/>
  <c r="AF198" i="2"/>
  <c r="J198" i="2"/>
  <c r="U195" i="2"/>
  <c r="A195" i="2"/>
  <c r="AB193" i="2"/>
  <c r="T193" i="2"/>
  <c r="F193" i="2"/>
  <c r="A193" i="2"/>
  <c r="U190" i="2"/>
  <c r="A190" i="2"/>
  <c r="A174" i="2"/>
  <c r="AE170" i="2"/>
  <c r="AE121" i="2"/>
  <c r="AC170" i="2"/>
  <c r="AC121" i="2"/>
  <c r="AE171" i="2"/>
  <c r="AE172" i="2"/>
  <c r="AC171" i="2"/>
  <c r="AC172" i="2"/>
  <c r="AB170" i="2"/>
  <c r="AB121" i="2"/>
  <c r="Z170" i="2"/>
  <c r="Z121" i="2"/>
  <c r="AB171" i="2"/>
  <c r="AB172" i="2"/>
  <c r="Z171" i="2"/>
  <c r="Z172" i="2"/>
  <c r="Y170" i="2"/>
  <c r="Y121" i="2"/>
  <c r="W170" i="2"/>
  <c r="W121" i="2"/>
  <c r="Y171" i="2"/>
  <c r="Y172" i="2"/>
  <c r="W171" i="2"/>
  <c r="W172" i="2"/>
  <c r="V170" i="2"/>
  <c r="V121" i="2"/>
  <c r="T170" i="2"/>
  <c r="T121" i="2"/>
  <c r="V171" i="2"/>
  <c r="V172" i="2"/>
  <c r="T171" i="2"/>
  <c r="T172" i="2"/>
  <c r="AF161" i="2"/>
  <c r="AF160" i="2"/>
  <c r="P159" i="2"/>
  <c r="AF159" i="2"/>
  <c r="D158" i="2"/>
  <c r="J158" i="2"/>
  <c r="AF158" i="2"/>
  <c r="G157" i="2"/>
  <c r="M157" i="2"/>
  <c r="S157" i="2"/>
  <c r="AF157" i="2"/>
  <c r="AF153" i="2"/>
  <c r="AG153" i="2"/>
  <c r="AF152" i="2"/>
  <c r="AG152" i="2"/>
  <c r="AF151" i="2"/>
  <c r="AG151" i="2"/>
  <c r="AF150" i="2"/>
  <c r="AG150" i="2"/>
  <c r="AF149" i="2"/>
  <c r="AG149" i="2"/>
  <c r="B147" i="2"/>
  <c r="D147" i="2"/>
  <c r="E147" i="2"/>
  <c r="G147" i="2"/>
  <c r="H147" i="2"/>
  <c r="J147" i="2"/>
  <c r="K147" i="2"/>
  <c r="M147" i="2"/>
  <c r="N147" i="2"/>
  <c r="P147" i="2"/>
  <c r="Q147" i="2"/>
  <c r="S147" i="2"/>
  <c r="T147" i="2"/>
  <c r="V147" i="2"/>
  <c r="W147" i="2"/>
  <c r="W124" i="2"/>
  <c r="Y124" i="2"/>
  <c r="W125" i="2"/>
  <c r="Y125" i="2"/>
  <c r="W126" i="2"/>
  <c r="Y126" i="2"/>
  <c r="W127" i="2"/>
  <c r="Y127" i="2"/>
  <c r="W128" i="2"/>
  <c r="Y128" i="2"/>
  <c r="W129" i="2"/>
  <c r="Y147" i="2"/>
  <c r="Z147" i="2"/>
  <c r="AB147" i="2"/>
  <c r="AC147" i="2"/>
  <c r="AE147" i="2"/>
  <c r="AF147" i="2"/>
  <c r="B146" i="2"/>
  <c r="D146" i="2"/>
  <c r="E146" i="2"/>
  <c r="E124" i="2"/>
  <c r="G124" i="2"/>
  <c r="E125" i="2"/>
  <c r="G125" i="2"/>
  <c r="E126" i="2"/>
  <c r="G126" i="2"/>
  <c r="E127" i="2"/>
  <c r="G127" i="2"/>
  <c r="E128" i="2"/>
  <c r="G128" i="2"/>
  <c r="E129" i="2"/>
  <c r="G146" i="2"/>
  <c r="H146" i="2"/>
  <c r="H124" i="2"/>
  <c r="J124" i="2"/>
  <c r="H125" i="2"/>
  <c r="J125" i="2"/>
  <c r="H126" i="2"/>
  <c r="J126" i="2"/>
  <c r="H127" i="2"/>
  <c r="J127" i="2"/>
  <c r="H128" i="2"/>
  <c r="J128" i="2"/>
  <c r="H129" i="2"/>
  <c r="J146" i="2"/>
  <c r="K146" i="2"/>
  <c r="M146" i="2"/>
  <c r="N146" i="2"/>
  <c r="N124" i="2"/>
  <c r="P124" i="2"/>
  <c r="N125" i="2"/>
  <c r="P125" i="2"/>
  <c r="N126" i="2"/>
  <c r="P126" i="2"/>
  <c r="N127" i="2"/>
  <c r="P127" i="2"/>
  <c r="N128" i="2"/>
  <c r="P128" i="2"/>
  <c r="N129" i="2"/>
  <c r="P146" i="2"/>
  <c r="Q146" i="2"/>
  <c r="S146" i="2"/>
  <c r="T146" i="2"/>
  <c r="V146" i="2"/>
  <c r="W146" i="2"/>
  <c r="Y146" i="2"/>
  <c r="Z146" i="2"/>
  <c r="Z124" i="2"/>
  <c r="AB124" i="2"/>
  <c r="Z125" i="2"/>
  <c r="AB125" i="2"/>
  <c r="Z126" i="2"/>
  <c r="AB126" i="2"/>
  <c r="Z127" i="2"/>
  <c r="AB127" i="2"/>
  <c r="Z128" i="2"/>
  <c r="AB128" i="2"/>
  <c r="Z129" i="2"/>
  <c r="AB146" i="2"/>
  <c r="AC146" i="2"/>
  <c r="AE146" i="2"/>
  <c r="AF146" i="2"/>
  <c r="B145" i="2"/>
  <c r="B124" i="2"/>
  <c r="D124" i="2"/>
  <c r="B125" i="2"/>
  <c r="D125" i="2"/>
  <c r="B126" i="2"/>
  <c r="D126" i="2"/>
  <c r="B127" i="2"/>
  <c r="D127" i="2"/>
  <c r="B128" i="2"/>
  <c r="D128" i="2"/>
  <c r="B129" i="2"/>
  <c r="D145" i="2"/>
  <c r="E145" i="2"/>
  <c r="G145" i="2"/>
  <c r="H145" i="2"/>
  <c r="J145" i="2"/>
  <c r="K145" i="2"/>
  <c r="K124" i="2"/>
  <c r="M124" i="2"/>
  <c r="K125" i="2"/>
  <c r="M125" i="2"/>
  <c r="K126" i="2"/>
  <c r="M126" i="2"/>
  <c r="K127" i="2"/>
  <c r="M127" i="2"/>
  <c r="K128" i="2"/>
  <c r="M128" i="2"/>
  <c r="K129" i="2"/>
  <c r="M145" i="2"/>
  <c r="N145" i="2"/>
  <c r="P145" i="2"/>
  <c r="Q145" i="2"/>
  <c r="S145" i="2"/>
  <c r="T145" i="2"/>
  <c r="T124" i="2"/>
  <c r="V124" i="2"/>
  <c r="T125" i="2"/>
  <c r="V125" i="2"/>
  <c r="T126" i="2"/>
  <c r="V126" i="2"/>
  <c r="T127" i="2"/>
  <c r="V127" i="2"/>
  <c r="T128" i="2"/>
  <c r="V128" i="2"/>
  <c r="T129" i="2"/>
  <c r="V145" i="2"/>
  <c r="W145" i="2"/>
  <c r="Y145" i="2"/>
  <c r="Z145" i="2"/>
  <c r="AB145" i="2"/>
  <c r="AC145" i="2"/>
  <c r="AE145" i="2"/>
  <c r="AF145" i="2"/>
  <c r="B144" i="2"/>
  <c r="D144" i="2"/>
  <c r="E144" i="2"/>
  <c r="G144" i="2"/>
  <c r="H144" i="2"/>
  <c r="J144" i="2"/>
  <c r="K144" i="2"/>
  <c r="M144" i="2"/>
  <c r="N144" i="2"/>
  <c r="P144" i="2"/>
  <c r="Q144" i="2"/>
  <c r="Q124" i="2"/>
  <c r="S124" i="2"/>
  <c r="Q125" i="2"/>
  <c r="S125" i="2"/>
  <c r="Q126" i="2"/>
  <c r="S126" i="2"/>
  <c r="Q127" i="2"/>
  <c r="S127" i="2"/>
  <c r="Q128" i="2"/>
  <c r="S128" i="2"/>
  <c r="Q129" i="2"/>
  <c r="S144" i="2"/>
  <c r="T144" i="2"/>
  <c r="V144" i="2"/>
  <c r="W144" i="2"/>
  <c r="Y144" i="2"/>
  <c r="Z144" i="2"/>
  <c r="AB144" i="2"/>
  <c r="AC144" i="2"/>
  <c r="AC124" i="2"/>
  <c r="AE124" i="2"/>
  <c r="AC125" i="2"/>
  <c r="AE125" i="2"/>
  <c r="AC126" i="2"/>
  <c r="AE126" i="2"/>
  <c r="AC127" i="2"/>
  <c r="AE127" i="2"/>
  <c r="AC128" i="2"/>
  <c r="AE128" i="2"/>
  <c r="AC129" i="2"/>
  <c r="AE144" i="2"/>
  <c r="AF144" i="2"/>
  <c r="B143" i="2"/>
  <c r="D143" i="2"/>
  <c r="E143" i="2"/>
  <c r="G143" i="2"/>
  <c r="H143" i="2"/>
  <c r="J143" i="2"/>
  <c r="K143" i="2"/>
  <c r="M143" i="2"/>
  <c r="N143" i="2"/>
  <c r="P143" i="2"/>
  <c r="Q143" i="2"/>
  <c r="S143" i="2"/>
  <c r="T143" i="2"/>
  <c r="V143" i="2"/>
  <c r="W143" i="2"/>
  <c r="Y143" i="2"/>
  <c r="Z143" i="2"/>
  <c r="AB143" i="2"/>
  <c r="AC143" i="2"/>
  <c r="AE143" i="2"/>
  <c r="AF143" i="2"/>
  <c r="B141" i="2"/>
  <c r="D141" i="2"/>
  <c r="E141" i="2"/>
  <c r="G141" i="2"/>
  <c r="H141" i="2"/>
  <c r="J141" i="2"/>
  <c r="K141" i="2"/>
  <c r="M141" i="2"/>
  <c r="N141" i="2"/>
  <c r="P141" i="2"/>
  <c r="Q141" i="2"/>
  <c r="S141" i="2"/>
  <c r="T141" i="2"/>
  <c r="V141" i="2"/>
  <c r="W141" i="2"/>
  <c r="W122" i="2"/>
  <c r="Y122" i="2"/>
  <c r="X122" i="2"/>
  <c r="Y141" i="2"/>
  <c r="Z141" i="2"/>
  <c r="AB141" i="2"/>
  <c r="AC141" i="2"/>
  <c r="AE141" i="2"/>
  <c r="AF141" i="2"/>
  <c r="B140" i="2"/>
  <c r="D140" i="2"/>
  <c r="E140" i="2"/>
  <c r="E122" i="2"/>
  <c r="G122" i="2"/>
  <c r="F122" i="2"/>
  <c r="G140" i="2"/>
  <c r="H140" i="2"/>
  <c r="H122" i="2"/>
  <c r="J122" i="2"/>
  <c r="I122" i="2"/>
  <c r="J140" i="2"/>
  <c r="K140" i="2"/>
  <c r="M140" i="2"/>
  <c r="N140" i="2"/>
  <c r="N122" i="2"/>
  <c r="P122" i="2"/>
  <c r="O122" i="2"/>
  <c r="P140" i="2"/>
  <c r="Q140" i="2"/>
  <c r="S140" i="2"/>
  <c r="T140" i="2"/>
  <c r="V140" i="2"/>
  <c r="W140" i="2"/>
  <c r="Y140" i="2"/>
  <c r="Z140" i="2"/>
  <c r="Z122" i="2"/>
  <c r="AB122" i="2"/>
  <c r="AA122" i="2"/>
  <c r="AB140" i="2"/>
  <c r="AC140" i="2"/>
  <c r="AE140" i="2"/>
  <c r="AF140" i="2"/>
  <c r="B139" i="2"/>
  <c r="B122" i="2"/>
  <c r="D122" i="2"/>
  <c r="C122" i="2"/>
  <c r="D139" i="2"/>
  <c r="E139" i="2"/>
  <c r="G139" i="2"/>
  <c r="H139" i="2"/>
  <c r="J139" i="2"/>
  <c r="K139" i="2"/>
  <c r="K122" i="2"/>
  <c r="M122" i="2"/>
  <c r="L122" i="2"/>
  <c r="M139" i="2"/>
  <c r="N139" i="2"/>
  <c r="P139" i="2"/>
  <c r="Q139" i="2"/>
  <c r="S139" i="2"/>
  <c r="T139" i="2"/>
  <c r="T122" i="2"/>
  <c r="V122" i="2"/>
  <c r="U122" i="2"/>
  <c r="V139" i="2"/>
  <c r="W139" i="2"/>
  <c r="Y139" i="2"/>
  <c r="Z139" i="2"/>
  <c r="AB139" i="2"/>
  <c r="AC139" i="2"/>
  <c r="AE139" i="2"/>
  <c r="AF139" i="2"/>
  <c r="B138" i="2"/>
  <c r="D138" i="2"/>
  <c r="E138" i="2"/>
  <c r="G138" i="2"/>
  <c r="H138" i="2"/>
  <c r="J138" i="2"/>
  <c r="K138" i="2"/>
  <c r="M138" i="2"/>
  <c r="N138" i="2"/>
  <c r="P138" i="2"/>
  <c r="Q138" i="2"/>
  <c r="Q122" i="2"/>
  <c r="S122" i="2"/>
  <c r="R122" i="2"/>
  <c r="S138" i="2"/>
  <c r="T138" i="2"/>
  <c r="V138" i="2"/>
  <c r="W138" i="2"/>
  <c r="Y138" i="2"/>
  <c r="Z138" i="2"/>
  <c r="AB138" i="2"/>
  <c r="AC138" i="2"/>
  <c r="AC122" i="2"/>
  <c r="AE122" i="2"/>
  <c r="AD122" i="2"/>
  <c r="AE138" i="2"/>
  <c r="AF138" i="2"/>
  <c r="B137" i="2"/>
  <c r="D137" i="2"/>
  <c r="E137" i="2"/>
  <c r="G137" i="2"/>
  <c r="H137" i="2"/>
  <c r="J137" i="2"/>
  <c r="K137" i="2"/>
  <c r="M137" i="2"/>
  <c r="N137" i="2"/>
  <c r="P137" i="2"/>
  <c r="Q137" i="2"/>
  <c r="S137" i="2"/>
  <c r="T137" i="2"/>
  <c r="V137" i="2"/>
  <c r="W137" i="2"/>
  <c r="Y137" i="2"/>
  <c r="Z137" i="2"/>
  <c r="AB137" i="2"/>
  <c r="AC137" i="2"/>
  <c r="AE137" i="2"/>
  <c r="AF137" i="2"/>
  <c r="B135" i="2"/>
  <c r="D135" i="2"/>
  <c r="E135" i="2"/>
  <c r="G135" i="2"/>
  <c r="H135" i="2"/>
  <c r="J135" i="2"/>
  <c r="K135" i="2"/>
  <c r="M135" i="2"/>
  <c r="N135" i="2"/>
  <c r="P135" i="2"/>
  <c r="Q135" i="2"/>
  <c r="S135" i="2"/>
  <c r="T135" i="2"/>
  <c r="V135" i="2"/>
  <c r="W135" i="2"/>
  <c r="Y135" i="2"/>
  <c r="Z135" i="2"/>
  <c r="AB135" i="2"/>
  <c r="AC135" i="2"/>
  <c r="AE135" i="2"/>
  <c r="AF135" i="2"/>
  <c r="AG135" i="2"/>
  <c r="B134" i="2"/>
  <c r="D134" i="2"/>
  <c r="E134" i="2"/>
  <c r="G134" i="2"/>
  <c r="H134" i="2"/>
  <c r="J134" i="2"/>
  <c r="K134" i="2"/>
  <c r="M134" i="2"/>
  <c r="N134" i="2"/>
  <c r="P134" i="2"/>
  <c r="Q134" i="2"/>
  <c r="S134" i="2"/>
  <c r="T134" i="2"/>
  <c r="V134" i="2"/>
  <c r="W134" i="2"/>
  <c r="Y134" i="2"/>
  <c r="Z134" i="2"/>
  <c r="AB134" i="2"/>
  <c r="AC134" i="2"/>
  <c r="AE134" i="2"/>
  <c r="AF134" i="2"/>
  <c r="AG134" i="2"/>
  <c r="B133" i="2"/>
  <c r="D133" i="2"/>
  <c r="E133" i="2"/>
  <c r="G133" i="2"/>
  <c r="H133" i="2"/>
  <c r="J133" i="2"/>
  <c r="K133" i="2"/>
  <c r="M133" i="2"/>
  <c r="N133" i="2"/>
  <c r="P133" i="2"/>
  <c r="Q133" i="2"/>
  <c r="S133" i="2"/>
  <c r="T133" i="2"/>
  <c r="V133" i="2"/>
  <c r="W133" i="2"/>
  <c r="Y133" i="2"/>
  <c r="Z133" i="2"/>
  <c r="AB133" i="2"/>
  <c r="AC133" i="2"/>
  <c r="AE133" i="2"/>
  <c r="AF133" i="2"/>
  <c r="AG133" i="2"/>
  <c r="B132" i="2"/>
  <c r="D132" i="2"/>
  <c r="E132" i="2"/>
  <c r="G132" i="2"/>
  <c r="H132" i="2"/>
  <c r="J132" i="2"/>
  <c r="K132" i="2"/>
  <c r="M132" i="2"/>
  <c r="N132" i="2"/>
  <c r="P132" i="2"/>
  <c r="Q132" i="2"/>
  <c r="S132" i="2"/>
  <c r="T132" i="2"/>
  <c r="V132" i="2"/>
  <c r="W132" i="2"/>
  <c r="Y132" i="2"/>
  <c r="Z132" i="2"/>
  <c r="AB132" i="2"/>
  <c r="AC132" i="2"/>
  <c r="AE132" i="2"/>
  <c r="AF132" i="2"/>
  <c r="AG132" i="2"/>
  <c r="B131" i="2"/>
  <c r="D131" i="2"/>
  <c r="E131" i="2"/>
  <c r="G131" i="2"/>
  <c r="H131" i="2"/>
  <c r="J131" i="2"/>
  <c r="K131" i="2"/>
  <c r="M131" i="2"/>
  <c r="N131" i="2"/>
  <c r="P131" i="2"/>
  <c r="Q131" i="2"/>
  <c r="S131" i="2"/>
  <c r="T131" i="2"/>
  <c r="V131" i="2"/>
  <c r="W131" i="2"/>
  <c r="Y131" i="2"/>
  <c r="Z131" i="2"/>
  <c r="AB131" i="2"/>
  <c r="AC131" i="2"/>
  <c r="AE131" i="2"/>
  <c r="AF131" i="2"/>
  <c r="AG131" i="2"/>
  <c r="AE115" i="2"/>
  <c r="AC115" i="2"/>
  <c r="AB115" i="2"/>
  <c r="Z115" i="2"/>
  <c r="Y115" i="2"/>
  <c r="W115" i="2"/>
  <c r="V115" i="2"/>
  <c r="T115" i="2"/>
  <c r="S115" i="2"/>
  <c r="Q115" i="2"/>
  <c r="P115" i="2"/>
  <c r="N115" i="2"/>
  <c r="M115" i="2"/>
  <c r="K115" i="2"/>
  <c r="J115" i="2"/>
  <c r="H115" i="2"/>
  <c r="G115" i="2"/>
  <c r="E115" i="2"/>
  <c r="D115" i="2"/>
  <c r="B115" i="2"/>
  <c r="AD114" i="2"/>
  <c r="AA114" i="2"/>
  <c r="X114" i="2"/>
  <c r="U114" i="2"/>
  <c r="R114" i="2"/>
  <c r="O114" i="2"/>
  <c r="L114" i="2"/>
  <c r="I114" i="2"/>
  <c r="F114" i="2"/>
  <c r="A114" i="2"/>
  <c r="AG113" i="2"/>
  <c r="AH113" i="2"/>
  <c r="AI113" i="2"/>
  <c r="AJ113" i="2"/>
  <c r="AK113" i="2"/>
  <c r="AL113" i="2"/>
  <c r="AM113" i="2"/>
  <c r="AN113" i="2"/>
  <c r="AO113" i="2"/>
  <c r="AP113" i="2"/>
  <c r="AQ113" i="2"/>
  <c r="AF113" i="2"/>
  <c r="AD113" i="2"/>
  <c r="AA113" i="2"/>
  <c r="X113" i="2"/>
  <c r="U113" i="2"/>
  <c r="R113" i="2"/>
  <c r="O113" i="2"/>
  <c r="L113" i="2"/>
  <c r="I113" i="2"/>
  <c r="F113" i="2"/>
  <c r="A113" i="2"/>
  <c r="AG112" i="2"/>
  <c r="AH112" i="2"/>
  <c r="AI112" i="2"/>
  <c r="AJ112" i="2"/>
  <c r="AK112" i="2"/>
  <c r="AL112" i="2"/>
  <c r="AM112" i="2"/>
  <c r="AN112" i="2"/>
  <c r="AO112" i="2"/>
  <c r="AP112" i="2"/>
  <c r="AQ112" i="2"/>
  <c r="AF112" i="2"/>
  <c r="AD112" i="2"/>
  <c r="AA112" i="2"/>
  <c r="X112" i="2"/>
  <c r="U112" i="2"/>
  <c r="R112" i="2"/>
  <c r="O112" i="2"/>
  <c r="L112" i="2"/>
  <c r="I112" i="2"/>
  <c r="F112" i="2"/>
  <c r="A112" i="2"/>
  <c r="AG111" i="2"/>
  <c r="AH111" i="2"/>
  <c r="AI111" i="2"/>
  <c r="AJ111" i="2"/>
  <c r="AK111" i="2"/>
  <c r="AL111" i="2"/>
  <c r="AM111" i="2"/>
  <c r="AN111" i="2"/>
  <c r="AO111" i="2"/>
  <c r="AP111" i="2"/>
  <c r="AQ111" i="2"/>
  <c r="AF111" i="2"/>
  <c r="AD111" i="2"/>
  <c r="AA111" i="2"/>
  <c r="X111" i="2"/>
  <c r="U111" i="2"/>
  <c r="R111" i="2"/>
  <c r="O111" i="2"/>
  <c r="L111" i="2"/>
  <c r="I111" i="2"/>
  <c r="F111" i="2"/>
  <c r="A111" i="2"/>
  <c r="AG110" i="2"/>
  <c r="AH110" i="2"/>
  <c r="AI110" i="2"/>
  <c r="AJ110" i="2"/>
  <c r="AK110" i="2"/>
  <c r="AL110" i="2"/>
  <c r="AM110" i="2"/>
  <c r="AN110" i="2"/>
  <c r="AO110" i="2"/>
  <c r="AP110" i="2"/>
  <c r="AQ110" i="2"/>
  <c r="AF110" i="2"/>
  <c r="AD110" i="2"/>
  <c r="AA110" i="2"/>
  <c r="X110" i="2"/>
  <c r="U110" i="2"/>
  <c r="R110" i="2"/>
  <c r="O110" i="2"/>
  <c r="L110" i="2"/>
  <c r="I110" i="2"/>
  <c r="F110" i="2"/>
  <c r="AG109" i="2"/>
  <c r="AH109" i="2"/>
  <c r="AI109" i="2"/>
  <c r="AJ109" i="2"/>
  <c r="AK109" i="2"/>
  <c r="AL109" i="2"/>
  <c r="AM109" i="2"/>
  <c r="AN109" i="2"/>
  <c r="AO109" i="2"/>
  <c r="AP109" i="2"/>
  <c r="AQ109" i="2"/>
  <c r="AF109" i="2"/>
  <c r="AD109" i="2"/>
  <c r="AA109" i="2"/>
  <c r="X109" i="2"/>
  <c r="U109" i="2"/>
  <c r="R109" i="2"/>
  <c r="O109" i="2"/>
  <c r="L109" i="2"/>
  <c r="I109" i="2"/>
  <c r="F109" i="2"/>
  <c r="AC107" i="2"/>
  <c r="Z107" i="2"/>
  <c r="W107" i="2"/>
  <c r="T107" i="2"/>
  <c r="Q107" i="2"/>
  <c r="N107" i="2"/>
  <c r="K107" i="2"/>
  <c r="H107" i="2"/>
  <c r="E107" i="2"/>
  <c r="E102" i="2"/>
  <c r="AC101" i="2"/>
  <c r="Z101" i="2"/>
  <c r="W101" i="2"/>
  <c r="R101" i="2"/>
  <c r="L101" i="2"/>
  <c r="A101" i="2"/>
  <c r="AC99" i="2"/>
  <c r="Z99" i="2"/>
  <c r="W99" i="2"/>
  <c r="R99" i="2"/>
  <c r="L99" i="2"/>
  <c r="A99" i="2"/>
  <c r="AC97" i="2"/>
  <c r="Z97" i="2"/>
  <c r="W97" i="2"/>
  <c r="R97" i="2"/>
  <c r="L97" i="2"/>
  <c r="A97" i="2"/>
  <c r="AC95" i="2"/>
  <c r="Z95" i="2"/>
  <c r="W95" i="2"/>
  <c r="R95" i="2"/>
  <c r="L95" i="2"/>
  <c r="A95" i="2"/>
  <c r="AC93" i="2"/>
  <c r="Z93" i="2"/>
  <c r="W93" i="2"/>
  <c r="R93" i="2"/>
  <c r="L93" i="2"/>
  <c r="A93" i="2"/>
  <c r="R92" i="2"/>
  <c r="L92" i="2"/>
  <c r="K91" i="2"/>
  <c r="A89" i="2"/>
  <c r="AE85" i="2"/>
  <c r="AE36" i="2"/>
  <c r="AC85" i="2"/>
  <c r="AC36" i="2"/>
  <c r="AE86" i="2"/>
  <c r="AE87" i="2"/>
  <c r="AC86" i="2"/>
  <c r="AC87" i="2"/>
  <c r="AB85" i="2"/>
  <c r="AB36" i="2"/>
  <c r="Z85" i="2"/>
  <c r="Z36" i="2"/>
  <c r="AB86" i="2"/>
  <c r="AB87" i="2"/>
  <c r="Z86" i="2"/>
  <c r="Z87" i="2"/>
  <c r="Y85" i="2"/>
  <c r="Y36" i="2"/>
  <c r="W85" i="2"/>
  <c r="W36" i="2"/>
  <c r="Y86" i="2"/>
  <c r="Y87" i="2"/>
  <c r="W86" i="2"/>
  <c r="W87" i="2"/>
  <c r="V85" i="2"/>
  <c r="V36" i="2"/>
  <c r="T85" i="2"/>
  <c r="T36" i="2"/>
  <c r="V86" i="2"/>
  <c r="V87" i="2"/>
  <c r="T86" i="2"/>
  <c r="T87" i="2"/>
  <c r="AF76" i="2"/>
  <c r="AF75" i="2"/>
  <c r="P74" i="2"/>
  <c r="AF74" i="2"/>
  <c r="D73" i="2"/>
  <c r="J73" i="2"/>
  <c r="AF73" i="2"/>
  <c r="G72" i="2"/>
  <c r="M72" i="2"/>
  <c r="S72" i="2"/>
  <c r="AF72" i="2"/>
  <c r="AF68" i="2"/>
  <c r="AG68" i="2"/>
  <c r="AF67" i="2"/>
  <c r="AG67" i="2"/>
  <c r="AF66" i="2"/>
  <c r="AG66" i="2"/>
  <c r="AF65" i="2"/>
  <c r="AG65" i="2"/>
  <c r="AF64" i="2"/>
  <c r="AG64" i="2"/>
  <c r="B62" i="2"/>
  <c r="D62" i="2"/>
  <c r="E62" i="2"/>
  <c r="G62" i="2"/>
  <c r="H62" i="2"/>
  <c r="J62" i="2"/>
  <c r="K62" i="2"/>
  <c r="M62" i="2"/>
  <c r="N62" i="2"/>
  <c r="P62" i="2"/>
  <c r="Q62" i="2"/>
  <c r="S62" i="2"/>
  <c r="T62" i="2"/>
  <c r="V62" i="2"/>
  <c r="W62" i="2"/>
  <c r="W39" i="2"/>
  <c r="Y39" i="2"/>
  <c r="W40" i="2"/>
  <c r="Y40" i="2"/>
  <c r="W41" i="2"/>
  <c r="Y41" i="2"/>
  <c r="W42" i="2"/>
  <c r="Y42" i="2"/>
  <c r="W43" i="2"/>
  <c r="Y43" i="2"/>
  <c r="W44" i="2"/>
  <c r="Y62" i="2"/>
  <c r="Z62" i="2"/>
  <c r="AB62" i="2"/>
  <c r="AC62" i="2"/>
  <c r="AE62" i="2"/>
  <c r="AF62" i="2"/>
  <c r="B61" i="2"/>
  <c r="D61" i="2"/>
  <c r="E61" i="2"/>
  <c r="E39" i="2"/>
  <c r="G39" i="2"/>
  <c r="E40" i="2"/>
  <c r="G40" i="2"/>
  <c r="E41" i="2"/>
  <c r="G41" i="2"/>
  <c r="E42" i="2"/>
  <c r="G42" i="2"/>
  <c r="E43" i="2"/>
  <c r="G43" i="2"/>
  <c r="E44" i="2"/>
  <c r="G61" i="2"/>
  <c r="H61" i="2"/>
  <c r="H39" i="2"/>
  <c r="J39" i="2"/>
  <c r="H40" i="2"/>
  <c r="J40" i="2"/>
  <c r="H41" i="2"/>
  <c r="J41" i="2"/>
  <c r="H42" i="2"/>
  <c r="J42" i="2"/>
  <c r="H43" i="2"/>
  <c r="J43" i="2"/>
  <c r="H44" i="2"/>
  <c r="J61" i="2"/>
  <c r="K61" i="2"/>
  <c r="M61" i="2"/>
  <c r="N61" i="2"/>
  <c r="N39" i="2"/>
  <c r="P39" i="2"/>
  <c r="N40" i="2"/>
  <c r="P40" i="2"/>
  <c r="N41" i="2"/>
  <c r="P41" i="2"/>
  <c r="N42" i="2"/>
  <c r="P42" i="2"/>
  <c r="N43" i="2"/>
  <c r="P43" i="2"/>
  <c r="N44" i="2"/>
  <c r="P61" i="2"/>
  <c r="Q61" i="2"/>
  <c r="S61" i="2"/>
  <c r="T61" i="2"/>
  <c r="V61" i="2"/>
  <c r="W61" i="2"/>
  <c r="Y61" i="2"/>
  <c r="Z61" i="2"/>
  <c r="Z39" i="2"/>
  <c r="AB39" i="2"/>
  <c r="Z40" i="2"/>
  <c r="AB40" i="2"/>
  <c r="Z41" i="2"/>
  <c r="AB41" i="2"/>
  <c r="Z42" i="2"/>
  <c r="AB42" i="2"/>
  <c r="Z43" i="2"/>
  <c r="AB43" i="2"/>
  <c r="Z44" i="2"/>
  <c r="AB61" i="2"/>
  <c r="AC61" i="2"/>
  <c r="AE61" i="2"/>
  <c r="AF61" i="2"/>
  <c r="B60" i="2"/>
  <c r="B39" i="2"/>
  <c r="D39" i="2"/>
  <c r="B40" i="2"/>
  <c r="D40" i="2"/>
  <c r="B41" i="2"/>
  <c r="D41" i="2"/>
  <c r="B42" i="2"/>
  <c r="D42" i="2"/>
  <c r="B43" i="2"/>
  <c r="D43" i="2"/>
  <c r="B44" i="2"/>
  <c r="D60" i="2"/>
  <c r="E60" i="2"/>
  <c r="G60" i="2"/>
  <c r="H60" i="2"/>
  <c r="J60" i="2"/>
  <c r="K60" i="2"/>
  <c r="K39" i="2"/>
  <c r="M39" i="2"/>
  <c r="K40" i="2"/>
  <c r="M40" i="2"/>
  <c r="K41" i="2"/>
  <c r="M41" i="2"/>
  <c r="K42" i="2"/>
  <c r="M42" i="2"/>
  <c r="K43" i="2"/>
  <c r="M43" i="2"/>
  <c r="K44" i="2"/>
  <c r="M60" i="2"/>
  <c r="N60" i="2"/>
  <c r="P60" i="2"/>
  <c r="Q60" i="2"/>
  <c r="S60" i="2"/>
  <c r="T60" i="2"/>
  <c r="T39" i="2"/>
  <c r="V39" i="2"/>
  <c r="T40" i="2"/>
  <c r="V40" i="2"/>
  <c r="T41" i="2"/>
  <c r="V41" i="2"/>
  <c r="T42" i="2"/>
  <c r="V42" i="2"/>
  <c r="T43" i="2"/>
  <c r="V43" i="2"/>
  <c r="T44" i="2"/>
  <c r="V60" i="2"/>
  <c r="W60" i="2"/>
  <c r="Y60" i="2"/>
  <c r="Z60" i="2"/>
  <c r="AB60" i="2"/>
  <c r="AC60" i="2"/>
  <c r="AE60" i="2"/>
  <c r="AF60" i="2"/>
  <c r="B59" i="2"/>
  <c r="D59" i="2"/>
  <c r="E59" i="2"/>
  <c r="G59" i="2"/>
  <c r="H59" i="2"/>
  <c r="J59" i="2"/>
  <c r="K59" i="2"/>
  <c r="M59" i="2"/>
  <c r="N59" i="2"/>
  <c r="P59" i="2"/>
  <c r="Q59" i="2"/>
  <c r="Q39" i="2"/>
  <c r="S39" i="2"/>
  <c r="Q40" i="2"/>
  <c r="S40" i="2"/>
  <c r="Q41" i="2"/>
  <c r="S41" i="2"/>
  <c r="Q42" i="2"/>
  <c r="S42" i="2"/>
  <c r="Q43" i="2"/>
  <c r="S43" i="2"/>
  <c r="Q44" i="2"/>
  <c r="S59" i="2"/>
  <c r="T59" i="2"/>
  <c r="V59" i="2"/>
  <c r="W59" i="2"/>
  <c r="Y59" i="2"/>
  <c r="Z59" i="2"/>
  <c r="AB59" i="2"/>
  <c r="AC59" i="2"/>
  <c r="AC39" i="2"/>
  <c r="AE39" i="2"/>
  <c r="AC40" i="2"/>
  <c r="AE40" i="2"/>
  <c r="AC41" i="2"/>
  <c r="AE41" i="2"/>
  <c r="AC42" i="2"/>
  <c r="AE42" i="2"/>
  <c r="AC43" i="2"/>
  <c r="AE43" i="2"/>
  <c r="AC44" i="2"/>
  <c r="AE59" i="2"/>
  <c r="AF59" i="2"/>
  <c r="B58" i="2"/>
  <c r="D58" i="2"/>
  <c r="E58" i="2"/>
  <c r="G58" i="2"/>
  <c r="H58" i="2"/>
  <c r="J58" i="2"/>
  <c r="K58" i="2"/>
  <c r="M58" i="2"/>
  <c r="N58" i="2"/>
  <c r="P58" i="2"/>
  <c r="Q58" i="2"/>
  <c r="S58" i="2"/>
  <c r="T58" i="2"/>
  <c r="V58" i="2"/>
  <c r="W58" i="2"/>
  <c r="Y58" i="2"/>
  <c r="Z58" i="2"/>
  <c r="AB58" i="2"/>
  <c r="AC58" i="2"/>
  <c r="AE58" i="2"/>
  <c r="AF58" i="2"/>
  <c r="B56" i="2"/>
  <c r="D56" i="2"/>
  <c r="E56" i="2"/>
  <c r="G56" i="2"/>
  <c r="H56" i="2"/>
  <c r="J56" i="2"/>
  <c r="K56" i="2"/>
  <c r="M56" i="2"/>
  <c r="N56" i="2"/>
  <c r="P56" i="2"/>
  <c r="Q56" i="2"/>
  <c r="S56" i="2"/>
  <c r="T56" i="2"/>
  <c r="V56" i="2"/>
  <c r="W56" i="2"/>
  <c r="W37" i="2"/>
  <c r="Y37" i="2"/>
  <c r="X37" i="2"/>
  <c r="Y56" i="2"/>
  <c r="Z56" i="2"/>
  <c r="AB56" i="2"/>
  <c r="AC56" i="2"/>
  <c r="AE56" i="2"/>
  <c r="AF56" i="2"/>
  <c r="B55" i="2"/>
  <c r="D55" i="2"/>
  <c r="E55" i="2"/>
  <c r="E37" i="2"/>
  <c r="G37" i="2"/>
  <c r="F37" i="2"/>
  <c r="G55" i="2"/>
  <c r="H55" i="2"/>
  <c r="H37" i="2"/>
  <c r="J37" i="2"/>
  <c r="I37" i="2"/>
  <c r="J55" i="2"/>
  <c r="K55" i="2"/>
  <c r="M55" i="2"/>
  <c r="N55" i="2"/>
  <c r="N37" i="2"/>
  <c r="P37" i="2"/>
  <c r="O37" i="2"/>
  <c r="P55" i="2"/>
  <c r="Q55" i="2"/>
  <c r="S55" i="2"/>
  <c r="T55" i="2"/>
  <c r="V55" i="2"/>
  <c r="W55" i="2"/>
  <c r="Y55" i="2"/>
  <c r="Z55" i="2"/>
  <c r="Z37" i="2"/>
  <c r="AB37" i="2"/>
  <c r="AA37" i="2"/>
  <c r="AB55" i="2"/>
  <c r="AC55" i="2"/>
  <c r="AE55" i="2"/>
  <c r="AF55" i="2"/>
  <c r="B54" i="2"/>
  <c r="B37" i="2"/>
  <c r="D37" i="2"/>
  <c r="C37" i="2"/>
  <c r="D54" i="2"/>
  <c r="E54" i="2"/>
  <c r="G54" i="2"/>
  <c r="H54" i="2"/>
  <c r="J54" i="2"/>
  <c r="K54" i="2"/>
  <c r="K37" i="2"/>
  <c r="M37" i="2"/>
  <c r="L37" i="2"/>
  <c r="M54" i="2"/>
  <c r="N54" i="2"/>
  <c r="P54" i="2"/>
  <c r="Q54" i="2"/>
  <c r="S54" i="2"/>
  <c r="T54" i="2"/>
  <c r="T37" i="2"/>
  <c r="V37" i="2"/>
  <c r="U37" i="2"/>
  <c r="V54" i="2"/>
  <c r="W54" i="2"/>
  <c r="Y54" i="2"/>
  <c r="Z54" i="2"/>
  <c r="AB54" i="2"/>
  <c r="AC54" i="2"/>
  <c r="AE54" i="2"/>
  <c r="AF54" i="2"/>
  <c r="B53" i="2"/>
  <c r="D53" i="2"/>
  <c r="E53" i="2"/>
  <c r="G53" i="2"/>
  <c r="H53" i="2"/>
  <c r="J53" i="2"/>
  <c r="K53" i="2"/>
  <c r="M53" i="2"/>
  <c r="N53" i="2"/>
  <c r="P53" i="2"/>
  <c r="Q53" i="2"/>
  <c r="Q37" i="2"/>
  <c r="S37" i="2"/>
  <c r="R37" i="2"/>
  <c r="S53" i="2"/>
  <c r="T53" i="2"/>
  <c r="V53" i="2"/>
  <c r="W53" i="2"/>
  <c r="Y53" i="2"/>
  <c r="Z53" i="2"/>
  <c r="AB53" i="2"/>
  <c r="AC53" i="2"/>
  <c r="AC37" i="2"/>
  <c r="AE37" i="2"/>
  <c r="AD37" i="2"/>
  <c r="AE53" i="2"/>
  <c r="AF53" i="2"/>
  <c r="B52" i="2"/>
  <c r="D52" i="2"/>
  <c r="E52" i="2"/>
  <c r="G52" i="2"/>
  <c r="H52" i="2"/>
  <c r="J52" i="2"/>
  <c r="K52" i="2"/>
  <c r="M52" i="2"/>
  <c r="N52" i="2"/>
  <c r="P52" i="2"/>
  <c r="Q52" i="2"/>
  <c r="S52" i="2"/>
  <c r="T52" i="2"/>
  <c r="V52" i="2"/>
  <c r="W52" i="2"/>
  <c r="Y52" i="2"/>
  <c r="Z52" i="2"/>
  <c r="AB52" i="2"/>
  <c r="AC52" i="2"/>
  <c r="AE52" i="2"/>
  <c r="AF52" i="2"/>
  <c r="B50" i="2"/>
  <c r="D50" i="2"/>
  <c r="E50" i="2"/>
  <c r="G50" i="2"/>
  <c r="H50" i="2"/>
  <c r="J50" i="2"/>
  <c r="K50" i="2"/>
  <c r="M50" i="2"/>
  <c r="N50" i="2"/>
  <c r="P50" i="2"/>
  <c r="Q50" i="2"/>
  <c r="S50" i="2"/>
  <c r="T50" i="2"/>
  <c r="V50" i="2"/>
  <c r="W50" i="2"/>
  <c r="Y50" i="2"/>
  <c r="Z50" i="2"/>
  <c r="AB50" i="2"/>
  <c r="AC50" i="2"/>
  <c r="AE50" i="2"/>
  <c r="AF50" i="2"/>
  <c r="AG50" i="2"/>
  <c r="B49" i="2"/>
  <c r="D49" i="2"/>
  <c r="E49" i="2"/>
  <c r="G49" i="2"/>
  <c r="H49" i="2"/>
  <c r="J49" i="2"/>
  <c r="K49" i="2"/>
  <c r="M49" i="2"/>
  <c r="N49" i="2"/>
  <c r="P49" i="2"/>
  <c r="Q49" i="2"/>
  <c r="S49" i="2"/>
  <c r="T49" i="2"/>
  <c r="V49" i="2"/>
  <c r="W49" i="2"/>
  <c r="Y49" i="2"/>
  <c r="Z49" i="2"/>
  <c r="AB49" i="2"/>
  <c r="AC49" i="2"/>
  <c r="AE49" i="2"/>
  <c r="AF49" i="2"/>
  <c r="AG49" i="2"/>
  <c r="B48" i="2"/>
  <c r="D48" i="2"/>
  <c r="E48" i="2"/>
  <c r="G48" i="2"/>
  <c r="H48" i="2"/>
  <c r="J48" i="2"/>
  <c r="K48" i="2"/>
  <c r="M48" i="2"/>
  <c r="N48" i="2"/>
  <c r="P48" i="2"/>
  <c r="Q48" i="2"/>
  <c r="S48" i="2"/>
  <c r="T48" i="2"/>
  <c r="V48" i="2"/>
  <c r="W48" i="2"/>
  <c r="Y48" i="2"/>
  <c r="Z48" i="2"/>
  <c r="AB48" i="2"/>
  <c r="AC48" i="2"/>
  <c r="AE48" i="2"/>
  <c r="AF48" i="2"/>
  <c r="AG48" i="2"/>
  <c r="B47" i="2"/>
  <c r="D47" i="2"/>
  <c r="E47" i="2"/>
  <c r="G47" i="2"/>
  <c r="H47" i="2"/>
  <c r="J47" i="2"/>
  <c r="K47" i="2"/>
  <c r="M47" i="2"/>
  <c r="N47" i="2"/>
  <c r="P47" i="2"/>
  <c r="Q47" i="2"/>
  <c r="S47" i="2"/>
  <c r="T47" i="2"/>
  <c r="V47" i="2"/>
  <c r="W47" i="2"/>
  <c r="Y47" i="2"/>
  <c r="Z47" i="2"/>
  <c r="AB47" i="2"/>
  <c r="AC47" i="2"/>
  <c r="AE47" i="2"/>
  <c r="AF47" i="2"/>
  <c r="AG47" i="2"/>
  <c r="B46" i="2"/>
  <c r="D46" i="2"/>
  <c r="E46" i="2"/>
  <c r="G46" i="2"/>
  <c r="H46" i="2"/>
  <c r="J46" i="2"/>
  <c r="K46" i="2"/>
  <c r="M46" i="2"/>
  <c r="N46" i="2"/>
  <c r="P46" i="2"/>
  <c r="Q46" i="2"/>
  <c r="S46" i="2"/>
  <c r="T46" i="2"/>
  <c r="V46" i="2"/>
  <c r="W46" i="2"/>
  <c r="Y46" i="2"/>
  <c r="Z46" i="2"/>
  <c r="AB46" i="2"/>
  <c r="AC46" i="2"/>
  <c r="AE46" i="2"/>
  <c r="AF46" i="2"/>
  <c r="AG46" i="2"/>
  <c r="AE30" i="2"/>
  <c r="AC30" i="2"/>
  <c r="AB30" i="2"/>
  <c r="Z30" i="2"/>
  <c r="Y30" i="2"/>
  <c r="W30" i="2"/>
  <c r="V30" i="2"/>
  <c r="T30" i="2"/>
  <c r="S30" i="2"/>
  <c r="Q30" i="2"/>
  <c r="P30" i="2"/>
  <c r="N30" i="2"/>
  <c r="M30" i="2"/>
  <c r="K30" i="2"/>
  <c r="J30" i="2"/>
  <c r="H30" i="2"/>
  <c r="G30" i="2"/>
  <c r="E30" i="2"/>
  <c r="D30" i="2"/>
  <c r="B30" i="2"/>
  <c r="AD29" i="2"/>
  <c r="AA29" i="2"/>
  <c r="X29" i="2"/>
  <c r="U29" i="2"/>
  <c r="R29" i="2"/>
  <c r="O29" i="2"/>
  <c r="L29" i="2"/>
  <c r="I29" i="2"/>
  <c r="F29" i="2"/>
  <c r="A29" i="2"/>
  <c r="AG28" i="2"/>
  <c r="AH28" i="2"/>
  <c r="AI28" i="2"/>
  <c r="AJ28" i="2"/>
  <c r="AK28" i="2"/>
  <c r="AL28" i="2"/>
  <c r="AM28" i="2"/>
  <c r="AN28" i="2"/>
  <c r="AO28" i="2"/>
  <c r="AP28" i="2"/>
  <c r="AQ28" i="2"/>
  <c r="AF28" i="2"/>
  <c r="AD28" i="2"/>
  <c r="AA28" i="2"/>
  <c r="X28" i="2"/>
  <c r="U28" i="2"/>
  <c r="R28" i="2"/>
  <c r="O28" i="2"/>
  <c r="L28" i="2"/>
  <c r="I28" i="2"/>
  <c r="F28" i="2"/>
  <c r="A28" i="2"/>
  <c r="AG27" i="2"/>
  <c r="AH27" i="2"/>
  <c r="AI27" i="2"/>
  <c r="AJ27" i="2"/>
  <c r="AK27" i="2"/>
  <c r="AL27" i="2"/>
  <c r="AM27" i="2"/>
  <c r="AN27" i="2"/>
  <c r="AO27" i="2"/>
  <c r="AP27" i="2"/>
  <c r="AQ27" i="2"/>
  <c r="AF27" i="2"/>
  <c r="AD27" i="2"/>
  <c r="AA27" i="2"/>
  <c r="X27" i="2"/>
  <c r="U27" i="2"/>
  <c r="R27" i="2"/>
  <c r="O27" i="2"/>
  <c r="L27" i="2"/>
  <c r="I27" i="2"/>
  <c r="F27" i="2"/>
  <c r="A27" i="2"/>
  <c r="AG26" i="2"/>
  <c r="AH26" i="2"/>
  <c r="AI26" i="2"/>
  <c r="AJ26" i="2"/>
  <c r="AK26" i="2"/>
  <c r="AL26" i="2"/>
  <c r="AM26" i="2"/>
  <c r="AN26" i="2"/>
  <c r="AO26" i="2"/>
  <c r="AP26" i="2"/>
  <c r="AQ26" i="2"/>
  <c r="AF26" i="2"/>
  <c r="AD26" i="2"/>
  <c r="AA26" i="2"/>
  <c r="X26" i="2"/>
  <c r="U26" i="2"/>
  <c r="R26" i="2"/>
  <c r="O26" i="2"/>
  <c r="L26" i="2"/>
  <c r="I26" i="2"/>
  <c r="F26" i="2"/>
  <c r="A26" i="2"/>
  <c r="AG25" i="2"/>
  <c r="AH25" i="2"/>
  <c r="AI25" i="2"/>
  <c r="AJ25" i="2"/>
  <c r="AK25" i="2"/>
  <c r="AL25" i="2"/>
  <c r="AM25" i="2"/>
  <c r="AN25" i="2"/>
  <c r="AO25" i="2"/>
  <c r="AP25" i="2"/>
  <c r="AQ25" i="2"/>
  <c r="AF25" i="2"/>
  <c r="AD25" i="2"/>
  <c r="AA25" i="2"/>
  <c r="X25" i="2"/>
  <c r="U25" i="2"/>
  <c r="R25" i="2"/>
  <c r="O25" i="2"/>
  <c r="L25" i="2"/>
  <c r="I25" i="2"/>
  <c r="F25" i="2"/>
  <c r="AG24" i="2"/>
  <c r="AH24" i="2"/>
  <c r="AI24" i="2"/>
  <c r="AJ24" i="2"/>
  <c r="AK24" i="2"/>
  <c r="AL24" i="2"/>
  <c r="AM24" i="2"/>
  <c r="AN24" i="2"/>
  <c r="AO24" i="2"/>
  <c r="AP24" i="2"/>
  <c r="AQ24" i="2"/>
  <c r="AF24" i="2"/>
  <c r="AD24" i="2"/>
  <c r="AA24" i="2"/>
  <c r="X24" i="2"/>
  <c r="U24" i="2"/>
  <c r="R24" i="2"/>
  <c r="O24" i="2"/>
  <c r="L24" i="2"/>
  <c r="I24" i="2"/>
  <c r="F24" i="2"/>
  <c r="T22" i="2"/>
  <c r="Q22" i="2"/>
  <c r="N22" i="2"/>
  <c r="K22" i="2"/>
  <c r="E17" i="2"/>
  <c r="AC16" i="2"/>
  <c r="Z16" i="2"/>
  <c r="W16" i="2"/>
  <c r="R16" i="2"/>
  <c r="L16" i="2"/>
  <c r="A16" i="2"/>
  <c r="AC14" i="2"/>
  <c r="Z14" i="2"/>
  <c r="W14" i="2"/>
  <c r="R14" i="2"/>
  <c r="L14" i="2"/>
  <c r="A14" i="2"/>
  <c r="AC12" i="2"/>
  <c r="Z12" i="2"/>
  <c r="W12" i="2"/>
  <c r="R12" i="2"/>
  <c r="L12" i="2"/>
  <c r="A12" i="2"/>
  <c r="AY10" i="2"/>
  <c r="AC10" i="2"/>
  <c r="Z10" i="2"/>
  <c r="W10" i="2"/>
  <c r="R10" i="2"/>
  <c r="L10" i="2"/>
  <c r="A10" i="2"/>
  <c r="AY9" i="2"/>
  <c r="AY8" i="2"/>
  <c r="AC8" i="2"/>
  <c r="Z8" i="2"/>
  <c r="W8" i="2"/>
  <c r="R8" i="2"/>
  <c r="L8" i="2"/>
  <c r="A8" i="2"/>
  <c r="AY7" i="2"/>
  <c r="R7" i="2"/>
  <c r="L7" i="2"/>
  <c r="AY6" i="2"/>
  <c r="K6" i="2"/>
  <c r="AY5" i="2"/>
  <c r="AY4" i="2"/>
  <c r="AY3" i="2"/>
  <c r="W219" i="1"/>
  <c r="W220" i="1"/>
  <c r="W221" i="1"/>
  <c r="W222" i="1"/>
  <c r="Y219" i="1"/>
  <c r="Y220" i="1"/>
  <c r="Y221" i="1"/>
  <c r="Y222" i="1"/>
  <c r="AC218" i="1"/>
  <c r="E101" i="1"/>
  <c r="AF180" i="1"/>
  <c r="X213" i="1"/>
  <c r="W230" i="1"/>
  <c r="E8" i="1"/>
  <c r="B79" i="1"/>
  <c r="AT79" i="1"/>
  <c r="E10" i="1"/>
  <c r="B80" i="1"/>
  <c r="AT80" i="1"/>
  <c r="E12" i="1"/>
  <c r="B81" i="1"/>
  <c r="AT81" i="1"/>
  <c r="E14" i="1"/>
  <c r="B82" i="1"/>
  <c r="AT82" i="1"/>
  <c r="AC31" i="1"/>
  <c r="AC32" i="1"/>
  <c r="AC33" i="1"/>
  <c r="AC34" i="1"/>
  <c r="AC35" i="1"/>
  <c r="AC64" i="1"/>
  <c r="AE64" i="1"/>
  <c r="AC65" i="1"/>
  <c r="AE31" i="1"/>
  <c r="AE32" i="1"/>
  <c r="AE33" i="1"/>
  <c r="AE34" i="1"/>
  <c r="AE35" i="1"/>
  <c r="AE65" i="1"/>
  <c r="AC66" i="1"/>
  <c r="AE66" i="1"/>
  <c r="AC67" i="1"/>
  <c r="AE67" i="1"/>
  <c r="AC68" i="1"/>
  <c r="AE68" i="1"/>
  <c r="AD71" i="1"/>
  <c r="AC72" i="1"/>
  <c r="Z72" i="1"/>
  <c r="AB72" i="1"/>
  <c r="W31" i="1"/>
  <c r="W32" i="1"/>
  <c r="W33" i="1"/>
  <c r="W34" i="1"/>
  <c r="W35" i="1"/>
  <c r="W64" i="1"/>
  <c r="Y64" i="1"/>
  <c r="W65" i="1"/>
  <c r="Y65" i="1"/>
  <c r="W66" i="1"/>
  <c r="Y66" i="1"/>
  <c r="W67" i="1"/>
  <c r="Y67" i="1"/>
  <c r="W68" i="1"/>
  <c r="Y31" i="1"/>
  <c r="Y32" i="1"/>
  <c r="Y33" i="1"/>
  <c r="Y34" i="1"/>
  <c r="Y35" i="1"/>
  <c r="Y68" i="1"/>
  <c r="X71" i="1"/>
  <c r="W72" i="1"/>
  <c r="T72" i="1"/>
  <c r="V72" i="1"/>
  <c r="Q72" i="1"/>
  <c r="S72" i="1"/>
  <c r="N31" i="1"/>
  <c r="N32" i="1"/>
  <c r="N33" i="1"/>
  <c r="N34" i="1"/>
  <c r="N35" i="1"/>
  <c r="N64" i="1"/>
  <c r="P64" i="1"/>
  <c r="N65" i="1"/>
  <c r="P65" i="1"/>
  <c r="N66" i="1"/>
  <c r="P31" i="1"/>
  <c r="P32" i="1"/>
  <c r="P33" i="1"/>
  <c r="P34" i="1"/>
  <c r="P35" i="1"/>
  <c r="P66" i="1"/>
  <c r="N67" i="1"/>
  <c r="P67" i="1"/>
  <c r="N68" i="1"/>
  <c r="P68" i="1"/>
  <c r="O71" i="1"/>
  <c r="N72" i="1"/>
  <c r="K72" i="1"/>
  <c r="M72" i="1"/>
  <c r="H72" i="1"/>
  <c r="J72" i="1"/>
  <c r="E31" i="1"/>
  <c r="E32" i="1"/>
  <c r="E33" i="1"/>
  <c r="E34" i="1"/>
  <c r="E35" i="1"/>
  <c r="E64" i="1"/>
  <c r="G64" i="1"/>
  <c r="E65" i="1"/>
  <c r="G65" i="1"/>
  <c r="E66" i="1"/>
  <c r="G66" i="1"/>
  <c r="E67" i="1"/>
  <c r="G31" i="1"/>
  <c r="G32" i="1"/>
  <c r="G33" i="1"/>
  <c r="G34" i="1"/>
  <c r="G35" i="1"/>
  <c r="G67" i="1"/>
  <c r="E68" i="1"/>
  <c r="G68" i="1"/>
  <c r="F71" i="1"/>
  <c r="E72" i="1"/>
  <c r="B72" i="1"/>
  <c r="D72" i="1"/>
  <c r="C79" i="1"/>
  <c r="D79" i="1"/>
  <c r="E85" i="1"/>
  <c r="E36" i="1"/>
  <c r="B75" i="1"/>
  <c r="D75" i="1"/>
  <c r="C82" i="1"/>
  <c r="D82" i="1"/>
  <c r="G85" i="1"/>
  <c r="G36" i="1"/>
  <c r="E86" i="1"/>
  <c r="E87" i="1"/>
  <c r="G79" i="1"/>
  <c r="J79" i="1"/>
  <c r="M79" i="1"/>
  <c r="N85" i="1"/>
  <c r="N36" i="1"/>
  <c r="K74" i="1"/>
  <c r="M74" i="1"/>
  <c r="H64" i="1"/>
  <c r="J64" i="1"/>
  <c r="H65" i="1"/>
  <c r="J65" i="1"/>
  <c r="H31" i="1"/>
  <c r="H32" i="1"/>
  <c r="H33" i="1"/>
  <c r="H34" i="1"/>
  <c r="H35" i="1"/>
  <c r="H66" i="1"/>
  <c r="J66" i="1"/>
  <c r="H67" i="1"/>
  <c r="J67" i="1"/>
  <c r="H68" i="1"/>
  <c r="J31" i="1"/>
  <c r="J32" i="1"/>
  <c r="J33" i="1"/>
  <c r="J34" i="1"/>
  <c r="J35" i="1"/>
  <c r="J68" i="1"/>
  <c r="I71" i="1"/>
  <c r="H74" i="1"/>
  <c r="E74" i="1"/>
  <c r="G74" i="1"/>
  <c r="B74" i="1"/>
  <c r="D74" i="1"/>
  <c r="C81" i="1"/>
  <c r="D81" i="1"/>
  <c r="G81" i="1"/>
  <c r="H85" i="1"/>
  <c r="H36" i="1"/>
  <c r="E76" i="1"/>
  <c r="G76" i="1"/>
  <c r="B76" i="1"/>
  <c r="B64" i="1"/>
  <c r="D64" i="1"/>
  <c r="B31" i="1"/>
  <c r="B32" i="1"/>
  <c r="B33" i="1"/>
  <c r="B34" i="1"/>
  <c r="B35" i="1"/>
  <c r="B65" i="1"/>
  <c r="D65" i="1"/>
  <c r="B66" i="1"/>
  <c r="D66" i="1"/>
  <c r="B67" i="1"/>
  <c r="D67" i="1"/>
  <c r="B68" i="1"/>
  <c r="D31" i="1"/>
  <c r="D32" i="1"/>
  <c r="D33" i="1"/>
  <c r="D34" i="1"/>
  <c r="D35" i="1"/>
  <c r="D68" i="1"/>
  <c r="C71" i="1"/>
  <c r="D76" i="1"/>
  <c r="E16" i="1"/>
  <c r="B83" i="1"/>
  <c r="C83" i="1"/>
  <c r="D85" i="1"/>
  <c r="D36" i="1"/>
  <c r="C80" i="1"/>
  <c r="B85" i="1"/>
  <c r="B36" i="1"/>
  <c r="D86" i="1"/>
  <c r="D87" i="1"/>
  <c r="D83" i="1"/>
  <c r="G83" i="1"/>
  <c r="J85" i="1"/>
  <c r="J36" i="1"/>
  <c r="H86" i="1"/>
  <c r="H87" i="1"/>
  <c r="J81" i="1"/>
  <c r="M81" i="1"/>
  <c r="P85" i="1"/>
  <c r="P36" i="1"/>
  <c r="N86" i="1"/>
  <c r="N87" i="1"/>
  <c r="P79" i="1"/>
  <c r="S79" i="1"/>
  <c r="V79" i="1"/>
  <c r="W85" i="1"/>
  <c r="W36" i="1"/>
  <c r="T76" i="1"/>
  <c r="V76" i="1"/>
  <c r="Q76" i="1"/>
  <c r="Q64" i="1"/>
  <c r="S64" i="1"/>
  <c r="Q65" i="1"/>
  <c r="S65" i="1"/>
  <c r="Q66" i="1"/>
  <c r="S66" i="1"/>
  <c r="Q31" i="1"/>
  <c r="Q32" i="1"/>
  <c r="Q33" i="1"/>
  <c r="Q34" i="1"/>
  <c r="Q35" i="1"/>
  <c r="Q67" i="1"/>
  <c r="S67" i="1"/>
  <c r="Q68" i="1"/>
  <c r="S31" i="1"/>
  <c r="S32" i="1"/>
  <c r="S33" i="1"/>
  <c r="S34" i="1"/>
  <c r="S35" i="1"/>
  <c r="S68" i="1"/>
  <c r="R71" i="1"/>
  <c r="S76" i="1"/>
  <c r="N76" i="1"/>
  <c r="P76" i="1"/>
  <c r="K76" i="1"/>
  <c r="M76" i="1"/>
  <c r="H76" i="1"/>
  <c r="J76" i="1"/>
  <c r="J86" i="1"/>
  <c r="J87" i="1"/>
  <c r="J83" i="1"/>
  <c r="M83" i="1"/>
  <c r="P83" i="1"/>
  <c r="S85" i="1"/>
  <c r="S36" i="1"/>
  <c r="N75" i="1"/>
  <c r="P75" i="1"/>
  <c r="K75" i="1"/>
  <c r="K64" i="1"/>
  <c r="M64" i="1"/>
  <c r="K31" i="1"/>
  <c r="K32" i="1"/>
  <c r="K33" i="1"/>
  <c r="K34" i="1"/>
  <c r="K35" i="1"/>
  <c r="K65" i="1"/>
  <c r="M65" i="1"/>
  <c r="K66" i="1"/>
  <c r="M66" i="1"/>
  <c r="K67" i="1"/>
  <c r="M31" i="1"/>
  <c r="M32" i="1"/>
  <c r="M33" i="1"/>
  <c r="M34" i="1"/>
  <c r="M35" i="1"/>
  <c r="M67" i="1"/>
  <c r="K68" i="1"/>
  <c r="M68" i="1"/>
  <c r="L71" i="1"/>
  <c r="M75" i="1"/>
  <c r="H75" i="1"/>
  <c r="J75" i="1"/>
  <c r="E75" i="1"/>
  <c r="G75" i="1"/>
  <c r="G86" i="1"/>
  <c r="G87" i="1"/>
  <c r="G82" i="1"/>
  <c r="J82" i="1"/>
  <c r="M85" i="1"/>
  <c r="M36" i="1"/>
  <c r="H73" i="1"/>
  <c r="J73" i="1"/>
  <c r="E73" i="1"/>
  <c r="G73" i="1"/>
  <c r="B73" i="1"/>
  <c r="B86" i="1"/>
  <c r="B87" i="1"/>
  <c r="D80" i="1"/>
  <c r="G80" i="1"/>
  <c r="J80" i="1"/>
  <c r="K85" i="1"/>
  <c r="K36" i="1"/>
  <c r="M86" i="1"/>
  <c r="M87" i="1"/>
  <c r="M82" i="1"/>
  <c r="P82" i="1"/>
  <c r="Q85" i="1"/>
  <c r="Q36" i="1"/>
  <c r="S86" i="1"/>
  <c r="S87" i="1"/>
  <c r="S83" i="1"/>
  <c r="V83" i="1"/>
  <c r="Y85" i="1"/>
  <c r="Y36" i="1"/>
  <c r="W86" i="1"/>
  <c r="W87" i="1"/>
  <c r="Y79" i="1"/>
  <c r="AB79" i="1"/>
  <c r="AC85" i="1"/>
  <c r="AC36" i="1"/>
  <c r="Z73" i="1"/>
  <c r="AB73" i="1"/>
  <c r="W73" i="1"/>
  <c r="Y73" i="1"/>
  <c r="T64" i="1"/>
  <c r="V64" i="1"/>
  <c r="T31" i="1"/>
  <c r="T32" i="1"/>
  <c r="T33" i="1"/>
  <c r="T34" i="1"/>
  <c r="T35" i="1"/>
  <c r="T65" i="1"/>
  <c r="V65" i="1"/>
  <c r="T66" i="1"/>
  <c r="V31" i="1"/>
  <c r="V32" i="1"/>
  <c r="V33" i="1"/>
  <c r="V34" i="1"/>
  <c r="V35" i="1"/>
  <c r="V66" i="1"/>
  <c r="T67" i="1"/>
  <c r="V67" i="1"/>
  <c r="T68" i="1"/>
  <c r="V68" i="1"/>
  <c r="U71" i="1"/>
  <c r="T73" i="1"/>
  <c r="Q73" i="1"/>
  <c r="S73" i="1"/>
  <c r="N73" i="1"/>
  <c r="P73" i="1"/>
  <c r="K73" i="1"/>
  <c r="K86" i="1"/>
  <c r="K87" i="1"/>
  <c r="M80" i="1"/>
  <c r="P80" i="1"/>
  <c r="S80" i="1"/>
  <c r="T85" i="1"/>
  <c r="T36" i="1"/>
  <c r="Q74" i="1"/>
  <c r="S74" i="1"/>
  <c r="N74" i="1"/>
  <c r="P74" i="1"/>
  <c r="P86" i="1"/>
  <c r="P87" i="1"/>
  <c r="P81" i="1"/>
  <c r="S81" i="1"/>
  <c r="V85" i="1"/>
  <c r="V36" i="1"/>
  <c r="T86" i="1"/>
  <c r="T87" i="1"/>
  <c r="V80" i="1"/>
  <c r="Y80" i="1"/>
  <c r="AB80" i="1"/>
  <c r="AE85" i="1"/>
  <c r="AE36" i="1"/>
  <c r="AC86" i="1"/>
  <c r="AC87" i="1"/>
  <c r="AE79" i="1"/>
  <c r="AU79" i="1"/>
  <c r="AC73" i="1"/>
  <c r="AE73" i="1"/>
  <c r="AE86" i="1"/>
  <c r="AE87" i="1"/>
  <c r="AE80" i="1"/>
  <c r="AU80" i="1"/>
  <c r="AC74" i="1"/>
  <c r="AE74" i="1"/>
  <c r="Z64" i="1"/>
  <c r="AB64" i="1"/>
  <c r="Z65" i="1"/>
  <c r="AB65" i="1"/>
  <c r="Z31" i="1"/>
  <c r="Z32" i="1"/>
  <c r="Z33" i="1"/>
  <c r="Z34" i="1"/>
  <c r="Z35" i="1"/>
  <c r="Z66" i="1"/>
  <c r="AB66" i="1"/>
  <c r="Z67" i="1"/>
  <c r="AB31" i="1"/>
  <c r="AB32" i="1"/>
  <c r="AB33" i="1"/>
  <c r="AB34" i="1"/>
  <c r="AB35" i="1"/>
  <c r="AB67" i="1"/>
  <c r="Z68" i="1"/>
  <c r="AB68" i="1"/>
  <c r="AA71" i="1"/>
  <c r="Z74" i="1"/>
  <c r="W74" i="1"/>
  <c r="Y74" i="1"/>
  <c r="T74" i="1"/>
  <c r="V74" i="1"/>
  <c r="V86" i="1"/>
  <c r="V87" i="1"/>
  <c r="V81" i="1"/>
  <c r="Y81" i="1"/>
  <c r="Z85" i="1"/>
  <c r="Z36" i="1"/>
  <c r="W75" i="1"/>
  <c r="Y75" i="1"/>
  <c r="T75" i="1"/>
  <c r="V75" i="1"/>
  <c r="Q75" i="1"/>
  <c r="Q86" i="1"/>
  <c r="Q87" i="1"/>
  <c r="S82" i="1"/>
  <c r="V82" i="1"/>
  <c r="Y82" i="1"/>
  <c r="AB85" i="1"/>
  <c r="AB36" i="1"/>
  <c r="Z86" i="1"/>
  <c r="Z87" i="1"/>
  <c r="AB81" i="1"/>
  <c r="AE81" i="1"/>
  <c r="AU81" i="1"/>
  <c r="AC75" i="1"/>
  <c r="AE75" i="1"/>
  <c r="Z75" i="1"/>
  <c r="AB75" i="1"/>
  <c r="AB86" i="1"/>
  <c r="AB87" i="1"/>
  <c r="AB82" i="1"/>
  <c r="AE82" i="1"/>
  <c r="AU82" i="1"/>
  <c r="AT83" i="1"/>
  <c r="AC76" i="1"/>
  <c r="AE76" i="1"/>
  <c r="Z76" i="1"/>
  <c r="AB76" i="1"/>
  <c r="W76" i="1"/>
  <c r="Y76" i="1"/>
  <c r="Y86" i="1"/>
  <c r="Y87" i="1"/>
  <c r="Y83" i="1"/>
  <c r="AB83" i="1"/>
  <c r="AE83" i="1"/>
  <c r="AU83" i="1"/>
  <c r="E93" i="1"/>
  <c r="B164" i="1"/>
  <c r="AT164" i="1"/>
  <c r="AC116" i="1"/>
  <c r="AC117" i="1"/>
  <c r="AC118" i="1"/>
  <c r="AC119" i="1"/>
  <c r="AC120" i="1"/>
  <c r="AC149" i="1"/>
  <c r="AE149" i="1"/>
  <c r="AC150" i="1"/>
  <c r="AE116" i="1"/>
  <c r="AE117" i="1"/>
  <c r="AE118" i="1"/>
  <c r="AE119" i="1"/>
  <c r="AE120" i="1"/>
  <c r="AE150" i="1"/>
  <c r="AC151" i="1"/>
  <c r="AE151" i="1"/>
  <c r="AC152" i="1"/>
  <c r="AE152" i="1"/>
  <c r="AC153" i="1"/>
  <c r="AE153" i="1"/>
  <c r="AD156" i="1"/>
  <c r="AC157" i="1"/>
  <c r="Z157" i="1"/>
  <c r="AB157" i="1"/>
  <c r="W116" i="1"/>
  <c r="W117" i="1"/>
  <c r="W118" i="1"/>
  <c r="W119" i="1"/>
  <c r="W120" i="1"/>
  <c r="W149" i="1"/>
  <c r="Y149" i="1"/>
  <c r="W150" i="1"/>
  <c r="Y150" i="1"/>
  <c r="W151" i="1"/>
  <c r="Y151" i="1"/>
  <c r="W152" i="1"/>
  <c r="Y152" i="1"/>
  <c r="W153" i="1"/>
  <c r="Y116" i="1"/>
  <c r="Y117" i="1"/>
  <c r="Y118" i="1"/>
  <c r="Y119" i="1"/>
  <c r="Y120" i="1"/>
  <c r="Y153" i="1"/>
  <c r="X156" i="1"/>
  <c r="W157" i="1"/>
  <c r="T157" i="1"/>
  <c r="V157" i="1"/>
  <c r="Q157" i="1"/>
  <c r="S157" i="1"/>
  <c r="N116" i="1"/>
  <c r="N117" i="1"/>
  <c r="N118" i="1"/>
  <c r="N119" i="1"/>
  <c r="N120" i="1"/>
  <c r="N149" i="1"/>
  <c r="P149" i="1"/>
  <c r="N150" i="1"/>
  <c r="P150" i="1"/>
  <c r="N151" i="1"/>
  <c r="P116" i="1"/>
  <c r="P117" i="1"/>
  <c r="P118" i="1"/>
  <c r="P119" i="1"/>
  <c r="P120" i="1"/>
  <c r="P151" i="1"/>
  <c r="N152" i="1"/>
  <c r="P152" i="1"/>
  <c r="N153" i="1"/>
  <c r="P153" i="1"/>
  <c r="O156" i="1"/>
  <c r="N157" i="1"/>
  <c r="K157" i="1"/>
  <c r="M157" i="1"/>
  <c r="H157" i="1"/>
  <c r="J157" i="1"/>
  <c r="E116" i="1"/>
  <c r="E117" i="1"/>
  <c r="E118" i="1"/>
  <c r="E119" i="1"/>
  <c r="E120" i="1"/>
  <c r="E149" i="1"/>
  <c r="G149" i="1"/>
  <c r="E150" i="1"/>
  <c r="G150" i="1"/>
  <c r="E151" i="1"/>
  <c r="G151" i="1"/>
  <c r="E152" i="1"/>
  <c r="G116" i="1"/>
  <c r="G117" i="1"/>
  <c r="G118" i="1"/>
  <c r="G119" i="1"/>
  <c r="G120" i="1"/>
  <c r="G152" i="1"/>
  <c r="E153" i="1"/>
  <c r="G153" i="1"/>
  <c r="F156" i="1"/>
  <c r="E157" i="1"/>
  <c r="B157" i="1"/>
  <c r="D157" i="1"/>
  <c r="C164" i="1"/>
  <c r="D164" i="1"/>
  <c r="E170" i="1"/>
  <c r="E121" i="1"/>
  <c r="B160" i="1"/>
  <c r="D160" i="1"/>
  <c r="E99" i="1"/>
  <c r="B167" i="1"/>
  <c r="C167" i="1"/>
  <c r="D167" i="1"/>
  <c r="G170" i="1"/>
  <c r="G121" i="1"/>
  <c r="E171" i="1"/>
  <c r="E172" i="1"/>
  <c r="G164" i="1"/>
  <c r="J164" i="1"/>
  <c r="M164" i="1"/>
  <c r="N170" i="1"/>
  <c r="N121" i="1"/>
  <c r="K159" i="1"/>
  <c r="M159" i="1"/>
  <c r="H149" i="1"/>
  <c r="J149" i="1"/>
  <c r="H150" i="1"/>
  <c r="J150" i="1"/>
  <c r="H116" i="1"/>
  <c r="H117" i="1"/>
  <c r="H118" i="1"/>
  <c r="H119" i="1"/>
  <c r="H120" i="1"/>
  <c r="H151" i="1"/>
  <c r="J151" i="1"/>
  <c r="H152" i="1"/>
  <c r="J152" i="1"/>
  <c r="H153" i="1"/>
  <c r="J116" i="1"/>
  <c r="J117" i="1"/>
  <c r="J118" i="1"/>
  <c r="J119" i="1"/>
  <c r="J120" i="1"/>
  <c r="J153" i="1"/>
  <c r="I156" i="1"/>
  <c r="H159" i="1"/>
  <c r="E159" i="1"/>
  <c r="G159" i="1"/>
  <c r="B159" i="1"/>
  <c r="D159" i="1"/>
  <c r="E97" i="1"/>
  <c r="B166" i="1"/>
  <c r="C166" i="1"/>
  <c r="D166" i="1"/>
  <c r="G166" i="1"/>
  <c r="H170" i="1"/>
  <c r="H121" i="1"/>
  <c r="E161" i="1"/>
  <c r="G161" i="1"/>
  <c r="B161" i="1"/>
  <c r="B149" i="1"/>
  <c r="D149" i="1"/>
  <c r="B116" i="1"/>
  <c r="B117" i="1"/>
  <c r="B118" i="1"/>
  <c r="B119" i="1"/>
  <c r="B120" i="1"/>
  <c r="B150" i="1"/>
  <c r="D150" i="1"/>
  <c r="B151" i="1"/>
  <c r="D151" i="1"/>
  <c r="B152" i="1"/>
  <c r="D152" i="1"/>
  <c r="B153" i="1"/>
  <c r="D116" i="1"/>
  <c r="D117" i="1"/>
  <c r="D118" i="1"/>
  <c r="D119" i="1"/>
  <c r="D120" i="1"/>
  <c r="D153" i="1"/>
  <c r="C156" i="1"/>
  <c r="D161" i="1"/>
  <c r="B168" i="1"/>
  <c r="C168" i="1"/>
  <c r="D170" i="1"/>
  <c r="D121" i="1"/>
  <c r="E95" i="1"/>
  <c r="B165" i="1"/>
  <c r="C165" i="1"/>
  <c r="B170" i="1"/>
  <c r="B121" i="1"/>
  <c r="D171" i="1"/>
  <c r="D172" i="1"/>
  <c r="D168" i="1"/>
  <c r="G168" i="1"/>
  <c r="J170" i="1"/>
  <c r="J121" i="1"/>
  <c r="H171" i="1"/>
  <c r="H172" i="1"/>
  <c r="J166" i="1"/>
  <c r="M166" i="1"/>
  <c r="P170" i="1"/>
  <c r="P121" i="1"/>
  <c r="N171" i="1"/>
  <c r="N172" i="1"/>
  <c r="P164" i="1"/>
  <c r="S164" i="1"/>
  <c r="V164" i="1"/>
  <c r="W170" i="1"/>
  <c r="W121" i="1"/>
  <c r="T161" i="1"/>
  <c r="V161" i="1"/>
  <c r="Q161" i="1"/>
  <c r="Q149" i="1"/>
  <c r="S149" i="1"/>
  <c r="Q150" i="1"/>
  <c r="S150" i="1"/>
  <c r="Q151" i="1"/>
  <c r="S151" i="1"/>
  <c r="Q116" i="1"/>
  <c r="Q117" i="1"/>
  <c r="Q118" i="1"/>
  <c r="Q119" i="1"/>
  <c r="Q120" i="1"/>
  <c r="Q152" i="1"/>
  <c r="S152" i="1"/>
  <c r="Q153" i="1"/>
  <c r="S116" i="1"/>
  <c r="S117" i="1"/>
  <c r="S118" i="1"/>
  <c r="S119" i="1"/>
  <c r="S120" i="1"/>
  <c r="S153" i="1"/>
  <c r="R156" i="1"/>
  <c r="S161" i="1"/>
  <c r="N161" i="1"/>
  <c r="P161" i="1"/>
  <c r="K161" i="1"/>
  <c r="M161" i="1"/>
  <c r="H161" i="1"/>
  <c r="J161" i="1"/>
  <c r="J171" i="1"/>
  <c r="J172" i="1"/>
  <c r="J168" i="1"/>
  <c r="M168" i="1"/>
  <c r="P168" i="1"/>
  <c r="S170" i="1"/>
  <c r="S121" i="1"/>
  <c r="N160" i="1"/>
  <c r="P160" i="1"/>
  <c r="K160" i="1"/>
  <c r="K149" i="1"/>
  <c r="M149" i="1"/>
  <c r="K116" i="1"/>
  <c r="K117" i="1"/>
  <c r="K118" i="1"/>
  <c r="K119" i="1"/>
  <c r="K120" i="1"/>
  <c r="K150" i="1"/>
  <c r="M150" i="1"/>
  <c r="K151" i="1"/>
  <c r="M151" i="1"/>
  <c r="K152" i="1"/>
  <c r="M116" i="1"/>
  <c r="M117" i="1"/>
  <c r="M118" i="1"/>
  <c r="M119" i="1"/>
  <c r="M120" i="1"/>
  <c r="M152" i="1"/>
  <c r="K153" i="1"/>
  <c r="M153" i="1"/>
  <c r="L156" i="1"/>
  <c r="M160" i="1"/>
  <c r="H160" i="1"/>
  <c r="J160" i="1"/>
  <c r="E160" i="1"/>
  <c r="G160" i="1"/>
  <c r="G171" i="1"/>
  <c r="G172" i="1"/>
  <c r="G167" i="1"/>
  <c r="J167" i="1"/>
  <c r="M170" i="1"/>
  <c r="M121" i="1"/>
  <c r="H158" i="1"/>
  <c r="J158" i="1"/>
  <c r="E158" i="1"/>
  <c r="G158" i="1"/>
  <c r="B158" i="1"/>
  <c r="B171" i="1"/>
  <c r="B172" i="1"/>
  <c r="D165" i="1"/>
  <c r="G165" i="1"/>
  <c r="J165" i="1"/>
  <c r="K170" i="1"/>
  <c r="K121" i="1"/>
  <c r="M171" i="1"/>
  <c r="M172" i="1"/>
  <c r="M167" i="1"/>
  <c r="P167" i="1"/>
  <c r="Q170" i="1"/>
  <c r="Q121" i="1"/>
  <c r="S171" i="1"/>
  <c r="S172" i="1"/>
  <c r="S168" i="1"/>
  <c r="V168" i="1"/>
  <c r="Y170" i="1"/>
  <c r="Y121" i="1"/>
  <c r="W171" i="1"/>
  <c r="W172" i="1"/>
  <c r="Y164" i="1"/>
  <c r="AB164" i="1"/>
  <c r="AC170" i="1"/>
  <c r="AC121" i="1"/>
  <c r="Z158" i="1"/>
  <c r="AB158" i="1"/>
  <c r="W158" i="1"/>
  <c r="Y158" i="1"/>
  <c r="T149" i="1"/>
  <c r="V149" i="1"/>
  <c r="T116" i="1"/>
  <c r="T117" i="1"/>
  <c r="T118" i="1"/>
  <c r="T119" i="1"/>
  <c r="T120" i="1"/>
  <c r="T150" i="1"/>
  <c r="V150" i="1"/>
  <c r="T151" i="1"/>
  <c r="V116" i="1"/>
  <c r="V117" i="1"/>
  <c r="V118" i="1"/>
  <c r="V119" i="1"/>
  <c r="V120" i="1"/>
  <c r="V151" i="1"/>
  <c r="T152" i="1"/>
  <c r="V152" i="1"/>
  <c r="T153" i="1"/>
  <c r="V153" i="1"/>
  <c r="U156" i="1"/>
  <c r="T158" i="1"/>
  <c r="Q158" i="1"/>
  <c r="S158" i="1"/>
  <c r="N158" i="1"/>
  <c r="P158" i="1"/>
  <c r="K158" i="1"/>
  <c r="K171" i="1"/>
  <c r="K172" i="1"/>
  <c r="M165" i="1"/>
  <c r="P165" i="1"/>
  <c r="S165" i="1"/>
  <c r="T170" i="1"/>
  <c r="T121" i="1"/>
  <c r="Q159" i="1"/>
  <c r="S159" i="1"/>
  <c r="N159" i="1"/>
  <c r="P159" i="1"/>
  <c r="P171" i="1"/>
  <c r="P172" i="1"/>
  <c r="P166" i="1"/>
  <c r="S166" i="1"/>
  <c r="V170" i="1"/>
  <c r="V121" i="1"/>
  <c r="T171" i="1"/>
  <c r="T172" i="1"/>
  <c r="V165" i="1"/>
  <c r="Y165" i="1"/>
  <c r="AB165" i="1"/>
  <c r="AE170" i="1"/>
  <c r="AE121" i="1"/>
  <c r="AC171" i="1"/>
  <c r="AC172" i="1"/>
  <c r="AE164" i="1"/>
  <c r="AU164" i="1"/>
  <c r="AT165" i="1"/>
  <c r="AC158" i="1"/>
  <c r="AE158" i="1"/>
  <c r="AE171" i="1"/>
  <c r="AE172" i="1"/>
  <c r="AE165" i="1"/>
  <c r="AU165" i="1"/>
  <c r="AT166" i="1"/>
  <c r="AC159" i="1"/>
  <c r="AE159" i="1"/>
  <c r="Z149" i="1"/>
  <c r="AB149" i="1"/>
  <c r="Z150" i="1"/>
  <c r="AB150" i="1"/>
  <c r="Z116" i="1"/>
  <c r="Z117" i="1"/>
  <c r="Z118" i="1"/>
  <c r="Z119" i="1"/>
  <c r="Z120" i="1"/>
  <c r="Z151" i="1"/>
  <c r="AB151" i="1"/>
  <c r="Z152" i="1"/>
  <c r="AB116" i="1"/>
  <c r="AB117" i="1"/>
  <c r="AB118" i="1"/>
  <c r="AB119" i="1"/>
  <c r="AB120" i="1"/>
  <c r="AB152" i="1"/>
  <c r="Z153" i="1"/>
  <c r="AB153" i="1"/>
  <c r="AA156" i="1"/>
  <c r="Z159" i="1"/>
  <c r="W159" i="1"/>
  <c r="Y159" i="1"/>
  <c r="T159" i="1"/>
  <c r="V159" i="1"/>
  <c r="V171" i="1"/>
  <c r="V172" i="1"/>
  <c r="V166" i="1"/>
  <c r="Y166" i="1"/>
  <c r="Z170" i="1"/>
  <c r="Z121" i="1"/>
  <c r="W160" i="1"/>
  <c r="Y160" i="1"/>
  <c r="T160" i="1"/>
  <c r="V160" i="1"/>
  <c r="Q160" i="1"/>
  <c r="Q171" i="1"/>
  <c r="Q172" i="1"/>
  <c r="S167" i="1"/>
  <c r="V167" i="1"/>
  <c r="Y167" i="1"/>
  <c r="AB170" i="1"/>
  <c r="AB121" i="1"/>
  <c r="Z171" i="1"/>
  <c r="Z172" i="1"/>
  <c r="AB166" i="1"/>
  <c r="AE166" i="1"/>
  <c r="AU166" i="1"/>
  <c r="AT167" i="1"/>
  <c r="AC160" i="1"/>
  <c r="AE160" i="1"/>
  <c r="Z160" i="1"/>
  <c r="AB160" i="1"/>
  <c r="AB171" i="1"/>
  <c r="AB172" i="1"/>
  <c r="AB167" i="1"/>
  <c r="AE167" i="1"/>
  <c r="AU167" i="1"/>
  <c r="AT168" i="1"/>
  <c r="AC161" i="1"/>
  <c r="AE161" i="1"/>
  <c r="Z161" i="1"/>
  <c r="AB161" i="1"/>
  <c r="W161" i="1"/>
  <c r="Y161" i="1"/>
  <c r="Y171" i="1"/>
  <c r="Y172" i="1"/>
  <c r="Y168" i="1"/>
  <c r="AB168" i="1"/>
  <c r="AE168" i="1"/>
  <c r="AU168" i="1"/>
  <c r="AX12" i="1"/>
  <c r="X230" i="1"/>
  <c r="Y231" i="1"/>
  <c r="V179" i="1"/>
  <c r="X210" i="1"/>
  <c r="W227" i="1"/>
  <c r="AX10" i="1"/>
  <c r="X227" i="1"/>
  <c r="W231" i="1"/>
  <c r="Y232" i="1"/>
  <c r="Y233" i="1"/>
  <c r="Y230" i="1"/>
  <c r="AB230" i="1"/>
  <c r="AC231" i="1"/>
  <c r="AC219" i="1"/>
  <c r="AC220" i="1"/>
  <c r="AC221" i="1"/>
  <c r="AC222" i="1"/>
  <c r="Z219" i="1"/>
  <c r="Z220" i="1"/>
  <c r="Z221" i="1"/>
  <c r="Z222" i="1"/>
  <c r="AB219" i="1"/>
  <c r="AB220" i="1"/>
  <c r="AB221" i="1"/>
  <c r="AB222" i="1"/>
  <c r="AE218" i="1"/>
  <c r="V180" i="1"/>
  <c r="X211" i="1"/>
  <c r="W228" i="1"/>
  <c r="AX4" i="1"/>
  <c r="X228" i="1"/>
  <c r="Y228" i="1"/>
  <c r="Z231" i="1"/>
  <c r="AF179" i="1"/>
  <c r="X212" i="1"/>
  <c r="W229" i="1"/>
  <c r="AX3" i="1"/>
  <c r="X229" i="1"/>
  <c r="Y229" i="1"/>
  <c r="AB231" i="1"/>
  <c r="Z232" i="1"/>
  <c r="Z233" i="1"/>
  <c r="AB228" i="1"/>
  <c r="AE231" i="1"/>
  <c r="AE219" i="1"/>
  <c r="AE220" i="1"/>
  <c r="AE221" i="1"/>
  <c r="AE222" i="1"/>
  <c r="AC232" i="1"/>
  <c r="AC233" i="1"/>
  <c r="AE230" i="1"/>
  <c r="AU233" i="1"/>
  <c r="AT233" i="1"/>
  <c r="AE232" i="1"/>
  <c r="AE233" i="1"/>
  <c r="AB232" i="1"/>
  <c r="AB233" i="1"/>
  <c r="W232" i="1"/>
  <c r="W233" i="1"/>
  <c r="E219" i="1"/>
  <c r="E220" i="1"/>
  <c r="E221" i="1"/>
  <c r="E222" i="1"/>
  <c r="G219" i="1"/>
  <c r="G220" i="1"/>
  <c r="G221" i="1"/>
  <c r="G222" i="1"/>
  <c r="J218" i="1"/>
  <c r="B180" i="1"/>
  <c r="B211" i="1"/>
  <c r="B228" i="1"/>
  <c r="AX5" i="1"/>
  <c r="C228" i="1"/>
  <c r="D228" i="1"/>
  <c r="E231" i="1"/>
  <c r="L179" i="1"/>
  <c r="B212" i="1"/>
  <c r="B229" i="1"/>
  <c r="AX6" i="1"/>
  <c r="C229" i="1"/>
  <c r="D229" i="1"/>
  <c r="G231" i="1"/>
  <c r="E232" i="1"/>
  <c r="E233" i="1"/>
  <c r="G228" i="1"/>
  <c r="J231" i="1"/>
  <c r="J219" i="1"/>
  <c r="J220" i="1"/>
  <c r="J221" i="1"/>
  <c r="J222" i="1"/>
  <c r="B219" i="1"/>
  <c r="B220" i="1"/>
  <c r="B221" i="1"/>
  <c r="B222" i="1"/>
  <c r="D219" i="1"/>
  <c r="D220" i="1"/>
  <c r="D221" i="1"/>
  <c r="D222" i="1"/>
  <c r="H218" i="1"/>
  <c r="B179" i="1"/>
  <c r="B210" i="1"/>
  <c r="B227" i="1"/>
  <c r="AX7" i="1"/>
  <c r="C227" i="1"/>
  <c r="B231" i="1"/>
  <c r="L180" i="1"/>
  <c r="B213" i="1"/>
  <c r="B230" i="1"/>
  <c r="AX9" i="1"/>
  <c r="C230" i="1"/>
  <c r="D231" i="1"/>
  <c r="B232" i="1"/>
  <c r="B233" i="1"/>
  <c r="D227" i="1"/>
  <c r="G227" i="1"/>
  <c r="H231" i="1"/>
  <c r="H219" i="1"/>
  <c r="H220" i="1"/>
  <c r="H221" i="1"/>
  <c r="H222" i="1"/>
  <c r="J232" i="1"/>
  <c r="J233" i="1"/>
  <c r="H232" i="1"/>
  <c r="H233" i="1"/>
  <c r="G232" i="1"/>
  <c r="G233" i="1"/>
  <c r="D232" i="1"/>
  <c r="D233" i="1"/>
  <c r="AB229" i="1"/>
  <c r="AE229" i="1"/>
  <c r="AU232" i="1"/>
  <c r="AT232" i="1"/>
  <c r="AE228" i="1"/>
  <c r="AU231" i="1"/>
  <c r="AT231" i="1"/>
  <c r="Y227" i="1"/>
  <c r="AB227" i="1"/>
  <c r="AE227" i="1"/>
  <c r="AU230" i="1"/>
  <c r="AT230" i="1"/>
  <c r="D230" i="1"/>
  <c r="G230" i="1"/>
  <c r="J230" i="1"/>
  <c r="AU229" i="1"/>
  <c r="AT229" i="1"/>
  <c r="G229" i="1"/>
  <c r="J229" i="1"/>
  <c r="AU228" i="1"/>
  <c r="AT228" i="1"/>
  <c r="J228" i="1"/>
  <c r="AU227" i="1"/>
  <c r="AT227" i="1"/>
  <c r="J227" i="1"/>
  <c r="AU226" i="1"/>
  <c r="AT226" i="1"/>
  <c r="AF223" i="1"/>
  <c r="K223" i="1"/>
  <c r="E102" i="1"/>
  <c r="AL180" i="1"/>
  <c r="AG213" i="1"/>
  <c r="E100" i="1"/>
  <c r="R180" i="1"/>
  <c r="K213" i="1"/>
  <c r="E9" i="1"/>
  <c r="AL179" i="1"/>
  <c r="AG212" i="1"/>
  <c r="E11" i="1"/>
  <c r="R179" i="1"/>
  <c r="K212" i="1"/>
  <c r="E94" i="1"/>
  <c r="AB180" i="1"/>
  <c r="AG211" i="1"/>
  <c r="E96" i="1"/>
  <c r="H180" i="1"/>
  <c r="K211" i="1"/>
  <c r="E15" i="1"/>
  <c r="AB179" i="1"/>
  <c r="AG210" i="1"/>
  <c r="E13" i="1"/>
  <c r="H179" i="1"/>
  <c r="K210" i="1"/>
  <c r="U204" i="1"/>
  <c r="A204" i="1"/>
  <c r="AB203" i="1"/>
  <c r="F203" i="1"/>
  <c r="U199" i="1"/>
  <c r="A199" i="1"/>
  <c r="AF198" i="1"/>
  <c r="J198" i="1"/>
  <c r="U195" i="1"/>
  <c r="A195" i="1"/>
  <c r="AB193" i="1"/>
  <c r="T193" i="1"/>
  <c r="F193" i="1"/>
  <c r="A193" i="1"/>
  <c r="U190" i="1"/>
  <c r="A190" i="1"/>
  <c r="A174" i="1"/>
  <c r="AF161" i="1"/>
  <c r="S160" i="1"/>
  <c r="AF160" i="1"/>
  <c r="J159" i="1"/>
  <c r="AB159" i="1"/>
  <c r="AF159" i="1"/>
  <c r="D158" i="1"/>
  <c r="M158" i="1"/>
  <c r="V158" i="1"/>
  <c r="AF158" i="1"/>
  <c r="G157" i="1"/>
  <c r="P157" i="1"/>
  <c r="Y157" i="1"/>
  <c r="AE157" i="1"/>
  <c r="AF157" i="1"/>
  <c r="AF153" i="1"/>
  <c r="AG153" i="1"/>
  <c r="AF152" i="1"/>
  <c r="AG152" i="1"/>
  <c r="AF151" i="1"/>
  <c r="AG151" i="1"/>
  <c r="AF150" i="1"/>
  <c r="AG150" i="1"/>
  <c r="AF149" i="1"/>
  <c r="AG149" i="1"/>
  <c r="B147" i="1"/>
  <c r="B124" i="1"/>
  <c r="D124" i="1"/>
  <c r="B125" i="1"/>
  <c r="D125" i="1"/>
  <c r="B126" i="1"/>
  <c r="D126" i="1"/>
  <c r="B127" i="1"/>
  <c r="D127" i="1"/>
  <c r="B128" i="1"/>
  <c r="D128" i="1"/>
  <c r="B129" i="1"/>
  <c r="D147" i="1"/>
  <c r="E147" i="1"/>
  <c r="G147" i="1"/>
  <c r="H147" i="1"/>
  <c r="H124" i="1"/>
  <c r="J124" i="1"/>
  <c r="H125" i="1"/>
  <c r="J125" i="1"/>
  <c r="H126" i="1"/>
  <c r="J126" i="1"/>
  <c r="H127" i="1"/>
  <c r="J127" i="1"/>
  <c r="H128" i="1"/>
  <c r="J128" i="1"/>
  <c r="H129" i="1"/>
  <c r="J147" i="1"/>
  <c r="K147" i="1"/>
  <c r="M147" i="1"/>
  <c r="N147" i="1"/>
  <c r="P147" i="1"/>
  <c r="Q147" i="1"/>
  <c r="Q124" i="1"/>
  <c r="S124" i="1"/>
  <c r="Q125" i="1"/>
  <c r="S125" i="1"/>
  <c r="Q126" i="1"/>
  <c r="S126" i="1"/>
  <c r="Q127" i="1"/>
  <c r="S127" i="1"/>
  <c r="Q128" i="1"/>
  <c r="S128" i="1"/>
  <c r="Q129" i="1"/>
  <c r="S147" i="1"/>
  <c r="T147" i="1"/>
  <c r="V147" i="1"/>
  <c r="W147" i="1"/>
  <c r="W124" i="1"/>
  <c r="Y124" i="1"/>
  <c r="W125" i="1"/>
  <c r="Y125" i="1"/>
  <c r="W126" i="1"/>
  <c r="Y126" i="1"/>
  <c r="W127" i="1"/>
  <c r="Y127" i="1"/>
  <c r="W128" i="1"/>
  <c r="Y128" i="1"/>
  <c r="W129" i="1"/>
  <c r="Y147" i="1"/>
  <c r="Z147" i="1"/>
  <c r="AB147" i="1"/>
  <c r="AC147" i="1"/>
  <c r="AE147" i="1"/>
  <c r="AF147" i="1"/>
  <c r="B146" i="1"/>
  <c r="D146" i="1"/>
  <c r="E146" i="1"/>
  <c r="E124" i="1"/>
  <c r="G124" i="1"/>
  <c r="E125" i="1"/>
  <c r="G125" i="1"/>
  <c r="E126" i="1"/>
  <c r="G126" i="1"/>
  <c r="E127" i="1"/>
  <c r="G127" i="1"/>
  <c r="E128" i="1"/>
  <c r="G128" i="1"/>
  <c r="E129" i="1"/>
  <c r="G146" i="1"/>
  <c r="H146" i="1"/>
  <c r="J146" i="1"/>
  <c r="K146" i="1"/>
  <c r="K124" i="1"/>
  <c r="M124" i="1"/>
  <c r="K125" i="1"/>
  <c r="M125" i="1"/>
  <c r="K126" i="1"/>
  <c r="M126" i="1"/>
  <c r="K127" i="1"/>
  <c r="M127" i="1"/>
  <c r="K128" i="1"/>
  <c r="M128" i="1"/>
  <c r="K129" i="1"/>
  <c r="M146" i="1"/>
  <c r="N146" i="1"/>
  <c r="P146" i="1"/>
  <c r="Q146" i="1"/>
  <c r="S146" i="1"/>
  <c r="T146" i="1"/>
  <c r="V146" i="1"/>
  <c r="W146" i="1"/>
  <c r="Y146" i="1"/>
  <c r="Z146" i="1"/>
  <c r="Z124" i="1"/>
  <c r="AB124" i="1"/>
  <c r="Z125" i="1"/>
  <c r="AB125" i="1"/>
  <c r="Z126" i="1"/>
  <c r="AB126" i="1"/>
  <c r="Z127" i="1"/>
  <c r="AB127" i="1"/>
  <c r="Z128" i="1"/>
  <c r="AB128" i="1"/>
  <c r="Z129" i="1"/>
  <c r="AB146" i="1"/>
  <c r="AC146" i="1"/>
  <c r="AE146" i="1"/>
  <c r="AF146" i="1"/>
  <c r="B145" i="1"/>
  <c r="D145" i="1"/>
  <c r="E145" i="1"/>
  <c r="G145" i="1"/>
  <c r="H145" i="1"/>
  <c r="J145" i="1"/>
  <c r="K145" i="1"/>
  <c r="M145" i="1"/>
  <c r="N145" i="1"/>
  <c r="N124" i="1"/>
  <c r="P124" i="1"/>
  <c r="N125" i="1"/>
  <c r="P125" i="1"/>
  <c r="N126" i="1"/>
  <c r="P126" i="1"/>
  <c r="N127" i="1"/>
  <c r="P127" i="1"/>
  <c r="N128" i="1"/>
  <c r="P128" i="1"/>
  <c r="N129" i="1"/>
  <c r="P145" i="1"/>
  <c r="Q145" i="1"/>
  <c r="S145" i="1"/>
  <c r="T145" i="1"/>
  <c r="T124" i="1"/>
  <c r="V124" i="1"/>
  <c r="T125" i="1"/>
  <c r="V125" i="1"/>
  <c r="T126" i="1"/>
  <c r="V126" i="1"/>
  <c r="T127" i="1"/>
  <c r="V127" i="1"/>
  <c r="T128" i="1"/>
  <c r="V128" i="1"/>
  <c r="T129" i="1"/>
  <c r="V145" i="1"/>
  <c r="W145" i="1"/>
  <c r="Y145" i="1"/>
  <c r="Z145" i="1"/>
  <c r="AB145" i="1"/>
  <c r="AC145" i="1"/>
  <c r="AE145" i="1"/>
  <c r="AF145" i="1"/>
  <c r="B144" i="1"/>
  <c r="D144" i="1"/>
  <c r="E144" i="1"/>
  <c r="G144" i="1"/>
  <c r="H144" i="1"/>
  <c r="J144" i="1"/>
  <c r="K144" i="1"/>
  <c r="M144" i="1"/>
  <c r="N144" i="1"/>
  <c r="P144" i="1"/>
  <c r="Q144" i="1"/>
  <c r="S144" i="1"/>
  <c r="T144" i="1"/>
  <c r="V144" i="1"/>
  <c r="W144" i="1"/>
  <c r="Y144" i="1"/>
  <c r="Z144" i="1"/>
  <c r="AB144" i="1"/>
  <c r="AC144" i="1"/>
  <c r="AC124" i="1"/>
  <c r="AE124" i="1"/>
  <c r="AC125" i="1"/>
  <c r="AE125" i="1"/>
  <c r="AC126" i="1"/>
  <c r="AE126" i="1"/>
  <c r="AC127" i="1"/>
  <c r="AE127" i="1"/>
  <c r="AC128" i="1"/>
  <c r="AE128" i="1"/>
  <c r="AC129" i="1"/>
  <c r="AE144" i="1"/>
  <c r="AF144" i="1"/>
  <c r="B143" i="1"/>
  <c r="D143" i="1"/>
  <c r="E143" i="1"/>
  <c r="G143" i="1"/>
  <c r="H143" i="1"/>
  <c r="J143" i="1"/>
  <c r="K143" i="1"/>
  <c r="M143" i="1"/>
  <c r="N143" i="1"/>
  <c r="P143" i="1"/>
  <c r="Q143" i="1"/>
  <c r="S143" i="1"/>
  <c r="T143" i="1"/>
  <c r="V143" i="1"/>
  <c r="W143" i="1"/>
  <c r="Y143" i="1"/>
  <c r="Z143" i="1"/>
  <c r="AB143" i="1"/>
  <c r="AC143" i="1"/>
  <c r="AE143" i="1"/>
  <c r="AF143" i="1"/>
  <c r="B141" i="1"/>
  <c r="B122" i="1"/>
  <c r="D122" i="1"/>
  <c r="C122" i="1"/>
  <c r="D141" i="1"/>
  <c r="E141" i="1"/>
  <c r="G141" i="1"/>
  <c r="H141" i="1"/>
  <c r="H122" i="1"/>
  <c r="J122" i="1"/>
  <c r="I122" i="1"/>
  <c r="J141" i="1"/>
  <c r="K141" i="1"/>
  <c r="M141" i="1"/>
  <c r="N141" i="1"/>
  <c r="P141" i="1"/>
  <c r="Q141" i="1"/>
  <c r="Q122" i="1"/>
  <c r="S122" i="1"/>
  <c r="R122" i="1"/>
  <c r="S141" i="1"/>
  <c r="T141" i="1"/>
  <c r="V141" i="1"/>
  <c r="W141" i="1"/>
  <c r="W122" i="1"/>
  <c r="Y122" i="1"/>
  <c r="X122" i="1"/>
  <c r="Y141" i="1"/>
  <c r="Z141" i="1"/>
  <c r="AB141" i="1"/>
  <c r="AC141" i="1"/>
  <c r="AE141" i="1"/>
  <c r="AF141" i="1"/>
  <c r="B140" i="1"/>
  <c r="D140" i="1"/>
  <c r="E140" i="1"/>
  <c r="E122" i="1"/>
  <c r="G122" i="1"/>
  <c r="F122" i="1"/>
  <c r="G140" i="1"/>
  <c r="H140" i="1"/>
  <c r="J140" i="1"/>
  <c r="K140" i="1"/>
  <c r="K122" i="1"/>
  <c r="M122" i="1"/>
  <c r="L122" i="1"/>
  <c r="M140" i="1"/>
  <c r="N140" i="1"/>
  <c r="P140" i="1"/>
  <c r="Q140" i="1"/>
  <c r="S140" i="1"/>
  <c r="T140" i="1"/>
  <c r="V140" i="1"/>
  <c r="W140" i="1"/>
  <c r="Y140" i="1"/>
  <c r="Z140" i="1"/>
  <c r="Z122" i="1"/>
  <c r="AB122" i="1"/>
  <c r="AA122" i="1"/>
  <c r="AB140" i="1"/>
  <c r="AC140" i="1"/>
  <c r="AE140" i="1"/>
  <c r="AF140" i="1"/>
  <c r="B139" i="1"/>
  <c r="D139" i="1"/>
  <c r="E139" i="1"/>
  <c r="G139" i="1"/>
  <c r="H139" i="1"/>
  <c r="J139" i="1"/>
  <c r="K139" i="1"/>
  <c r="M139" i="1"/>
  <c r="N139" i="1"/>
  <c r="N122" i="1"/>
  <c r="P122" i="1"/>
  <c r="O122" i="1"/>
  <c r="P139" i="1"/>
  <c r="Q139" i="1"/>
  <c r="S139" i="1"/>
  <c r="T139" i="1"/>
  <c r="T122" i="1"/>
  <c r="V122" i="1"/>
  <c r="U122" i="1"/>
  <c r="V139" i="1"/>
  <c r="W139" i="1"/>
  <c r="Y139" i="1"/>
  <c r="Z139" i="1"/>
  <c r="AB139" i="1"/>
  <c r="AC139" i="1"/>
  <c r="AE139" i="1"/>
  <c r="AF139" i="1"/>
  <c r="B138" i="1"/>
  <c r="D138" i="1"/>
  <c r="E138" i="1"/>
  <c r="G138" i="1"/>
  <c r="H138" i="1"/>
  <c r="J138" i="1"/>
  <c r="K138" i="1"/>
  <c r="M138" i="1"/>
  <c r="N138" i="1"/>
  <c r="P138" i="1"/>
  <c r="Q138" i="1"/>
  <c r="S138" i="1"/>
  <c r="T138" i="1"/>
  <c r="V138" i="1"/>
  <c r="W138" i="1"/>
  <c r="Y138" i="1"/>
  <c r="Z138" i="1"/>
  <c r="AB138" i="1"/>
  <c r="AC138" i="1"/>
  <c r="AC122" i="1"/>
  <c r="AE122" i="1"/>
  <c r="AD122" i="1"/>
  <c r="AE138" i="1"/>
  <c r="AF138" i="1"/>
  <c r="B137" i="1"/>
  <c r="D137" i="1"/>
  <c r="E137" i="1"/>
  <c r="G137" i="1"/>
  <c r="H137" i="1"/>
  <c r="J137" i="1"/>
  <c r="K137" i="1"/>
  <c r="M137" i="1"/>
  <c r="N137" i="1"/>
  <c r="P137" i="1"/>
  <c r="Q137" i="1"/>
  <c r="S137" i="1"/>
  <c r="T137" i="1"/>
  <c r="V137" i="1"/>
  <c r="W137" i="1"/>
  <c r="Y137" i="1"/>
  <c r="Z137" i="1"/>
  <c r="AB137" i="1"/>
  <c r="AC137" i="1"/>
  <c r="AE137" i="1"/>
  <c r="AF137" i="1"/>
  <c r="B135" i="1"/>
  <c r="D135" i="1"/>
  <c r="E135" i="1"/>
  <c r="G135" i="1"/>
  <c r="H135" i="1"/>
  <c r="J135" i="1"/>
  <c r="K135" i="1"/>
  <c r="M135" i="1"/>
  <c r="N135" i="1"/>
  <c r="P135" i="1"/>
  <c r="Q135" i="1"/>
  <c r="S135" i="1"/>
  <c r="T135" i="1"/>
  <c r="V135" i="1"/>
  <c r="W135" i="1"/>
  <c r="Y135" i="1"/>
  <c r="Z135" i="1"/>
  <c r="AB135" i="1"/>
  <c r="AC135" i="1"/>
  <c r="AE135" i="1"/>
  <c r="AF135" i="1"/>
  <c r="AG135" i="1"/>
  <c r="B134" i="1"/>
  <c r="D134" i="1"/>
  <c r="E134" i="1"/>
  <c r="G134" i="1"/>
  <c r="H134" i="1"/>
  <c r="J134" i="1"/>
  <c r="K134" i="1"/>
  <c r="M134" i="1"/>
  <c r="N134" i="1"/>
  <c r="P134" i="1"/>
  <c r="Q134" i="1"/>
  <c r="S134" i="1"/>
  <c r="T134" i="1"/>
  <c r="V134" i="1"/>
  <c r="W134" i="1"/>
  <c r="Y134" i="1"/>
  <c r="Z134" i="1"/>
  <c r="AB134" i="1"/>
  <c r="AC134" i="1"/>
  <c r="AE134" i="1"/>
  <c r="AF134" i="1"/>
  <c r="AG134" i="1"/>
  <c r="B133" i="1"/>
  <c r="D133" i="1"/>
  <c r="E133" i="1"/>
  <c r="G133" i="1"/>
  <c r="H133" i="1"/>
  <c r="J133" i="1"/>
  <c r="K133" i="1"/>
  <c r="M133" i="1"/>
  <c r="N133" i="1"/>
  <c r="P133" i="1"/>
  <c r="Q133" i="1"/>
  <c r="S133" i="1"/>
  <c r="T133" i="1"/>
  <c r="V133" i="1"/>
  <c r="W133" i="1"/>
  <c r="Y133" i="1"/>
  <c r="Z133" i="1"/>
  <c r="AB133" i="1"/>
  <c r="AC133" i="1"/>
  <c r="AE133" i="1"/>
  <c r="AF133" i="1"/>
  <c r="AG133" i="1"/>
  <c r="B132" i="1"/>
  <c r="D132" i="1"/>
  <c r="E132" i="1"/>
  <c r="G132" i="1"/>
  <c r="H132" i="1"/>
  <c r="J132" i="1"/>
  <c r="K132" i="1"/>
  <c r="M132" i="1"/>
  <c r="N132" i="1"/>
  <c r="P132" i="1"/>
  <c r="Q132" i="1"/>
  <c r="S132" i="1"/>
  <c r="T132" i="1"/>
  <c r="V132" i="1"/>
  <c r="W132" i="1"/>
  <c r="Y132" i="1"/>
  <c r="Z132" i="1"/>
  <c r="AB132" i="1"/>
  <c r="AC132" i="1"/>
  <c r="AE132" i="1"/>
  <c r="AF132" i="1"/>
  <c r="AG132" i="1"/>
  <c r="B131" i="1"/>
  <c r="D131" i="1"/>
  <c r="E131" i="1"/>
  <c r="G131" i="1"/>
  <c r="H131" i="1"/>
  <c r="J131" i="1"/>
  <c r="K131" i="1"/>
  <c r="M131" i="1"/>
  <c r="N131" i="1"/>
  <c r="P131" i="1"/>
  <c r="Q131" i="1"/>
  <c r="S131" i="1"/>
  <c r="T131" i="1"/>
  <c r="V131" i="1"/>
  <c r="W131" i="1"/>
  <c r="Y131" i="1"/>
  <c r="Z131" i="1"/>
  <c r="AB131" i="1"/>
  <c r="AC131" i="1"/>
  <c r="AE131" i="1"/>
  <c r="AF131" i="1"/>
  <c r="AG131" i="1"/>
  <c r="AE115" i="1"/>
  <c r="AC115" i="1"/>
  <c r="AB115" i="1"/>
  <c r="Z115" i="1"/>
  <c r="Y115" i="1"/>
  <c r="W115" i="1"/>
  <c r="V115" i="1"/>
  <c r="T115" i="1"/>
  <c r="S115" i="1"/>
  <c r="Q115" i="1"/>
  <c r="P115" i="1"/>
  <c r="N115" i="1"/>
  <c r="M115" i="1"/>
  <c r="K115" i="1"/>
  <c r="J115" i="1"/>
  <c r="H115" i="1"/>
  <c r="G115" i="1"/>
  <c r="E115" i="1"/>
  <c r="D115" i="1"/>
  <c r="B115" i="1"/>
  <c r="AD114" i="1"/>
  <c r="AA114" i="1"/>
  <c r="X114" i="1"/>
  <c r="U114" i="1"/>
  <c r="R114" i="1"/>
  <c r="O114" i="1"/>
  <c r="L114" i="1"/>
  <c r="I114" i="1"/>
  <c r="F114" i="1"/>
  <c r="A114" i="1"/>
  <c r="AG113" i="1"/>
  <c r="AH113" i="1"/>
  <c r="AI113" i="1"/>
  <c r="AJ113" i="1"/>
  <c r="AK113" i="1"/>
  <c r="AL113" i="1"/>
  <c r="AM113" i="1"/>
  <c r="AN113" i="1"/>
  <c r="AO113" i="1"/>
  <c r="AP113" i="1"/>
  <c r="AQ113" i="1"/>
  <c r="AF113" i="1"/>
  <c r="AD113" i="1"/>
  <c r="AA113" i="1"/>
  <c r="X113" i="1"/>
  <c r="U113" i="1"/>
  <c r="R113" i="1"/>
  <c r="O113" i="1"/>
  <c r="L113" i="1"/>
  <c r="I113" i="1"/>
  <c r="F113" i="1"/>
  <c r="A113" i="1"/>
  <c r="AG112" i="1"/>
  <c r="AH112" i="1"/>
  <c r="AI112" i="1"/>
  <c r="AJ112" i="1"/>
  <c r="AK112" i="1"/>
  <c r="AL112" i="1"/>
  <c r="AM112" i="1"/>
  <c r="AN112" i="1"/>
  <c r="AO112" i="1"/>
  <c r="AP112" i="1"/>
  <c r="AQ112" i="1"/>
  <c r="AF112" i="1"/>
  <c r="AD112" i="1"/>
  <c r="AA112" i="1"/>
  <c r="X112" i="1"/>
  <c r="U112" i="1"/>
  <c r="R112" i="1"/>
  <c r="O112" i="1"/>
  <c r="L112" i="1"/>
  <c r="I112" i="1"/>
  <c r="F112" i="1"/>
  <c r="A112" i="1"/>
  <c r="AG111" i="1"/>
  <c r="AH111" i="1"/>
  <c r="AI111" i="1"/>
  <c r="AJ111" i="1"/>
  <c r="AK111" i="1"/>
  <c r="AL111" i="1"/>
  <c r="AM111" i="1"/>
  <c r="AN111" i="1"/>
  <c r="AO111" i="1"/>
  <c r="AP111" i="1"/>
  <c r="AQ111" i="1"/>
  <c r="AF111" i="1"/>
  <c r="AD111" i="1"/>
  <c r="AA111" i="1"/>
  <c r="X111" i="1"/>
  <c r="U111" i="1"/>
  <c r="R111" i="1"/>
  <c r="O111" i="1"/>
  <c r="L111" i="1"/>
  <c r="I111" i="1"/>
  <c r="F111" i="1"/>
  <c r="A111" i="1"/>
  <c r="AG110" i="1"/>
  <c r="AH110" i="1"/>
  <c r="AI110" i="1"/>
  <c r="AJ110" i="1"/>
  <c r="AK110" i="1"/>
  <c r="AL110" i="1"/>
  <c r="AM110" i="1"/>
  <c r="AN110" i="1"/>
  <c r="AO110" i="1"/>
  <c r="AP110" i="1"/>
  <c r="AQ110" i="1"/>
  <c r="AF110" i="1"/>
  <c r="AD110" i="1"/>
  <c r="AA110" i="1"/>
  <c r="X110" i="1"/>
  <c r="U110" i="1"/>
  <c r="R110" i="1"/>
  <c r="O110" i="1"/>
  <c r="L110" i="1"/>
  <c r="I110" i="1"/>
  <c r="F110" i="1"/>
  <c r="AG109" i="1"/>
  <c r="AH109" i="1"/>
  <c r="AI109" i="1"/>
  <c r="AJ109" i="1"/>
  <c r="AK109" i="1"/>
  <c r="AL109" i="1"/>
  <c r="AM109" i="1"/>
  <c r="AN109" i="1"/>
  <c r="AO109" i="1"/>
  <c r="AP109" i="1"/>
  <c r="AQ109" i="1"/>
  <c r="AF109" i="1"/>
  <c r="AD109" i="1"/>
  <c r="AA109" i="1"/>
  <c r="X109" i="1"/>
  <c r="U109" i="1"/>
  <c r="R109" i="1"/>
  <c r="O109" i="1"/>
  <c r="L109" i="1"/>
  <c r="I109" i="1"/>
  <c r="F109" i="1"/>
  <c r="AC107" i="1"/>
  <c r="Z107" i="1"/>
  <c r="W107" i="1"/>
  <c r="T107" i="1"/>
  <c r="Q107" i="1"/>
  <c r="N107" i="1"/>
  <c r="K107" i="1"/>
  <c r="H107" i="1"/>
  <c r="E107" i="1"/>
  <c r="AC101" i="1"/>
  <c r="Z101" i="1"/>
  <c r="W101" i="1"/>
  <c r="R101" i="1"/>
  <c r="L101" i="1"/>
  <c r="A101" i="1"/>
  <c r="AC99" i="1"/>
  <c r="Z99" i="1"/>
  <c r="W99" i="1"/>
  <c r="R99" i="1"/>
  <c r="L99" i="1"/>
  <c r="A99" i="1"/>
  <c r="E98" i="1"/>
  <c r="AC97" i="1"/>
  <c r="Z97" i="1"/>
  <c r="W97" i="1"/>
  <c r="R97" i="1"/>
  <c r="L97" i="1"/>
  <c r="A97" i="1"/>
  <c r="AC95" i="1"/>
  <c r="Z95" i="1"/>
  <c r="W95" i="1"/>
  <c r="R95" i="1"/>
  <c r="L95" i="1"/>
  <c r="A95" i="1"/>
  <c r="AC93" i="1"/>
  <c r="Z93" i="1"/>
  <c r="W93" i="1"/>
  <c r="R93" i="1"/>
  <c r="L93" i="1"/>
  <c r="A93" i="1"/>
  <c r="R92" i="1"/>
  <c r="L92" i="1"/>
  <c r="K91" i="1"/>
  <c r="A89" i="1"/>
  <c r="AF76" i="1"/>
  <c r="S75" i="1"/>
  <c r="AF75" i="1"/>
  <c r="J74" i="1"/>
  <c r="AB74" i="1"/>
  <c r="AF74" i="1"/>
  <c r="D73" i="1"/>
  <c r="M73" i="1"/>
  <c r="V73" i="1"/>
  <c r="AF73" i="1"/>
  <c r="G72" i="1"/>
  <c r="P72" i="1"/>
  <c r="Y72" i="1"/>
  <c r="AE72" i="1"/>
  <c r="AF72" i="1"/>
  <c r="AF68" i="1"/>
  <c r="AG68" i="1"/>
  <c r="AF67" i="1"/>
  <c r="AG67" i="1"/>
  <c r="AF66" i="1"/>
  <c r="AG66" i="1"/>
  <c r="AF65" i="1"/>
  <c r="AG65" i="1"/>
  <c r="AF64" i="1"/>
  <c r="AG64" i="1"/>
  <c r="B62" i="1"/>
  <c r="B39" i="1"/>
  <c r="D39" i="1"/>
  <c r="B40" i="1"/>
  <c r="D40" i="1"/>
  <c r="B41" i="1"/>
  <c r="D41" i="1"/>
  <c r="B42" i="1"/>
  <c r="D42" i="1"/>
  <c r="B43" i="1"/>
  <c r="D43" i="1"/>
  <c r="B44" i="1"/>
  <c r="D62" i="1"/>
  <c r="E62" i="1"/>
  <c r="G62" i="1"/>
  <c r="H62" i="1"/>
  <c r="H39" i="1"/>
  <c r="J39" i="1"/>
  <c r="H40" i="1"/>
  <c r="J40" i="1"/>
  <c r="H41" i="1"/>
  <c r="J41" i="1"/>
  <c r="H42" i="1"/>
  <c r="J42" i="1"/>
  <c r="H43" i="1"/>
  <c r="J43" i="1"/>
  <c r="H44" i="1"/>
  <c r="J62" i="1"/>
  <c r="K62" i="1"/>
  <c r="M62" i="1"/>
  <c r="N62" i="1"/>
  <c r="P62" i="1"/>
  <c r="Q62" i="1"/>
  <c r="Q39" i="1"/>
  <c r="S39" i="1"/>
  <c r="Q40" i="1"/>
  <c r="S40" i="1"/>
  <c r="Q41" i="1"/>
  <c r="S41" i="1"/>
  <c r="Q42" i="1"/>
  <c r="S42" i="1"/>
  <c r="Q43" i="1"/>
  <c r="S43" i="1"/>
  <c r="Q44" i="1"/>
  <c r="S62" i="1"/>
  <c r="T62" i="1"/>
  <c r="V62" i="1"/>
  <c r="W62" i="1"/>
  <c r="W39" i="1"/>
  <c r="Y39" i="1"/>
  <c r="W40" i="1"/>
  <c r="Y40" i="1"/>
  <c r="W41" i="1"/>
  <c r="Y41" i="1"/>
  <c r="W42" i="1"/>
  <c r="Y42" i="1"/>
  <c r="W43" i="1"/>
  <c r="Y43" i="1"/>
  <c r="W44" i="1"/>
  <c r="Y62" i="1"/>
  <c r="Z62" i="1"/>
  <c r="AB62" i="1"/>
  <c r="AC62" i="1"/>
  <c r="AE62" i="1"/>
  <c r="AF62" i="1"/>
  <c r="B61" i="1"/>
  <c r="D61" i="1"/>
  <c r="E61" i="1"/>
  <c r="E39" i="1"/>
  <c r="G39" i="1"/>
  <c r="E40" i="1"/>
  <c r="G40" i="1"/>
  <c r="E41" i="1"/>
  <c r="G41" i="1"/>
  <c r="E42" i="1"/>
  <c r="G42" i="1"/>
  <c r="E43" i="1"/>
  <c r="G43" i="1"/>
  <c r="E44" i="1"/>
  <c r="G61" i="1"/>
  <c r="H61" i="1"/>
  <c r="J61" i="1"/>
  <c r="K61" i="1"/>
  <c r="K39" i="1"/>
  <c r="M39" i="1"/>
  <c r="K40" i="1"/>
  <c r="M40" i="1"/>
  <c r="K41" i="1"/>
  <c r="M41" i="1"/>
  <c r="K42" i="1"/>
  <c r="M42" i="1"/>
  <c r="K43" i="1"/>
  <c r="M43" i="1"/>
  <c r="K44" i="1"/>
  <c r="M61" i="1"/>
  <c r="N61" i="1"/>
  <c r="P61" i="1"/>
  <c r="Q61" i="1"/>
  <c r="S61" i="1"/>
  <c r="T61" i="1"/>
  <c r="V61" i="1"/>
  <c r="W61" i="1"/>
  <c r="Y61" i="1"/>
  <c r="Z61" i="1"/>
  <c r="Z39" i="1"/>
  <c r="AB39" i="1"/>
  <c r="Z40" i="1"/>
  <c r="AB40" i="1"/>
  <c r="Z41" i="1"/>
  <c r="AB41" i="1"/>
  <c r="Z42" i="1"/>
  <c r="AB42" i="1"/>
  <c r="Z43" i="1"/>
  <c r="AB43" i="1"/>
  <c r="Z44" i="1"/>
  <c r="AB61" i="1"/>
  <c r="AC61" i="1"/>
  <c r="AE61" i="1"/>
  <c r="AF61" i="1"/>
  <c r="B60" i="1"/>
  <c r="D60" i="1"/>
  <c r="E60" i="1"/>
  <c r="G60" i="1"/>
  <c r="H60" i="1"/>
  <c r="J60" i="1"/>
  <c r="K60" i="1"/>
  <c r="M60" i="1"/>
  <c r="N60" i="1"/>
  <c r="N39" i="1"/>
  <c r="P39" i="1"/>
  <c r="N40" i="1"/>
  <c r="P40" i="1"/>
  <c r="N41" i="1"/>
  <c r="P41" i="1"/>
  <c r="N42" i="1"/>
  <c r="P42" i="1"/>
  <c r="N43" i="1"/>
  <c r="P43" i="1"/>
  <c r="N44" i="1"/>
  <c r="P60" i="1"/>
  <c r="Q60" i="1"/>
  <c r="S60" i="1"/>
  <c r="T60" i="1"/>
  <c r="T39" i="1"/>
  <c r="V39" i="1"/>
  <c r="T40" i="1"/>
  <c r="V40" i="1"/>
  <c r="T41" i="1"/>
  <c r="V41" i="1"/>
  <c r="T42" i="1"/>
  <c r="V42" i="1"/>
  <c r="T43" i="1"/>
  <c r="V43" i="1"/>
  <c r="T44" i="1"/>
  <c r="V60" i="1"/>
  <c r="W60" i="1"/>
  <c r="Y60" i="1"/>
  <c r="Z60" i="1"/>
  <c r="AB60" i="1"/>
  <c r="AC60" i="1"/>
  <c r="AE60" i="1"/>
  <c r="AF60" i="1"/>
  <c r="B59" i="1"/>
  <c r="D59" i="1"/>
  <c r="E59" i="1"/>
  <c r="G59" i="1"/>
  <c r="H59" i="1"/>
  <c r="J59" i="1"/>
  <c r="K59" i="1"/>
  <c r="M59" i="1"/>
  <c r="N59" i="1"/>
  <c r="P59" i="1"/>
  <c r="Q59" i="1"/>
  <c r="S59" i="1"/>
  <c r="T59" i="1"/>
  <c r="V59" i="1"/>
  <c r="W59" i="1"/>
  <c r="Y59" i="1"/>
  <c r="Z59" i="1"/>
  <c r="AB59" i="1"/>
  <c r="AC59" i="1"/>
  <c r="AC39" i="1"/>
  <c r="AE39" i="1"/>
  <c r="AC40" i="1"/>
  <c r="AE40" i="1"/>
  <c r="AC41" i="1"/>
  <c r="AE41" i="1"/>
  <c r="AC42" i="1"/>
  <c r="AE42" i="1"/>
  <c r="AC43" i="1"/>
  <c r="AE43" i="1"/>
  <c r="AC44" i="1"/>
  <c r="AE59" i="1"/>
  <c r="AF59" i="1"/>
  <c r="B58" i="1"/>
  <c r="D58" i="1"/>
  <c r="E58" i="1"/>
  <c r="G58" i="1"/>
  <c r="H58" i="1"/>
  <c r="J58" i="1"/>
  <c r="K58" i="1"/>
  <c r="M58" i="1"/>
  <c r="N58" i="1"/>
  <c r="P58" i="1"/>
  <c r="Q58" i="1"/>
  <c r="S58" i="1"/>
  <c r="T58" i="1"/>
  <c r="V58" i="1"/>
  <c r="W58" i="1"/>
  <c r="Y58" i="1"/>
  <c r="Z58" i="1"/>
  <c r="AB58" i="1"/>
  <c r="AC58" i="1"/>
  <c r="AE58" i="1"/>
  <c r="AF58" i="1"/>
  <c r="B56" i="1"/>
  <c r="B37" i="1"/>
  <c r="D37" i="1"/>
  <c r="C37" i="1"/>
  <c r="D56" i="1"/>
  <c r="E56" i="1"/>
  <c r="G56" i="1"/>
  <c r="H56" i="1"/>
  <c r="H37" i="1"/>
  <c r="J37" i="1"/>
  <c r="I37" i="1"/>
  <c r="J56" i="1"/>
  <c r="K56" i="1"/>
  <c r="M56" i="1"/>
  <c r="N56" i="1"/>
  <c r="P56" i="1"/>
  <c r="Q56" i="1"/>
  <c r="Q37" i="1"/>
  <c r="S37" i="1"/>
  <c r="R37" i="1"/>
  <c r="S56" i="1"/>
  <c r="T56" i="1"/>
  <c r="V56" i="1"/>
  <c r="W56" i="1"/>
  <c r="W37" i="1"/>
  <c r="Y37" i="1"/>
  <c r="X37" i="1"/>
  <c r="Y56" i="1"/>
  <c r="Z56" i="1"/>
  <c r="AB56" i="1"/>
  <c r="AC56" i="1"/>
  <c r="AE56" i="1"/>
  <c r="AF56" i="1"/>
  <c r="B55" i="1"/>
  <c r="D55" i="1"/>
  <c r="E55" i="1"/>
  <c r="E37" i="1"/>
  <c r="G37" i="1"/>
  <c r="F37" i="1"/>
  <c r="G55" i="1"/>
  <c r="H55" i="1"/>
  <c r="J55" i="1"/>
  <c r="K55" i="1"/>
  <c r="K37" i="1"/>
  <c r="M37" i="1"/>
  <c r="L37" i="1"/>
  <c r="M55" i="1"/>
  <c r="N55" i="1"/>
  <c r="P55" i="1"/>
  <c r="Q55" i="1"/>
  <c r="S55" i="1"/>
  <c r="T55" i="1"/>
  <c r="V55" i="1"/>
  <c r="W55" i="1"/>
  <c r="Y55" i="1"/>
  <c r="Z55" i="1"/>
  <c r="Z37" i="1"/>
  <c r="AB37" i="1"/>
  <c r="AA37" i="1"/>
  <c r="AB55" i="1"/>
  <c r="AC55" i="1"/>
  <c r="AE55" i="1"/>
  <c r="AF55" i="1"/>
  <c r="B54" i="1"/>
  <c r="D54" i="1"/>
  <c r="E54" i="1"/>
  <c r="G54" i="1"/>
  <c r="H54" i="1"/>
  <c r="J54" i="1"/>
  <c r="K54" i="1"/>
  <c r="M54" i="1"/>
  <c r="N54" i="1"/>
  <c r="N37" i="1"/>
  <c r="P37" i="1"/>
  <c r="O37" i="1"/>
  <c r="P54" i="1"/>
  <c r="Q54" i="1"/>
  <c r="S54" i="1"/>
  <c r="T54" i="1"/>
  <c r="T37" i="1"/>
  <c r="V37" i="1"/>
  <c r="U37" i="1"/>
  <c r="V54" i="1"/>
  <c r="W54" i="1"/>
  <c r="Y54" i="1"/>
  <c r="Z54" i="1"/>
  <c r="AB54" i="1"/>
  <c r="AC54" i="1"/>
  <c r="AE54" i="1"/>
  <c r="AF54" i="1"/>
  <c r="B53" i="1"/>
  <c r="D53" i="1"/>
  <c r="E53" i="1"/>
  <c r="G53" i="1"/>
  <c r="H53" i="1"/>
  <c r="J53" i="1"/>
  <c r="K53" i="1"/>
  <c r="M53" i="1"/>
  <c r="N53" i="1"/>
  <c r="P53" i="1"/>
  <c r="Q53" i="1"/>
  <c r="S53" i="1"/>
  <c r="T53" i="1"/>
  <c r="V53" i="1"/>
  <c r="W53" i="1"/>
  <c r="Y53" i="1"/>
  <c r="Z53" i="1"/>
  <c r="AB53" i="1"/>
  <c r="AC53" i="1"/>
  <c r="AC37" i="1"/>
  <c r="AE37" i="1"/>
  <c r="AD37" i="1"/>
  <c r="AE53" i="1"/>
  <c r="AF53" i="1"/>
  <c r="B52" i="1"/>
  <c r="D52" i="1"/>
  <c r="E52" i="1"/>
  <c r="G52" i="1"/>
  <c r="H52" i="1"/>
  <c r="J52" i="1"/>
  <c r="K52" i="1"/>
  <c r="M52" i="1"/>
  <c r="N52" i="1"/>
  <c r="P52" i="1"/>
  <c r="Q52" i="1"/>
  <c r="S52" i="1"/>
  <c r="T52" i="1"/>
  <c r="V52" i="1"/>
  <c r="W52" i="1"/>
  <c r="Y52" i="1"/>
  <c r="Z52" i="1"/>
  <c r="AB52" i="1"/>
  <c r="AC52" i="1"/>
  <c r="AE52" i="1"/>
  <c r="AF52" i="1"/>
  <c r="B50" i="1"/>
  <c r="D50" i="1"/>
  <c r="E50" i="1"/>
  <c r="G50" i="1"/>
  <c r="H50" i="1"/>
  <c r="J50" i="1"/>
  <c r="K50" i="1"/>
  <c r="M50" i="1"/>
  <c r="N50" i="1"/>
  <c r="P50" i="1"/>
  <c r="Q50" i="1"/>
  <c r="S50" i="1"/>
  <c r="T50" i="1"/>
  <c r="V50" i="1"/>
  <c r="W50" i="1"/>
  <c r="Y50" i="1"/>
  <c r="Z50" i="1"/>
  <c r="AB50" i="1"/>
  <c r="AC50" i="1"/>
  <c r="AE50" i="1"/>
  <c r="AF50" i="1"/>
  <c r="AG50" i="1"/>
  <c r="B49" i="1"/>
  <c r="D49" i="1"/>
  <c r="E49" i="1"/>
  <c r="G49" i="1"/>
  <c r="H49" i="1"/>
  <c r="J49" i="1"/>
  <c r="K49" i="1"/>
  <c r="M49" i="1"/>
  <c r="N49" i="1"/>
  <c r="P49" i="1"/>
  <c r="Q49" i="1"/>
  <c r="S49" i="1"/>
  <c r="T49" i="1"/>
  <c r="V49" i="1"/>
  <c r="W49" i="1"/>
  <c r="Y49" i="1"/>
  <c r="Z49" i="1"/>
  <c r="AB49" i="1"/>
  <c r="AC49" i="1"/>
  <c r="AE49" i="1"/>
  <c r="AF49" i="1"/>
  <c r="AG49" i="1"/>
  <c r="B48" i="1"/>
  <c r="D48" i="1"/>
  <c r="E48" i="1"/>
  <c r="G48" i="1"/>
  <c r="H48" i="1"/>
  <c r="J48" i="1"/>
  <c r="K48" i="1"/>
  <c r="M48" i="1"/>
  <c r="N48" i="1"/>
  <c r="P48" i="1"/>
  <c r="Q48" i="1"/>
  <c r="S48" i="1"/>
  <c r="T48" i="1"/>
  <c r="V48" i="1"/>
  <c r="W48" i="1"/>
  <c r="Y48" i="1"/>
  <c r="Z48" i="1"/>
  <c r="AB48" i="1"/>
  <c r="AC48" i="1"/>
  <c r="AE48" i="1"/>
  <c r="AF48" i="1"/>
  <c r="AG48" i="1"/>
  <c r="B47" i="1"/>
  <c r="D47" i="1"/>
  <c r="E47" i="1"/>
  <c r="G47" i="1"/>
  <c r="H47" i="1"/>
  <c r="J47" i="1"/>
  <c r="K47" i="1"/>
  <c r="M47" i="1"/>
  <c r="N47" i="1"/>
  <c r="P47" i="1"/>
  <c r="Q47" i="1"/>
  <c r="S47" i="1"/>
  <c r="T47" i="1"/>
  <c r="V47" i="1"/>
  <c r="W47" i="1"/>
  <c r="Y47" i="1"/>
  <c r="Z47" i="1"/>
  <c r="AB47" i="1"/>
  <c r="AC47" i="1"/>
  <c r="AE47" i="1"/>
  <c r="AF47" i="1"/>
  <c r="AG47" i="1"/>
  <c r="B46" i="1"/>
  <c r="D46" i="1"/>
  <c r="E46" i="1"/>
  <c r="G46" i="1"/>
  <c r="H46" i="1"/>
  <c r="J46" i="1"/>
  <c r="K46" i="1"/>
  <c r="M46" i="1"/>
  <c r="N46" i="1"/>
  <c r="P46" i="1"/>
  <c r="Q46" i="1"/>
  <c r="S46" i="1"/>
  <c r="T46" i="1"/>
  <c r="V46" i="1"/>
  <c r="W46" i="1"/>
  <c r="Y46" i="1"/>
  <c r="Z46" i="1"/>
  <c r="AB46" i="1"/>
  <c r="AC46" i="1"/>
  <c r="AE46" i="1"/>
  <c r="AF46" i="1"/>
  <c r="AG46" i="1"/>
  <c r="AE30" i="1"/>
  <c r="AC30" i="1"/>
  <c r="AB30" i="1"/>
  <c r="Z30" i="1"/>
  <c r="Y30" i="1"/>
  <c r="W30" i="1"/>
  <c r="V30" i="1"/>
  <c r="T30" i="1"/>
  <c r="S30" i="1"/>
  <c r="Q30" i="1"/>
  <c r="P30" i="1"/>
  <c r="N30" i="1"/>
  <c r="M30" i="1"/>
  <c r="K30" i="1"/>
  <c r="J30" i="1"/>
  <c r="H30" i="1"/>
  <c r="G30" i="1"/>
  <c r="E30" i="1"/>
  <c r="D30" i="1"/>
  <c r="B30" i="1"/>
  <c r="AD29" i="1"/>
  <c r="AA29" i="1"/>
  <c r="X29" i="1"/>
  <c r="U29" i="1"/>
  <c r="R29" i="1"/>
  <c r="O29" i="1"/>
  <c r="L29" i="1"/>
  <c r="I29" i="1"/>
  <c r="F29" i="1"/>
  <c r="A29" i="1"/>
  <c r="AG28" i="1"/>
  <c r="AH28" i="1"/>
  <c r="AI28" i="1"/>
  <c r="AJ28" i="1"/>
  <c r="AK28" i="1"/>
  <c r="AL28" i="1"/>
  <c r="AM28" i="1"/>
  <c r="AN28" i="1"/>
  <c r="AO28" i="1"/>
  <c r="AP28" i="1"/>
  <c r="AQ28" i="1"/>
  <c r="AF28" i="1"/>
  <c r="AD28" i="1"/>
  <c r="AA28" i="1"/>
  <c r="X28" i="1"/>
  <c r="U28" i="1"/>
  <c r="R28" i="1"/>
  <c r="O28" i="1"/>
  <c r="L28" i="1"/>
  <c r="I28" i="1"/>
  <c r="F28" i="1"/>
  <c r="A28" i="1"/>
  <c r="AG27" i="1"/>
  <c r="AH27" i="1"/>
  <c r="AI27" i="1"/>
  <c r="AJ27" i="1"/>
  <c r="AK27" i="1"/>
  <c r="AL27" i="1"/>
  <c r="AM27" i="1"/>
  <c r="AN27" i="1"/>
  <c r="AO27" i="1"/>
  <c r="AP27" i="1"/>
  <c r="AQ27" i="1"/>
  <c r="AF27" i="1"/>
  <c r="AD27" i="1"/>
  <c r="AA27" i="1"/>
  <c r="X27" i="1"/>
  <c r="U27" i="1"/>
  <c r="R27" i="1"/>
  <c r="O27" i="1"/>
  <c r="L27" i="1"/>
  <c r="I27" i="1"/>
  <c r="F27" i="1"/>
  <c r="A27" i="1"/>
  <c r="AG26" i="1"/>
  <c r="AH26" i="1"/>
  <c r="AI26" i="1"/>
  <c r="AJ26" i="1"/>
  <c r="AK26" i="1"/>
  <c r="AL26" i="1"/>
  <c r="AM26" i="1"/>
  <c r="AN26" i="1"/>
  <c r="AO26" i="1"/>
  <c r="AP26" i="1"/>
  <c r="AQ26" i="1"/>
  <c r="AF26" i="1"/>
  <c r="AD26" i="1"/>
  <c r="AA26" i="1"/>
  <c r="X26" i="1"/>
  <c r="U26" i="1"/>
  <c r="R26" i="1"/>
  <c r="O26" i="1"/>
  <c r="L26" i="1"/>
  <c r="I26" i="1"/>
  <c r="F26" i="1"/>
  <c r="A26" i="1"/>
  <c r="AG25" i="1"/>
  <c r="AH25" i="1"/>
  <c r="AI25" i="1"/>
  <c r="AJ25" i="1"/>
  <c r="AK25" i="1"/>
  <c r="AL25" i="1"/>
  <c r="AM25" i="1"/>
  <c r="AN25" i="1"/>
  <c r="AO25" i="1"/>
  <c r="AP25" i="1"/>
  <c r="AQ25" i="1"/>
  <c r="AF25" i="1"/>
  <c r="AD25" i="1"/>
  <c r="AA25" i="1"/>
  <c r="X25" i="1"/>
  <c r="U25" i="1"/>
  <c r="R25" i="1"/>
  <c r="O25" i="1"/>
  <c r="L25" i="1"/>
  <c r="I25" i="1"/>
  <c r="F25" i="1"/>
  <c r="AG24" i="1"/>
  <c r="AH24" i="1"/>
  <c r="AI24" i="1"/>
  <c r="AJ24" i="1"/>
  <c r="AK24" i="1"/>
  <c r="AL24" i="1"/>
  <c r="AM24" i="1"/>
  <c r="AN24" i="1"/>
  <c r="AO24" i="1"/>
  <c r="AP24" i="1"/>
  <c r="AQ24" i="1"/>
  <c r="AF24" i="1"/>
  <c r="AD24" i="1"/>
  <c r="AA24" i="1"/>
  <c r="X24" i="1"/>
  <c r="U24" i="1"/>
  <c r="R24" i="1"/>
  <c r="O24" i="1"/>
  <c r="L24" i="1"/>
  <c r="I24" i="1"/>
  <c r="F24" i="1"/>
  <c r="AC22" i="1"/>
  <c r="Z22" i="1"/>
  <c r="W22" i="1"/>
  <c r="T22" i="1"/>
  <c r="Q22" i="1"/>
  <c r="N22" i="1"/>
  <c r="K22" i="1"/>
  <c r="H22" i="1"/>
  <c r="E22" i="1"/>
  <c r="E17" i="1"/>
  <c r="AC16" i="1"/>
  <c r="Z16" i="1"/>
  <c r="W16" i="1"/>
  <c r="R16" i="1"/>
  <c r="L16" i="1"/>
  <c r="A16" i="1"/>
  <c r="AC14" i="1"/>
  <c r="Z14" i="1"/>
  <c r="W14" i="1"/>
  <c r="R14" i="1"/>
  <c r="L14" i="1"/>
  <c r="A14" i="1"/>
  <c r="AY12" i="1"/>
  <c r="AC12" i="1"/>
  <c r="Z12" i="1"/>
  <c r="W12" i="1"/>
  <c r="R12" i="1"/>
  <c r="L12" i="1"/>
  <c r="A12" i="1"/>
  <c r="AX11" i="1"/>
  <c r="AY11" i="1"/>
  <c r="AY10" i="1"/>
  <c r="AC10" i="1"/>
  <c r="Z10" i="1"/>
  <c r="W10" i="1"/>
  <c r="R10" i="1"/>
  <c r="L10" i="1"/>
  <c r="A10" i="1"/>
  <c r="AY9" i="1"/>
  <c r="AX8" i="1"/>
  <c r="AY8" i="1"/>
  <c r="AC8" i="1"/>
  <c r="Z8" i="1"/>
  <c r="W8" i="1"/>
  <c r="R8" i="1"/>
  <c r="L8" i="1"/>
  <c r="A8" i="1"/>
  <c r="AY7" i="1"/>
  <c r="R7" i="1"/>
  <c r="L7" i="1"/>
  <c r="AY6" i="1"/>
  <c r="K6" i="1"/>
  <c r="AY5" i="1"/>
  <c r="AY4" i="1"/>
  <c r="AY3" i="1"/>
</calcChain>
</file>

<file path=xl/sharedStrings.xml><?xml version="1.0" encoding="utf-8"?>
<sst xmlns="http://schemas.openxmlformats.org/spreadsheetml/2006/main" count="10732" uniqueCount="1043">
  <si>
    <t>copywrited program: May not be used or reproduced without the consent of Chip Moseley</t>
  </si>
  <si>
    <t>Version : 5.1</t>
  </si>
  <si>
    <t>Seeding</t>
  </si>
  <si>
    <t>Final Ranking</t>
  </si>
  <si>
    <t xml:space="preserve">Pool Ranking Multiplier = </t>
  </si>
  <si>
    <t>Tournament Name</t>
  </si>
  <si>
    <t>Crosstown Throwdown</t>
  </si>
  <si>
    <t>Date</t>
  </si>
  <si>
    <t>Feb. 4th</t>
  </si>
  <si>
    <t>#</t>
  </si>
  <si>
    <t>Team Name</t>
  </si>
  <si>
    <t>Team Code</t>
  </si>
  <si>
    <t>Initial Ranking</t>
  </si>
  <si>
    <t>Pool Play</t>
  </si>
  <si>
    <t>Finals</t>
  </si>
  <si>
    <t xml:space="preserve">Playoff Ranking Multiplier = </t>
  </si>
  <si>
    <t>Site:</t>
  </si>
  <si>
    <t>Plex Sports crt 3-4</t>
  </si>
  <si>
    <t>Age</t>
  </si>
  <si>
    <t>12 B Division</t>
  </si>
  <si>
    <t>Division</t>
  </si>
  <si>
    <t>Club</t>
  </si>
  <si>
    <t>Power</t>
  </si>
  <si>
    <t>Kershaw 12 White</t>
  </si>
  <si>
    <t>fj2kersh2pm</t>
  </si>
  <si>
    <t>Gym Supervisor</t>
  </si>
  <si>
    <t>See worksheets</t>
  </si>
  <si>
    <t>Notes</t>
  </si>
  <si>
    <t>Check back for revisions</t>
  </si>
  <si>
    <t>Updated</t>
  </si>
  <si>
    <t>TEV 12 Tori</t>
  </si>
  <si>
    <t>fj2triex1so</t>
  </si>
  <si>
    <t xml:space="preserve"> </t>
  </si>
  <si>
    <t>Gaston Galaxy VBC 12</t>
  </si>
  <si>
    <t>fj2galxy1cr</t>
  </si>
  <si>
    <t>POOL:</t>
  </si>
  <si>
    <t>A</t>
  </si>
  <si>
    <t>COURT:</t>
  </si>
  <si>
    <t>SC Midlands 12 Black</t>
  </si>
  <si>
    <t>fj2scmid1pm</t>
  </si>
  <si>
    <t>Team #</t>
  </si>
  <si>
    <t>Total Pool Net Points</t>
  </si>
  <si>
    <t>% Total
Net Points</t>
  </si>
  <si>
    <t>Game Win %</t>
  </si>
  <si>
    <t>Pool Finish</t>
  </si>
  <si>
    <t>Playoff Finish</t>
  </si>
  <si>
    <t>Games per Match (1-5)</t>
  </si>
  <si>
    <t>Emerald City 12-1</t>
  </si>
  <si>
    <t>fj2ecity1pm</t>
  </si>
  <si>
    <t>Matches (1-10)</t>
  </si>
  <si>
    <t>CSRA Heat 12 Black</t>
  </si>
  <si>
    <t>fj2csrah2pm</t>
  </si>
  <si>
    <t>Teams in Pool (1-5)</t>
  </si>
  <si>
    <t>Intense 12 Rock hill</t>
  </si>
  <si>
    <t>fj2inten3pm</t>
  </si>
  <si>
    <t>0-Count Games 1-Count Matches</t>
  </si>
  <si>
    <t>Intense 12 Lexington</t>
  </si>
  <si>
    <t>fj2inten2pm</t>
  </si>
  <si>
    <t>Game Win % 0 = No  1 = Yes</t>
  </si>
  <si>
    <t>Club Coastal 12 Gray</t>
  </si>
  <si>
    <t>fj2ccoas1pm</t>
  </si>
  <si>
    <t># of Matches/Games per Team</t>
  </si>
  <si>
    <t>SC Midlands 12 Garnet</t>
  </si>
  <si>
    <t>fj2scmid2pm</t>
  </si>
  <si>
    <t>Warning -- Do not use CUT/PASTE to move teams in table.  Only use COPY/PASTE or seeded cells will be corrupted.</t>
  </si>
  <si>
    <t xml:space="preserve"> POOL PLAY FORMAT:  Two games to 25, start at 6. Warmups 2-4-4  2pt cap</t>
  </si>
  <si>
    <t>Sch Start</t>
  </si>
  <si>
    <t>Note: The Pool Finish Summary at the bottom of the sheet will fill in AUTOMATICALLY once the POOL FINISH column (at left) is filled in.</t>
  </si>
  <si>
    <t>Actual Start</t>
  </si>
  <si>
    <t>End Time</t>
  </si>
  <si>
    <t>Match 1</t>
  </si>
  <si>
    <t>4 refs</t>
  </si>
  <si>
    <t>3 refs</t>
  </si>
  <si>
    <t>1 refs</t>
  </si>
  <si>
    <t>5 refs</t>
  </si>
  <si>
    <t>2 refs</t>
  </si>
  <si>
    <t>Net Points</t>
  </si>
  <si>
    <t>Total</t>
  </si>
  <si>
    <t>v</t>
  </si>
  <si>
    <t>Game 1</t>
  </si>
  <si>
    <t>/</t>
  </si>
  <si>
    <t>Gm1 Win</t>
  </si>
  <si>
    <t>Gm2 Win</t>
  </si>
  <si>
    <t>Gm3 Win</t>
  </si>
  <si>
    <t>Gm4 Win</t>
  </si>
  <si>
    <t>Gm5 Win</t>
  </si>
  <si>
    <t>Sum Game Win/Loss</t>
  </si>
  <si>
    <t>Match Won/Lost</t>
  </si>
  <si>
    <t>Gm1 Pts</t>
  </si>
  <si>
    <t>Gm2 Pts</t>
  </si>
  <si>
    <t>Gm3 Pts</t>
  </si>
  <si>
    <t>Gm4 Pts</t>
  </si>
  <si>
    <t>Gm5 Pts</t>
  </si>
  <si>
    <t>Sum Match Points</t>
  </si>
  <si>
    <t>Matches</t>
  </si>
  <si>
    <t>Match Wins by Team</t>
  </si>
  <si>
    <t>Match Losses by Team</t>
  </si>
  <si>
    <t>Tm1 Wins</t>
  </si>
  <si>
    <t>Tm2 Wins</t>
  </si>
  <si>
    <t>Tm3 Wins</t>
  </si>
  <si>
    <t>Tm4 Wins</t>
  </si>
  <si>
    <t>Tm5 Wins</t>
  </si>
  <si>
    <t>Matches played by team</t>
  </si>
  <si>
    <t>Tm1 Play</t>
  </si>
  <si>
    <t>Tm2 Play</t>
  </si>
  <si>
    <t>Tm3 Play</t>
  </si>
  <si>
    <t>Tm4 Play</t>
  </si>
  <si>
    <t>Tm5 Play</t>
  </si>
  <si>
    <t>Total Points played by team</t>
  </si>
  <si>
    <t>Games</t>
  </si>
  <si>
    <t>Game Wins by Team</t>
  </si>
  <si>
    <t>Game Losses by Team</t>
  </si>
  <si>
    <t>Games Played this Match</t>
  </si>
  <si>
    <t>Games played by team</t>
  </si>
  <si>
    <t>Init</t>
  </si>
  <si>
    <t>End of Pool</t>
  </si>
  <si>
    <t>Init Rating</t>
  </si>
  <si>
    <t>Exp wins</t>
  </si>
  <si>
    <t>New Rating</t>
  </si>
  <si>
    <t>B</t>
  </si>
  <si>
    <t>POOL FINISH SUMMARY</t>
  </si>
  <si>
    <t>Enter Pool Name</t>
  </si>
  <si>
    <t>First</t>
  </si>
  <si>
    <t>Second</t>
  </si>
  <si>
    <t>Third</t>
  </si>
  <si>
    <t>Fourth</t>
  </si>
  <si>
    <t>Code</t>
  </si>
  <si>
    <t>Court 1</t>
  </si>
  <si>
    <t>Court 2</t>
  </si>
  <si>
    <t>TOURNAMENT PLAYOFF</t>
  </si>
  <si>
    <t>Playoff Format : All teams Before 4pm 25-25-15 start at 6.  If after 4pm, semi's 1 game to 25 start at 0, finals 25-25-15 start at 6, 3rd start at 0- no cap.  Warmups 2-4-4</t>
  </si>
  <si>
    <t xml:space="preserve">                                   5th place from each pool does not advance, will be 9th &amp; 10th  place overall based on net pts</t>
  </si>
  <si>
    <t>Record each teams name and 11 digit code</t>
  </si>
  <si>
    <t>GOLD DIVISION</t>
  </si>
  <si>
    <t>SILVER DIVISION</t>
  </si>
  <si>
    <t>1st Place  Crt 1</t>
  </si>
  <si>
    <t>3rd Place  Crt 1</t>
  </si>
  <si>
    <t>Loser is 3rd place</t>
  </si>
  <si>
    <t>Loser is 7th place</t>
  </si>
  <si>
    <t>2nd Place Crt 2</t>
  </si>
  <si>
    <t>4th Place Crt 2</t>
  </si>
  <si>
    <t>Loser M2 refs</t>
  </si>
  <si>
    <t>Loser is 2nd place</t>
  </si>
  <si>
    <t xml:space="preserve"> Gold Champ 1st place</t>
  </si>
  <si>
    <t>Loser is 6th place</t>
  </si>
  <si>
    <t xml:space="preserve"> Silver Champ 5th place</t>
  </si>
  <si>
    <t>1st Place Crt 2</t>
  </si>
  <si>
    <t>3rd Place Crt 2</t>
  </si>
  <si>
    <t>Winner M1 refs</t>
  </si>
  <si>
    <t>2nd Place Crt 1</t>
  </si>
  <si>
    <t>4th Place Crt 1</t>
  </si>
  <si>
    <t>GOLD DIVISION PLAYOFFS</t>
  </si>
  <si>
    <t>SILVER DIVISION PLAYOFFS</t>
  </si>
  <si>
    <t>TEAM</t>
  </si>
  <si>
    <t>Enter Playoff Team Names</t>
  </si>
  <si>
    <t>Enter Playoff Team Codes</t>
  </si>
  <si>
    <t>Semi Final</t>
  </si>
  <si>
    <t>Make sure to complete
"Playoff Finish"
on Pool Sheet</t>
  </si>
  <si>
    <t>Offic. Team</t>
  </si>
  <si>
    <t>Win M1</t>
  </si>
  <si>
    <t>Loser M2</t>
  </si>
  <si>
    <t>Match 2</t>
  </si>
  <si>
    <t>Match 3</t>
  </si>
  <si>
    <t>Winner</t>
  </si>
  <si>
    <t>Game 2</t>
  </si>
  <si>
    <t>Game 3</t>
  </si>
  <si>
    <t>M1</t>
  </si>
  <si>
    <t>M2</t>
  </si>
  <si>
    <t>M3</t>
  </si>
  <si>
    <t>If match is a BYE enter B for opponent</t>
  </si>
  <si>
    <t>Killian Park</t>
  </si>
  <si>
    <t>15 A Div</t>
  </si>
  <si>
    <t>MBVC 14 Black Randy</t>
  </si>
  <si>
    <t>fj4mbeac1pm</t>
  </si>
  <si>
    <t>see worksheet</t>
  </si>
  <si>
    <t>notes</t>
  </si>
  <si>
    <t>check back for revisions</t>
  </si>
  <si>
    <t>updated</t>
  </si>
  <si>
    <t>MBVC 15 Black Brittany</t>
  </si>
  <si>
    <t>fj5mbeac1pm</t>
  </si>
  <si>
    <t>Upward Stars 15 Brittni</t>
  </si>
  <si>
    <t>fj5upwrd5pm</t>
  </si>
  <si>
    <t>Upward Stars 15 Erin</t>
  </si>
  <si>
    <t>fj5upwrd4pm</t>
  </si>
  <si>
    <t>Carolina Express 15</t>
  </si>
  <si>
    <t>fj5196891pm</t>
  </si>
  <si>
    <t>Upstate 15-2 Club</t>
  </si>
  <si>
    <t>fj5upsvc2pm</t>
  </si>
  <si>
    <t>Lake Murray 15 Black</t>
  </si>
  <si>
    <t>fj5lakem2pm</t>
  </si>
  <si>
    <t>SC Midlands 15 Black</t>
  </si>
  <si>
    <t>fj5scmid3pm</t>
  </si>
  <si>
    <t>POOL PLAY FORMAT: Best of 3 (25-25-15) 2 pt cap</t>
  </si>
  <si>
    <t>High Velocity 15's</t>
  </si>
  <si>
    <t>fj5hvelo1pm</t>
  </si>
  <si>
    <t>Augusta Elite 16 Havoc</t>
  </si>
  <si>
    <t>fj6aelit2pm</t>
  </si>
  <si>
    <t>5  refs</t>
  </si>
  <si>
    <t xml:space="preserve"> 5th place from each pool does not advance, will be 9th &amp; 10th  place overall based on net pts</t>
  </si>
  <si>
    <t>Plex Sports  Crt 1-2</t>
  </si>
  <si>
    <t>12 A Division</t>
  </si>
  <si>
    <t>Palm Strikers 12 Premier</t>
  </si>
  <si>
    <t>fj2pstri2pm</t>
  </si>
  <si>
    <t>Intense 13 Black Columbia</t>
  </si>
  <si>
    <t>fj3inten3pm</t>
  </si>
  <si>
    <t>SC Midlands KP Boys</t>
  </si>
  <si>
    <t>fj2scmid3pm</t>
  </si>
  <si>
    <t>SCWE12FLYERS</t>
  </si>
  <si>
    <t>fj2scwea1pm</t>
  </si>
  <si>
    <t>Region 12 Intense gvl</t>
  </si>
  <si>
    <t>fj2inten5pm</t>
  </si>
  <si>
    <t>VolleyOneAcademy 12-Chels</t>
  </si>
  <si>
    <t>fj2vonea1pm</t>
  </si>
  <si>
    <t>Emerald City 12-2</t>
  </si>
  <si>
    <t>fj2ecity2pm</t>
  </si>
  <si>
    <t>CSRA Heat 12 Gold</t>
  </si>
  <si>
    <t>fj2csrah1pm</t>
  </si>
  <si>
    <t>Crossfire 12</t>
  </si>
  <si>
    <t>fj2crosf1pm</t>
  </si>
  <si>
    <t>Fort Mill 12 Carrie</t>
  </si>
  <si>
    <t>fj2fortm1pm</t>
  </si>
  <si>
    <t>Blythewood Park Gym</t>
  </si>
  <si>
    <t>13 B Division</t>
  </si>
  <si>
    <t>LAVA 13-ANNA</t>
  </si>
  <si>
    <t>fj3lavaf3cr</t>
  </si>
  <si>
    <t>Gaston Galaxy VBC 13</t>
  </si>
  <si>
    <t>fj3galxy1cr</t>
  </si>
  <si>
    <t>CSRA Heat 14 Red</t>
  </si>
  <si>
    <t>fj4csrah4pm</t>
  </si>
  <si>
    <t>PRV 13U Brittany</t>
  </si>
  <si>
    <t>FJ3PRAGE1PM</t>
  </si>
  <si>
    <t>Palm Strikers 12 Platinum</t>
  </si>
  <si>
    <t>fj2pstri1pm</t>
  </si>
  <si>
    <t>MBVC 13 Red Teresa</t>
  </si>
  <si>
    <t>fj3mbeac2pm</t>
  </si>
  <si>
    <t>Intense 13 Orange</t>
  </si>
  <si>
    <t>fj3inten2pm</t>
  </si>
  <si>
    <t>CSRA Heat 13 Black</t>
  </si>
  <si>
    <t>fj3csrah2pm</t>
  </si>
  <si>
    <t>OLC 13 Purple Elite</t>
  </si>
  <si>
    <t>fj3ladyc1pm</t>
  </si>
  <si>
    <t>SC Midlands 13 Garnet</t>
  </si>
  <si>
    <t>fj3scmid3pm</t>
  </si>
  <si>
    <t>Crane Creek Park</t>
  </si>
  <si>
    <t>14 Club A Div</t>
  </si>
  <si>
    <t>Fort Mill 14 Bayley</t>
  </si>
  <si>
    <t>fj4fortm1pm</t>
  </si>
  <si>
    <t>Lake Murray 14 Black</t>
  </si>
  <si>
    <t>fj4lakem2pm</t>
  </si>
  <si>
    <t>Columbia SC Starlings 14</t>
  </si>
  <si>
    <t>fj4starl1pm</t>
  </si>
  <si>
    <t>Chas Jrs 14 Blue</t>
  </si>
  <si>
    <t>fj4charl2pm</t>
  </si>
  <si>
    <t>CSRA Heat 14 Black</t>
  </si>
  <si>
    <t>fj4csrah3pm</t>
  </si>
  <si>
    <t>VolleyOneAcademy 14-Taisa</t>
  </si>
  <si>
    <t>fj4vonea1pm</t>
  </si>
  <si>
    <t>OLC 14s Purple Elite</t>
  </si>
  <si>
    <t>fj4ladyc1pm</t>
  </si>
  <si>
    <t>SCWE14AERIES</t>
  </si>
  <si>
    <t>fj4scwea1pm</t>
  </si>
  <si>
    <t>CHSElite 14-A</t>
  </si>
  <si>
    <t>fj4celit1pm</t>
  </si>
  <si>
    <t>SC Midlands 14 Black</t>
  </si>
  <si>
    <t>fj4scmid3pm</t>
  </si>
  <si>
    <t>Hopkins Park Gym</t>
  </si>
  <si>
    <t>14 B Division</t>
  </si>
  <si>
    <t>SCWE14TALONS</t>
  </si>
  <si>
    <t>fj4scwea2pm</t>
  </si>
  <si>
    <t>TEV 14 Whitney</t>
  </si>
  <si>
    <t>fj4triex1so</t>
  </si>
  <si>
    <t>Emerald City 14-2</t>
  </si>
  <si>
    <t>fj4ecity2pm</t>
  </si>
  <si>
    <t>TEV 14 LeAnn</t>
  </si>
  <si>
    <t>fj4triex2so</t>
  </si>
  <si>
    <t>CSRA Heat 14 White</t>
  </si>
  <si>
    <t>fj4csrah5pm</t>
  </si>
  <si>
    <t>Intense 14 Region</t>
  </si>
  <si>
    <t>fj4inten4pm</t>
  </si>
  <si>
    <t>Club Coastal 14 White</t>
  </si>
  <si>
    <t>fj4ccoas2pm</t>
  </si>
  <si>
    <t>Emerald City 14-1</t>
  </si>
  <si>
    <t>fj4ecity1pm</t>
  </si>
  <si>
    <t>Sumter VBC 14</t>
  </si>
  <si>
    <t>fj4sumtr1pm</t>
  </si>
  <si>
    <t>SC Midlands 14 Garnet</t>
  </si>
  <si>
    <t>fj4scmid4pm</t>
  </si>
  <si>
    <t>Eastover Park</t>
  </si>
  <si>
    <t>15 B Div</t>
  </si>
  <si>
    <t>Branchville Jrs 15 U Pink</t>
  </si>
  <si>
    <t>fj5branc2pm</t>
  </si>
  <si>
    <t>Sumter VBC 15</t>
  </si>
  <si>
    <t>fj5sumtr1pm</t>
  </si>
  <si>
    <t>Emerald City 15-1</t>
  </si>
  <si>
    <t>fj5ecity2pm</t>
  </si>
  <si>
    <t>Ignite 15</t>
  </si>
  <si>
    <t>fj5ignte1pm</t>
  </si>
  <si>
    <t>SC Midlands 15 Garnet</t>
  </si>
  <si>
    <t>fj5scmid4pm</t>
  </si>
  <si>
    <t>Intense 16 Region Rock H</t>
  </si>
  <si>
    <t>fj6inten4pm</t>
  </si>
  <si>
    <t>s</t>
  </si>
  <si>
    <t xml:space="preserve">Meadowlake </t>
  </si>
  <si>
    <t>16 A Division</t>
  </si>
  <si>
    <t>Beaufort Sweet 16's</t>
  </si>
  <si>
    <t>fj6beauf1pm</t>
  </si>
  <si>
    <t>KVC 16</t>
  </si>
  <si>
    <t>fj6kvcjr1pm</t>
  </si>
  <si>
    <t>Upward Stars 15 Mark</t>
  </si>
  <si>
    <t>fj5upwrd3pm</t>
  </si>
  <si>
    <t>Upward Stars 16 Tonja</t>
  </si>
  <si>
    <t>fj6upwrd4pm</t>
  </si>
  <si>
    <t>Upward Stars 16 Mark C</t>
  </si>
  <si>
    <t>fj6upwrd5pm</t>
  </si>
  <si>
    <t>Lake Murray 16 Black</t>
  </si>
  <si>
    <t>fj6lakem2pm</t>
  </si>
  <si>
    <t>Club Coastal 16 White</t>
  </si>
  <si>
    <t>fj6ccoas1pm</t>
  </si>
  <si>
    <t>MBVC 16 Red Todd</t>
  </si>
  <si>
    <t>fj6mbeac1pm</t>
  </si>
  <si>
    <t>SCWE16RAPTORS</t>
  </si>
  <si>
    <t>fj6scwea1pm</t>
  </si>
  <si>
    <t>SC Midlands 16 Black</t>
  </si>
  <si>
    <t>fj6scmid3pm</t>
  </si>
  <si>
    <t>Intense Gym</t>
  </si>
  <si>
    <t>Beaufort Seventeens</t>
  </si>
  <si>
    <t>fj7beauf1pm</t>
  </si>
  <si>
    <t>see Worksheet</t>
  </si>
  <si>
    <t>SC Midlands 17 Black</t>
  </si>
  <si>
    <t>fj7scmid3pm</t>
  </si>
  <si>
    <t>VolleyOneAcademy 17-Jon</t>
  </si>
  <si>
    <t>fj7vonea1pm</t>
  </si>
  <si>
    <t>CSRA Heat 17 Gold</t>
  </si>
  <si>
    <t>fj7csrah2pm</t>
  </si>
  <si>
    <t>Upward Stars 15 Zach</t>
  </si>
  <si>
    <t>fj5upwrd2pm</t>
  </si>
  <si>
    <t xml:space="preserve">                                   5th place from pool does not advance, will be 5th place overall</t>
  </si>
  <si>
    <t>1st Place Pool Play</t>
  </si>
  <si>
    <t>4th Place Pool Play</t>
  </si>
  <si>
    <t>2nd Place Pool Play</t>
  </si>
  <si>
    <t>3rd Place Pool Play</t>
  </si>
  <si>
    <t>Entries</t>
  </si>
  <si>
    <t>R</t>
  </si>
  <si>
    <t>Rank</t>
  </si>
  <si>
    <t>Reg</t>
  </si>
  <si>
    <t>Team code</t>
  </si>
  <si>
    <t>Club name</t>
  </si>
  <si>
    <t>Level</t>
  </si>
  <si>
    <t>Current Rating</t>
  </si>
  <si>
    <t>Chas
1/7/2016</t>
  </si>
  <si>
    <t>MB
1/7/2016</t>
  </si>
  <si>
    <t>fj1mvpjc1pm</t>
  </si>
  <si>
    <t>MVP</t>
  </si>
  <si>
    <t>MVP 11-Gold</t>
  </si>
  <si>
    <t>fj1crone1pm</t>
  </si>
  <si>
    <t>Carolina One</t>
  </si>
  <si>
    <t>C1VB 11 State Greenville</t>
  </si>
  <si>
    <t>fj1excel3pm</t>
  </si>
  <si>
    <t>Excell Sports</t>
  </si>
  <si>
    <t>Excell Dev. 11 2017</t>
  </si>
  <si>
    <t>Dev</t>
  </si>
  <si>
    <t>fj2caris1pm</t>
  </si>
  <si>
    <t>Carolina Islanders</t>
  </si>
  <si>
    <t>Car. Islanders 12 Elite</t>
  </si>
  <si>
    <t>fj2kersh1pm</t>
  </si>
  <si>
    <t>Kershaw County Juniors</t>
  </si>
  <si>
    <t>Kershaw 12 Black</t>
  </si>
  <si>
    <t>fj2lakem1pm</t>
  </si>
  <si>
    <t>Lake Murray Volleyball Club</t>
  </si>
  <si>
    <t>Lake Murray 12 Red</t>
  </si>
  <si>
    <t>fj2mvpjc1pm</t>
  </si>
  <si>
    <t>MVP 12-Gold</t>
  </si>
  <si>
    <t>fj2mvpjc2pm</t>
  </si>
  <si>
    <t>MVP 12-Black</t>
  </si>
  <si>
    <t>fj2upwrd1pm</t>
  </si>
  <si>
    <t>Upward Stars</t>
  </si>
  <si>
    <t>Upward Stars 12 Angie</t>
  </si>
  <si>
    <t>mj2pstri1pm</t>
  </si>
  <si>
    <t>Palmetto Strikers</t>
  </si>
  <si>
    <t>Palm Strikers 12B Plat</t>
  </si>
  <si>
    <t>Palm Strikers 12 Boys</t>
  </si>
  <si>
    <t>fj2excel1pm</t>
  </si>
  <si>
    <t>Excell 12 Power 2017</t>
  </si>
  <si>
    <t>fj2motoj1pm</t>
  </si>
  <si>
    <t>MOTO</t>
  </si>
  <si>
    <t>MOTO 12 IGNITE</t>
  </si>
  <si>
    <t>fj2magnm1pm</t>
  </si>
  <si>
    <t>Magnum Volleyball Club</t>
  </si>
  <si>
    <t>Magnum 12 Black</t>
  </si>
  <si>
    <t>fj2vison1pm</t>
  </si>
  <si>
    <t>Vision</t>
  </si>
  <si>
    <t>12 Vision-Ben</t>
  </si>
  <si>
    <t>SC Midlands Volleyball</t>
  </si>
  <si>
    <t>VolleyOne</t>
  </si>
  <si>
    <t>fj2crone1pm</t>
  </si>
  <si>
    <t>C1VB 12 Regional Grvl</t>
  </si>
  <si>
    <t>fj2crone2pm</t>
  </si>
  <si>
    <t>C1VB 12 State Grvl</t>
  </si>
  <si>
    <t>fj2crone3pm</t>
  </si>
  <si>
    <t>C1VB 12 State Pickens</t>
  </si>
  <si>
    <t>Crossfire Volleyball</t>
  </si>
  <si>
    <t>CSRA Heat</t>
  </si>
  <si>
    <t>Emerald City</t>
  </si>
  <si>
    <t>fj2excel2pm</t>
  </si>
  <si>
    <t>Excell 12 Club 2017</t>
  </si>
  <si>
    <t>fj2footh1pm</t>
  </si>
  <si>
    <t>Foothills Volleyball Club</t>
  </si>
  <si>
    <t>Foothills 12 King</t>
  </si>
  <si>
    <t>Fort Mill VBC</t>
  </si>
  <si>
    <t>fj2grand1pm</t>
  </si>
  <si>
    <t>GRAND STRAND JUNIORS VOLLEYBALL</t>
  </si>
  <si>
    <t>GSJ 12 Hannah</t>
  </si>
  <si>
    <t>Intense Volleyball</t>
  </si>
  <si>
    <t>fj2magnm2pm</t>
  </si>
  <si>
    <t>Magnum Aiken 12 Green</t>
  </si>
  <si>
    <t>fj2magnm3pm</t>
  </si>
  <si>
    <t>Magnum 12 Red</t>
  </si>
  <si>
    <t>fj2magnm4pm</t>
  </si>
  <si>
    <t>Magnum 12 Blue</t>
  </si>
  <si>
    <t>fj2magnm5pm</t>
  </si>
  <si>
    <t>Magnum Aiken 12 Yellow</t>
  </si>
  <si>
    <t>SCWE</t>
  </si>
  <si>
    <t>club coastal volleyball</t>
  </si>
  <si>
    <t>fj2vison2pm</t>
  </si>
  <si>
    <t>12 Vision-Erica</t>
  </si>
  <si>
    <t>fj2crone4pm</t>
  </si>
  <si>
    <t>C1VB Juniors Black</t>
  </si>
  <si>
    <t>fj2crone5pm</t>
  </si>
  <si>
    <t>C1VB Juniors Royal</t>
  </si>
  <si>
    <t>fj2crone6pm</t>
  </si>
  <si>
    <t>C1VB Juniors White</t>
  </si>
  <si>
    <t>fj2csout1pm</t>
  </si>
  <si>
    <t>CSNS</t>
  </si>
  <si>
    <t>CSNS 12-1</t>
  </si>
  <si>
    <t>fj2footh2pm</t>
  </si>
  <si>
    <t>Foothills 12 Steph</t>
  </si>
  <si>
    <t>fj2footh3pm</t>
  </si>
  <si>
    <t>Foothills 12 Kim</t>
  </si>
  <si>
    <t>fj2footh5pm</t>
  </si>
  <si>
    <t>Foothills 12 Rachel</t>
  </si>
  <si>
    <t>fj2inten4pm</t>
  </si>
  <si>
    <t>Kidz Power Intense col</t>
  </si>
  <si>
    <t>fj2inten6pm</t>
  </si>
  <si>
    <t>Kidz Power Intense RH</t>
  </si>
  <si>
    <t>fj2kersh3pm</t>
  </si>
  <si>
    <t>Kershaw Dev 12 Black</t>
  </si>
  <si>
    <t>fj2kersh4pm</t>
  </si>
  <si>
    <t>Kershaw Dev 12 White</t>
  </si>
  <si>
    <t>fj2kvcjr1pm</t>
  </si>
  <si>
    <t>KVC Jrs</t>
  </si>
  <si>
    <t>KVC 12 Dev</t>
  </si>
  <si>
    <t>fj2magnm6pm</t>
  </si>
  <si>
    <t>Magnum Youth Academy</t>
  </si>
  <si>
    <t>fj2mtnel1pm</t>
  </si>
  <si>
    <t>Mountain Elite Volleyball Club</t>
  </si>
  <si>
    <t>MEVC11Josie</t>
  </si>
  <si>
    <t>fj2scmid4pm</t>
  </si>
  <si>
    <t>SC Midlands KP Black</t>
  </si>
  <si>
    <t>fj2scmid5pm</t>
  </si>
  <si>
    <t>SC Midlands KP Garnet</t>
  </si>
  <si>
    <t>fj3charl1pm</t>
  </si>
  <si>
    <t>Charleston Juniors</t>
  </si>
  <si>
    <t>Chas Jrs 13 Red</t>
  </si>
  <si>
    <t>fj3crone1pm</t>
  </si>
  <si>
    <t>C1VB 13 Power Pickens</t>
  </si>
  <si>
    <t>fj3crone2pm</t>
  </si>
  <si>
    <t>C1VB 13 Power Grvl</t>
  </si>
  <si>
    <t>fj3crosf1pm</t>
  </si>
  <si>
    <t>Crossfire 13 Power</t>
  </si>
  <si>
    <t>fj3csrah1pm</t>
  </si>
  <si>
    <t>CSRA Heat 13 Gold</t>
  </si>
  <si>
    <t>fj3inten1pm</t>
  </si>
  <si>
    <t>Intense 13 Elite Columbia</t>
  </si>
  <si>
    <t>fj3magnm1pm</t>
  </si>
  <si>
    <t>Magnum 13 Mizuno</t>
  </si>
  <si>
    <t>fj3mvpjc1pm</t>
  </si>
  <si>
    <t>MVP 13-Gold</t>
  </si>
  <si>
    <t>fj3mvpjc2pm</t>
  </si>
  <si>
    <t>MVP 13-Black</t>
  </si>
  <si>
    <t>fj3mvpjc3pm</t>
  </si>
  <si>
    <t>MVP 13-White</t>
  </si>
  <si>
    <t>fj3pstri1pm</t>
  </si>
  <si>
    <t>Palm Strikers 13 Platinum</t>
  </si>
  <si>
    <t>fj3upwrd1pm</t>
  </si>
  <si>
    <t>Upward Stars 13 Amy</t>
  </si>
  <si>
    <t>fj3scmid1pm</t>
  </si>
  <si>
    <t>SC Midlands 13 Perf</t>
  </si>
  <si>
    <t>fj3pstri2pm</t>
  </si>
  <si>
    <t>Palm Strikers 13 Premier</t>
  </si>
  <si>
    <t>fj3magnm2pm</t>
  </si>
  <si>
    <t>Magnum 13 Blue</t>
  </si>
  <si>
    <t>fj3upwrd2pm</t>
  </si>
  <si>
    <t>Upward Stars 13 Bridgette</t>
  </si>
  <si>
    <t>fj3pstri3pm</t>
  </si>
  <si>
    <t>Palm Strikers 13 Select</t>
  </si>
  <si>
    <t>fj3charl2pm</t>
  </si>
  <si>
    <t>Chas Jrs 13 Blue</t>
  </si>
  <si>
    <t>fj3fortm2pm</t>
  </si>
  <si>
    <t>Fort Mill 13 Green</t>
  </si>
  <si>
    <t>fj3crone3pm</t>
  </si>
  <si>
    <t>C1VB 13 Regional Grvl</t>
  </si>
  <si>
    <t>fj3crone4pm</t>
  </si>
  <si>
    <t>C1VB 13 Regional Pickens</t>
  </si>
  <si>
    <t>fj3crone5pm</t>
  </si>
  <si>
    <t>C1VB 13 State Greenville</t>
  </si>
  <si>
    <t>fj3crosf2pm</t>
  </si>
  <si>
    <t>Crossfire 13</t>
  </si>
  <si>
    <t>fj3footh1pm</t>
  </si>
  <si>
    <t>Foothills 13 Steve</t>
  </si>
  <si>
    <t>fj3fortm1pm</t>
  </si>
  <si>
    <t>Fort Mill 13 Purple</t>
  </si>
  <si>
    <t>fj3inten4pm</t>
  </si>
  <si>
    <t>Intense 13 Rock Hill</t>
  </si>
  <si>
    <t>fj3kersh1pm</t>
  </si>
  <si>
    <t>Kershaw 13 Black</t>
  </si>
  <si>
    <t>Orangeburg Lady Cubs</t>
  </si>
  <si>
    <t>fj3ladyc2pm</t>
  </si>
  <si>
    <t>OLC 13s Purple</t>
  </si>
  <si>
    <t>MBVC</t>
  </si>
  <si>
    <t>fj3mtnel1pm</t>
  </si>
  <si>
    <t>MEVC13Kenny</t>
  </si>
  <si>
    <t>fj3prage1pm</t>
  </si>
  <si>
    <t>Palmetto Rage Volleyball Club</t>
  </si>
  <si>
    <t>fj3scmid2pm</t>
  </si>
  <si>
    <t>SC Midlands 13 Black</t>
  </si>
  <si>
    <t>fj3scwea1pm</t>
  </si>
  <si>
    <t>SCWE13WINGS</t>
  </si>
  <si>
    <t>fj3sumtr1pm</t>
  </si>
  <si>
    <t>Sumter VBC</t>
  </si>
  <si>
    <t>Sumter VBC 13</t>
  </si>
  <si>
    <t>fj3vison1pm</t>
  </si>
  <si>
    <t>13 Vision-Megan &amp; Katie</t>
  </si>
  <si>
    <t>fj3footh2pm</t>
  </si>
  <si>
    <t>Foothills 13 Caitlin</t>
  </si>
  <si>
    <t>fj4caris1pm</t>
  </si>
  <si>
    <t>Car. Islanders 14 Elite</t>
  </si>
  <si>
    <t>fj4caris2pm</t>
  </si>
  <si>
    <t>Car Islanders 14 Power</t>
  </si>
  <si>
    <t>fj4charl1pm</t>
  </si>
  <si>
    <t>Chas Jrs 14 Red</t>
  </si>
  <si>
    <t>fj4crone1pm</t>
  </si>
  <si>
    <t>C1VB 14 Elite Grvl</t>
  </si>
  <si>
    <t>fj4crone2pm</t>
  </si>
  <si>
    <t>C1VB 14 Power Grvl</t>
  </si>
  <si>
    <t>fj4crosf1pm</t>
  </si>
  <si>
    <t>Crossfire 14 Power</t>
  </si>
  <si>
    <t>fj4csrah1pm</t>
  </si>
  <si>
    <t>CSRA Heat 14 National</t>
  </si>
  <si>
    <t>fj4csrah2pm</t>
  </si>
  <si>
    <t>CSRA Heat 14 Gold</t>
  </si>
  <si>
    <t>fj4grand1pm</t>
  </si>
  <si>
    <t>GSJ 14 National Jason</t>
  </si>
  <si>
    <t>fj4grand2pm</t>
  </si>
  <si>
    <t>GSJ 14 Kristin</t>
  </si>
  <si>
    <t>fj4inten1pm</t>
  </si>
  <si>
    <t>Intense 14 Hyper Elite</t>
  </si>
  <si>
    <t>fj4inten2pm</t>
  </si>
  <si>
    <t>Intense 14 Elite</t>
  </si>
  <si>
    <t>fj4inten3pm</t>
  </si>
  <si>
    <t>Intense 14 performace</t>
  </si>
  <si>
    <t>fj4inten5pm</t>
  </si>
  <si>
    <t>Intense 14 Performance Ro</t>
  </si>
  <si>
    <t>fj4inten6pm</t>
  </si>
  <si>
    <t>Intense 14 Elite Rock Hil</t>
  </si>
  <si>
    <t>fj4kersh1pm</t>
  </si>
  <si>
    <t>Kershaw 14 Black</t>
  </si>
  <si>
    <t>fj4lowco1pm</t>
  </si>
  <si>
    <t>Low Country Volleyball Club</t>
  </si>
  <si>
    <t>Low Country 14N Aaron</t>
  </si>
  <si>
    <t>fj4lowco2pm</t>
  </si>
  <si>
    <t>Low Country 14N Tina</t>
  </si>
  <si>
    <t>fj4magnm1pm</t>
  </si>
  <si>
    <t>Magnum 14 Mizuno</t>
  </si>
  <si>
    <t>fj4magnm2pm</t>
  </si>
  <si>
    <t>Magnum 14 Elite</t>
  </si>
  <si>
    <t>fj4magnm3pm</t>
  </si>
  <si>
    <t>Magnum Aiken 14 Green</t>
  </si>
  <si>
    <t>fj4mvpjc1pm</t>
  </si>
  <si>
    <t>MVP 14-Gold</t>
  </si>
  <si>
    <t>fj4pstri1pm</t>
  </si>
  <si>
    <t>Palm Strikers 14 Plat - H</t>
  </si>
  <si>
    <t>fj4pstri2pm</t>
  </si>
  <si>
    <t>Palm Strikers 14 Plat - L</t>
  </si>
  <si>
    <t>fj4scmid1pm</t>
  </si>
  <si>
    <t>SC Midlands 14 National</t>
  </si>
  <si>
    <t>fj4scmid2pm</t>
  </si>
  <si>
    <t>SC Midlands 14 Perf</t>
  </si>
  <si>
    <t>fj4upwrd2pm</t>
  </si>
  <si>
    <t>Upward Stars 14 Jenni</t>
  </si>
  <si>
    <t>fj4vison1pm</t>
  </si>
  <si>
    <t>Vision 14-Caty &amp; Erika</t>
  </si>
  <si>
    <t>mj4caris1pm</t>
  </si>
  <si>
    <t>Car. Islanders 14 Boys</t>
  </si>
  <si>
    <t>Car. Islanders 14 Boy</t>
  </si>
  <si>
    <t>fj4vison2pm</t>
  </si>
  <si>
    <t>Vision 14-Kristen &amp; Rach</t>
  </si>
  <si>
    <t>fj4hhbtc1pm</t>
  </si>
  <si>
    <t>HHI SHARKS</t>
  </si>
  <si>
    <t>HHI SHARKS 14U</t>
  </si>
  <si>
    <t>fj4mtnel1pm</t>
  </si>
  <si>
    <t>MEVC14Cori</t>
  </si>
  <si>
    <t>fj4upwrd3pm</t>
  </si>
  <si>
    <t>Upward Stars 14 Tara</t>
  </si>
  <si>
    <t>fj4motoj1pm</t>
  </si>
  <si>
    <t>MOTO 14-1 IGNITE</t>
  </si>
  <si>
    <t>fj4motoj2pm</t>
  </si>
  <si>
    <t>MOTO 14-2 IGNITE</t>
  </si>
  <si>
    <t>fj4ccoas1pm</t>
  </si>
  <si>
    <t>Club Coastal 14 Blue</t>
  </si>
  <si>
    <t>fj4pstri3pm</t>
  </si>
  <si>
    <t>Palm Strikers 14 Premier</t>
  </si>
  <si>
    <t>fj4atown1pm</t>
  </si>
  <si>
    <t>ATown Volleyball Academy</t>
  </si>
  <si>
    <t>ATown 14 Black</t>
  </si>
  <si>
    <t>Columbia SC Starlings</t>
  </si>
  <si>
    <t>CHS Elite</t>
  </si>
  <si>
    <t>fj4crone3pm</t>
  </si>
  <si>
    <t>C1VB 14 Reg Black Grvl</t>
  </si>
  <si>
    <t>fj4crone4pm</t>
  </si>
  <si>
    <t>C1VB 14 Reg Royal Grvl</t>
  </si>
  <si>
    <t>fj4crone5pm</t>
  </si>
  <si>
    <t>C1VB 14 State Grvl</t>
  </si>
  <si>
    <t>fj4crosf2pm</t>
  </si>
  <si>
    <t>Crossfire 14</t>
  </si>
  <si>
    <t>fj4footh1pm</t>
  </si>
  <si>
    <t>Foothills 14 May</t>
  </si>
  <si>
    <t>fj4kvcjr1pm</t>
  </si>
  <si>
    <t>KVC 14</t>
  </si>
  <si>
    <t>fj4magnm4pm</t>
  </si>
  <si>
    <t>Magnum 14 Black</t>
  </si>
  <si>
    <t>fj4magnm5pm</t>
  </si>
  <si>
    <t>Magnum Aiken 14 Yellow</t>
  </si>
  <si>
    <t>fj4magnm6pm</t>
  </si>
  <si>
    <t>Magnum 14 Blue</t>
  </si>
  <si>
    <t>fj4prage1pm</t>
  </si>
  <si>
    <t>PRV -14U Janice</t>
  </si>
  <si>
    <t>fj5beauf1pm</t>
  </si>
  <si>
    <t>Beaufort Volleyball Club</t>
  </si>
  <si>
    <t>Beaufort 15 Grey</t>
  </si>
  <si>
    <t>fj5beauf2pm</t>
  </si>
  <si>
    <t>Beaufort 15 Pink</t>
  </si>
  <si>
    <t>fj5caris1pm</t>
  </si>
  <si>
    <t>Car .Islanders 15 Elite</t>
  </si>
  <si>
    <t>fj5caris2pm</t>
  </si>
  <si>
    <t>Car. Islanders 15 Power</t>
  </si>
  <si>
    <t>fj5charl1pm</t>
  </si>
  <si>
    <t>Chas Jrs 15 College Prep</t>
  </si>
  <si>
    <t>fj5charl2pm</t>
  </si>
  <si>
    <t>Chas Jrs 15 Power</t>
  </si>
  <si>
    <t>fj5cpeak2cr</t>
  </si>
  <si>
    <t>Carolina Peak 15 IT- Deb</t>
  </si>
  <si>
    <t>fj5cpeak4cr</t>
  </si>
  <si>
    <t>Carolina Peak 15 Jake</t>
  </si>
  <si>
    <t>fj5crone1pm</t>
  </si>
  <si>
    <t>C1VB 15 National Grvl</t>
  </si>
  <si>
    <t>fj5crone2pm</t>
  </si>
  <si>
    <t>C1VB 15 Elite Grvl</t>
  </si>
  <si>
    <t>fj5crone3pm</t>
  </si>
  <si>
    <t>C1VB 15 Power Grvl</t>
  </si>
  <si>
    <t>fj5crone4pm</t>
  </si>
  <si>
    <t>C1VB 15 Power Pickens</t>
  </si>
  <si>
    <t>fj5csrah1pm</t>
  </si>
  <si>
    <t>CSRA Heat 15 National</t>
  </si>
  <si>
    <t>fj5ecity1pm</t>
  </si>
  <si>
    <t>Emerald City 15-Power</t>
  </si>
  <si>
    <t>fj5excel1pm</t>
  </si>
  <si>
    <t>Excell 15 2017</t>
  </si>
  <si>
    <t>fj5grand1pm</t>
  </si>
  <si>
    <t>GSJ 15 National Courtney</t>
  </si>
  <si>
    <t>fj5inten1pm</t>
  </si>
  <si>
    <t>Intense 15 Hyper Elite</t>
  </si>
  <si>
    <t>fj5inten2pm</t>
  </si>
  <si>
    <t>Intense 15 Elite Columbia</t>
  </si>
  <si>
    <t>fj5inten3pm</t>
  </si>
  <si>
    <t>Intense 15 Elite Rock Hil</t>
  </si>
  <si>
    <t>fj5kersh1pm</t>
  </si>
  <si>
    <t>Kershaw 15 Black</t>
  </si>
  <si>
    <t>fj5lakem1pm</t>
  </si>
  <si>
    <t>Lake Murray 15 Red</t>
  </si>
  <si>
    <t>fj5magnm1pm</t>
  </si>
  <si>
    <t>Magnum 15 Mizuno</t>
  </si>
  <si>
    <t>fj5magnm2pm</t>
  </si>
  <si>
    <t>Magnum 15 Elite</t>
  </si>
  <si>
    <t>fj5mtnel1pm</t>
  </si>
  <si>
    <t>MEVC15Kenny</t>
  </si>
  <si>
    <t>fj5pstri1pm</t>
  </si>
  <si>
    <t>Palm Strikers 15 National</t>
  </si>
  <si>
    <t>fj5scmid1pm</t>
  </si>
  <si>
    <t>SC Midlands 15 National</t>
  </si>
  <si>
    <t>fj5scmid2pm</t>
  </si>
  <si>
    <t>SC Midlands 15 Perf</t>
  </si>
  <si>
    <t>fj5tlife1cr</t>
  </si>
  <si>
    <t>TLVC 15 Black</t>
  </si>
  <si>
    <t>fj5upsvc1pm</t>
  </si>
  <si>
    <t>Upstate Volleyball Club</t>
  </si>
  <si>
    <t>Upstate 15-1 Power</t>
  </si>
  <si>
    <t>fj5csrah2pm</t>
  </si>
  <si>
    <t>CSRA Heat 15 Gold</t>
  </si>
  <si>
    <t>fj5atown1pm</t>
  </si>
  <si>
    <t>ATown 15 Black</t>
  </si>
  <si>
    <t>Carolina Express</t>
  </si>
  <si>
    <t>Branchville Juniors</t>
  </si>
  <si>
    <t>fj5crone5pm</t>
  </si>
  <si>
    <t>C1VB 15 Regional Grvl</t>
  </si>
  <si>
    <t>fj5footh1pm</t>
  </si>
  <si>
    <t>Foothills 15 Tiffany</t>
  </si>
  <si>
    <t>High Velocity VBC</t>
  </si>
  <si>
    <t>Ignite</t>
  </si>
  <si>
    <t>fj5magnm3pm</t>
  </si>
  <si>
    <t>Magnum 15 Black</t>
  </si>
  <si>
    <t>fj5magnm4pm</t>
  </si>
  <si>
    <t>Magnum Aiken 15 Green</t>
  </si>
  <si>
    <t>fj5pstri2pm</t>
  </si>
  <si>
    <t>Palm Strikers 15 Platinum</t>
  </si>
  <si>
    <t>fj5sandh1pm</t>
  </si>
  <si>
    <t>Sandhills Volleyball Club</t>
  </si>
  <si>
    <t>SVBC Blazers 15</t>
  </si>
  <si>
    <t>fj5vison1pm</t>
  </si>
  <si>
    <t>Vision 15-Serena &amp; Emily</t>
  </si>
  <si>
    <t>fj6charl1pm</t>
  </si>
  <si>
    <t>Chas Jrs 16 College Prep</t>
  </si>
  <si>
    <t>fj6cpeak2cr</t>
  </si>
  <si>
    <t>Carolina Peak 16- Green</t>
  </si>
  <si>
    <t>fj6crchv1cr</t>
  </si>
  <si>
    <t>Carolina Chaos 16-1</t>
  </si>
  <si>
    <t>fj6crone1pm</t>
  </si>
  <si>
    <t>C1VB 16 National Grvl</t>
  </si>
  <si>
    <t>fj6crone2pm</t>
  </si>
  <si>
    <t>C1VB 16 Elite Pickens</t>
  </si>
  <si>
    <t>fj6crosf1pm</t>
  </si>
  <si>
    <t>Crossfire 16 Power</t>
  </si>
  <si>
    <t>fj6csrah1pm</t>
  </si>
  <si>
    <t>CSRA Heat 16 National</t>
  </si>
  <si>
    <t>fj6grand1pm</t>
  </si>
  <si>
    <t>GSJ 16 National Alex</t>
  </si>
  <si>
    <t>fj6grand2pm</t>
  </si>
  <si>
    <t>GSJ 16 Lee</t>
  </si>
  <si>
    <t>fj6grand3pm</t>
  </si>
  <si>
    <t>GSJ 16 Chiquita</t>
  </si>
  <si>
    <t>fj6hvelo1pm</t>
  </si>
  <si>
    <t>High Velocity 16's</t>
  </si>
  <si>
    <t>fj6inten1pm</t>
  </si>
  <si>
    <t>Intense 16 Hyper Elite</t>
  </si>
  <si>
    <t>fj6inten2pm</t>
  </si>
  <si>
    <t>Intense 16 Perf Columbia</t>
  </si>
  <si>
    <t>fj6inten5pm</t>
  </si>
  <si>
    <t>Intense 16 Elite Black RH</t>
  </si>
  <si>
    <t>fj6inten6pm</t>
  </si>
  <si>
    <t>Intense 16 Elite Orange R</t>
  </si>
  <si>
    <t>fj6islun1pm</t>
  </si>
  <si>
    <t>United</t>
  </si>
  <si>
    <t>United 16-1</t>
  </si>
  <si>
    <t>fj6kersh1pm</t>
  </si>
  <si>
    <t>Kershaw 16 Black</t>
  </si>
  <si>
    <t>fj6lakem1pm</t>
  </si>
  <si>
    <t>Lake Murray 16 Red</t>
  </si>
  <si>
    <t>fj6lowco1pm</t>
  </si>
  <si>
    <t>Low Country 16 Power</t>
  </si>
  <si>
    <t>fj6magnm1pm</t>
  </si>
  <si>
    <t>Magnum 16 Mizuno</t>
  </si>
  <si>
    <t>fj6magnm2pm</t>
  </si>
  <si>
    <t>Magnum Aiken 16 Green</t>
  </si>
  <si>
    <t>fj6motoj1pm</t>
  </si>
  <si>
    <t>MOTO 16 IGNITE</t>
  </si>
  <si>
    <t>fj6motojdpm</t>
  </si>
  <si>
    <t>MOTO 16-2 IGNITE</t>
  </si>
  <si>
    <t>fj6scmid1pm</t>
  </si>
  <si>
    <t>SC Midlands 16 National</t>
  </si>
  <si>
    <t>fj6scmid2pm</t>
  </si>
  <si>
    <t>SC Midlands 16 Perf</t>
  </si>
  <si>
    <t>fj6tlife1cr</t>
  </si>
  <si>
    <t>TLVC 16U</t>
  </si>
  <si>
    <t>fj6upwrd1pm</t>
  </si>
  <si>
    <t>Upward Stars 16 Andrew</t>
  </si>
  <si>
    <t>fj6upwrd2pm</t>
  </si>
  <si>
    <t>Upward Stars 16 Christina</t>
  </si>
  <si>
    <t>fj6vison1pm</t>
  </si>
  <si>
    <t>Vision 16-Erika &amp; Marissa</t>
  </si>
  <si>
    <t>fj6pstri1pm</t>
  </si>
  <si>
    <t>Palm Strikers 16 National</t>
  </si>
  <si>
    <t>fj6csrah2pm</t>
  </si>
  <si>
    <t>CSRA Heat 16 Gold</t>
  </si>
  <si>
    <t>fj6hurrc1pm</t>
  </si>
  <si>
    <t>Hurricane Volleyball Club</t>
  </si>
  <si>
    <t>Hurricane VBC 16 Tsunami</t>
  </si>
  <si>
    <t>fj6atown2pm</t>
  </si>
  <si>
    <t>ATown 16 Orange Angela</t>
  </si>
  <si>
    <t>fj6excel1pm</t>
  </si>
  <si>
    <t>Excell 16 2017</t>
  </si>
  <si>
    <t>fj6pstri2pm</t>
  </si>
  <si>
    <t>Palm Strikers 16 Platinum</t>
  </si>
  <si>
    <t>fj6upwrd3pm</t>
  </si>
  <si>
    <t>Upward Stars 16 Taylor</t>
  </si>
  <si>
    <t>fj6atown1pm</t>
  </si>
  <si>
    <t>ATown 16 Black</t>
  </si>
  <si>
    <t>fj6ladyc1pm</t>
  </si>
  <si>
    <t>OLC 16s Purple</t>
  </si>
  <si>
    <t>fj6aelit1pm</t>
  </si>
  <si>
    <t>Augusta Elite</t>
  </si>
  <si>
    <t>Augusta Elite 16 Fusion</t>
  </si>
  <si>
    <t>fj6celit1pm</t>
  </si>
  <si>
    <t>CHSElite 16-1</t>
  </si>
  <si>
    <t>fj6crone3pm</t>
  </si>
  <si>
    <t>C1VB 16 Regional Grvl</t>
  </si>
  <si>
    <t>fj6hhbtc1pm</t>
  </si>
  <si>
    <t>HHI SHARKS 16U</t>
  </si>
  <si>
    <t>fj6inten3pm</t>
  </si>
  <si>
    <t>Intense 16 Region Columb</t>
  </si>
  <si>
    <t>fj6kersh2pm</t>
  </si>
  <si>
    <t>Kershaw 16 White</t>
  </si>
  <si>
    <t>fj6vonea1pm</t>
  </si>
  <si>
    <t>VolleyOneAcademy 16-Amy</t>
  </si>
  <si>
    <t>fj7c4vb11pm</t>
  </si>
  <si>
    <t>C4</t>
  </si>
  <si>
    <t>C4 17U Elite Ron</t>
  </si>
  <si>
    <t>fj7caris1pm</t>
  </si>
  <si>
    <t>Car. Islanders 17 Power</t>
  </si>
  <si>
    <t>fj7charl1pm</t>
  </si>
  <si>
    <t>Chas Jrs 17 College Prep</t>
  </si>
  <si>
    <t>fj7cpeak1cr</t>
  </si>
  <si>
    <t>Carolina Peak 17 Kathryn</t>
  </si>
  <si>
    <t>fj7crchv1cr</t>
  </si>
  <si>
    <t>Carolina Chaos 17-1</t>
  </si>
  <si>
    <t>fj7crosf1pm</t>
  </si>
  <si>
    <t>Crossfire 17 Power</t>
  </si>
  <si>
    <t>fj7csrah1pm</t>
  </si>
  <si>
    <t>CSRA Heat 17 National</t>
  </si>
  <si>
    <t>fj7ecity1pm</t>
  </si>
  <si>
    <t>Emerald City 17-Power</t>
  </si>
  <si>
    <t>fj7ecvc72cr</t>
  </si>
  <si>
    <t>Elite Charger Volleyball</t>
  </si>
  <si>
    <t>fj7grand1pm</t>
  </si>
  <si>
    <t>GSJ 17 National Steve</t>
  </si>
  <si>
    <t>fj7hurrc1pm</t>
  </si>
  <si>
    <t>Hurricane VBC 17 Cyclones</t>
  </si>
  <si>
    <t>fj7hurrc2pm</t>
  </si>
  <si>
    <t>Hurricane VBC 17 Typhoon</t>
  </si>
  <si>
    <t>fj7inten1pm</t>
  </si>
  <si>
    <t>Intense 17 Perf RH</t>
  </si>
  <si>
    <t>fj7lakem1pm</t>
  </si>
  <si>
    <t>Lake Murray 17 Red</t>
  </si>
  <si>
    <t>fj7magnm1pm</t>
  </si>
  <si>
    <t>Magnum 17 Mizuno</t>
  </si>
  <si>
    <t>fj7magnm2pm</t>
  </si>
  <si>
    <t>Magnum 17 Elite</t>
  </si>
  <si>
    <t>fj7motoj1pm</t>
  </si>
  <si>
    <t>MOTO 17 IGNITE</t>
  </si>
  <si>
    <t>fj7pstri1pm</t>
  </si>
  <si>
    <t>Palm Strikers 17 National</t>
  </si>
  <si>
    <t>fj7scmid1pm</t>
  </si>
  <si>
    <t>SC Midlands 17 National C</t>
  </si>
  <si>
    <t>fj7scmid2pm</t>
  </si>
  <si>
    <t>SC Midlands 17 National G</t>
  </si>
  <si>
    <t>fj7sumtr1pm</t>
  </si>
  <si>
    <t>Sumter 17 Heath</t>
  </si>
  <si>
    <t>fj7upsvc1pm</t>
  </si>
  <si>
    <t>Upstate 17-1 National</t>
  </si>
  <si>
    <t>fj7upwrd3pm</t>
  </si>
  <si>
    <t>Upward Stars 17 Brandon</t>
  </si>
  <si>
    <t>fj7ccoas1pm</t>
  </si>
  <si>
    <t>Club Coastal 17 Blue</t>
  </si>
  <si>
    <t>fj7prage1pm</t>
  </si>
  <si>
    <t>PRV 17U Alicia</t>
  </si>
  <si>
    <t>fj7upwrd2pm</t>
  </si>
  <si>
    <t>Upward Stars 17 Kara</t>
  </si>
  <si>
    <t>fj7atown1pm</t>
  </si>
  <si>
    <t>ATown 17 Black</t>
  </si>
  <si>
    <t>fj7footh1pm</t>
  </si>
  <si>
    <t>Foothills 17 Matt</t>
  </si>
  <si>
    <t>fj7sumtr2pm</t>
  </si>
  <si>
    <t>Sumter VBC 17-2</t>
  </si>
  <si>
    <t>fj8branc2pm</t>
  </si>
  <si>
    <t>Branchville Jrs 18U Pink</t>
  </si>
  <si>
    <t>fj8caris1pm</t>
  </si>
  <si>
    <t>Car. Islanders 18 Elite</t>
  </si>
  <si>
    <t>fj8charl1pm</t>
  </si>
  <si>
    <t>Chas Jrs 18 Red</t>
  </si>
  <si>
    <t>fj8crchv1cr</t>
  </si>
  <si>
    <t>Carolina Chaos 18</t>
  </si>
  <si>
    <t>fj8crone1pm</t>
  </si>
  <si>
    <t>C1VB 18 National</t>
  </si>
  <si>
    <t>fj8grand1pm</t>
  </si>
  <si>
    <t>GSJ 18 National Larry</t>
  </si>
  <si>
    <t>fj8hurrc1pm</t>
  </si>
  <si>
    <t>Hurricane VBC 18 Storm</t>
  </si>
  <si>
    <t>fj8kc11j1pm</t>
  </si>
  <si>
    <t>KC11 Volleyball Club</t>
  </si>
  <si>
    <t>KC11 18's</t>
  </si>
  <si>
    <t>fj8lakem1pm</t>
  </si>
  <si>
    <t>Lake Murray 18 Red</t>
  </si>
  <si>
    <t>fj8lowco1pm</t>
  </si>
  <si>
    <t>Low Country 18 National</t>
  </si>
  <si>
    <t>fj8magnm1pm</t>
  </si>
  <si>
    <t>Magnum 18 Mizuno</t>
  </si>
  <si>
    <t>fj8magnm2pm</t>
  </si>
  <si>
    <t>Magnum Aiken 18 Green</t>
  </si>
  <si>
    <t>fj8mtnel1pm</t>
  </si>
  <si>
    <t>MEVC18Hannah</t>
  </si>
  <si>
    <t>fj8mvpjc1pm</t>
  </si>
  <si>
    <t>MVP 18-Gold</t>
  </si>
  <si>
    <t>fj8tlife1cr</t>
  </si>
  <si>
    <t>TLVC 18U</t>
  </si>
  <si>
    <t>fj8upsvc1pm</t>
  </si>
  <si>
    <t>Upstate 18-1</t>
  </si>
  <si>
    <t>fj8upsvc2pm</t>
  </si>
  <si>
    <t>Upstate 18-2</t>
  </si>
  <si>
    <t>fj8scmid1pm</t>
  </si>
  <si>
    <t>SC Midlands 18 Perf</t>
  </si>
  <si>
    <t>fj8ladyc1pm</t>
  </si>
  <si>
    <t>OLC 18's Purple</t>
  </si>
  <si>
    <t>fj8starl1pm</t>
  </si>
  <si>
    <t>Columbia SC Starlings 18</t>
  </si>
  <si>
    <t>fj8actvb1od</t>
  </si>
  <si>
    <t>Active 18 Black</t>
  </si>
  <si>
    <t>fj8aelit1pm</t>
  </si>
  <si>
    <t>Augusta Elite 18 Fury</t>
  </si>
  <si>
    <t>fj8branc3pm</t>
  </si>
  <si>
    <t>Branchville Juniors 18U</t>
  </si>
  <si>
    <t>fj8celit1pm</t>
  </si>
  <si>
    <t>CHSElite 18-1</t>
  </si>
  <si>
    <t>fj8psvbc1cr</t>
  </si>
  <si>
    <t>Palmetto Starlings  18-1</t>
  </si>
  <si>
    <t>fj8sandh1pm</t>
  </si>
  <si>
    <t>SVBC Blazers 18</t>
  </si>
  <si>
    <t>fj8sumtr1pm</t>
  </si>
  <si>
    <t>Sumter VBC 18</t>
  </si>
  <si>
    <t>fj2biltm1cr</t>
  </si>
  <si>
    <t>BVA 12 Black</t>
  </si>
  <si>
    <t>fj2biltm2cr</t>
  </si>
  <si>
    <t>BVA 12 White</t>
  </si>
  <si>
    <t>fj3biltm1cr</t>
  </si>
  <si>
    <t>BVA 13 Black</t>
  </si>
  <si>
    <t>fj3biltm2cr</t>
  </si>
  <si>
    <t>BVA 13 White</t>
  </si>
  <si>
    <t>fj3extvb1so</t>
  </si>
  <si>
    <t>Extreme 13-1</t>
  </si>
  <si>
    <t>fj3tlife1cr</t>
  </si>
  <si>
    <t>TLVC 13U Black</t>
  </si>
  <si>
    <t>fj3tlife2cr</t>
  </si>
  <si>
    <t>TLVC 13U Yellow</t>
  </si>
  <si>
    <t>fj3biltm3cr</t>
  </si>
  <si>
    <t>BVA 13 Purple</t>
  </si>
  <si>
    <t>fj3mtxej1cr</t>
  </si>
  <si>
    <t>Shockers 13-1</t>
  </si>
  <si>
    <t>fj3ptvbc1so</t>
  </si>
  <si>
    <t>P31 13-1</t>
  </si>
  <si>
    <t>fj4biltm2cr</t>
  </si>
  <si>
    <t>BVA 14 Black</t>
  </si>
  <si>
    <t>fj4chovb1so</t>
  </si>
  <si>
    <t>CHOSEN 14-1</t>
  </si>
  <si>
    <t>fj4biltm1cr</t>
  </si>
  <si>
    <t>BVA 14N</t>
  </si>
  <si>
    <t>fj6cpeak1cr</t>
  </si>
  <si>
    <t>Carolina Peak 16 Concord</t>
  </si>
  <si>
    <t>fj7triex2so</t>
  </si>
  <si>
    <t>TEV 17 Gary</t>
  </si>
  <si>
    <t>fj7carun4cr</t>
  </si>
  <si>
    <t>CUVC 17 White</t>
  </si>
  <si>
    <t>fj8carun3cr</t>
  </si>
  <si>
    <t>CUVC 18 Orange</t>
  </si>
  <si>
    <t>fj8cpeak1cr</t>
  </si>
  <si>
    <t>PEAK 18 Brandi</t>
  </si>
  <si>
    <t>fj7carun3cr</t>
  </si>
  <si>
    <t>CUVC 17 Orange</t>
  </si>
  <si>
    <t>fj7triex6so</t>
  </si>
  <si>
    <t>TEV 17 Hilton</t>
  </si>
  <si>
    <t>fj2unsel3cr</t>
  </si>
  <si>
    <t>USA 12's Pink</t>
  </si>
  <si>
    <t>fj4shlby1cr</t>
  </si>
  <si>
    <t>Shelby Strikers</t>
  </si>
  <si>
    <t>Lexington MS</t>
  </si>
  <si>
    <t>13 Club A Div</t>
  </si>
  <si>
    <t>Callie Youngman</t>
  </si>
  <si>
    <t>LAVA 13U Purple</t>
  </si>
  <si>
    <t>fj3lavaf1cr</t>
  </si>
  <si>
    <t>Meadow Glenn</t>
  </si>
  <si>
    <t>16 B Division</t>
  </si>
  <si>
    <t>LAVA 16U Purple</t>
  </si>
  <si>
    <t>fj6lavaf1cr</t>
  </si>
  <si>
    <t>PEAK 16-Chip</t>
  </si>
  <si>
    <t>fj6cpeak4cr</t>
  </si>
  <si>
    <t>PEAK 16-Andy</t>
  </si>
  <si>
    <t>fj6cpeak5cr</t>
  </si>
  <si>
    <t>Statesboro 16s</t>
  </si>
  <si>
    <t>FJ6SVAVC1SO</t>
  </si>
  <si>
    <t>Thomas Gymnastics Ctr- Rock hill</t>
  </si>
  <si>
    <t>USA 17 Purple Joy</t>
  </si>
  <si>
    <t>fj7unsel1cr</t>
  </si>
  <si>
    <t>upward stars 16 fj6upwrd3pm</t>
  </si>
  <si>
    <t>sumter fj8sumtr1pm</t>
  </si>
  <si>
    <t>midlands</t>
  </si>
  <si>
    <t>augusta</t>
  </si>
  <si>
    <t>usa 17 fj7unsel1cr</t>
  </si>
  <si>
    <t>elite fj8celit1pm</t>
  </si>
  <si>
    <t>upward stars 17 fj7upwrd2pm</t>
  </si>
  <si>
    <t>peak fj8cpeak1cr</t>
  </si>
  <si>
    <t>midlands fj8scmid1pm</t>
  </si>
  <si>
    <t>augusta fj8aelit1pm</t>
  </si>
  <si>
    <t>columbia sc starlings 13</t>
  </si>
  <si>
    <t>fj3starl1pm</t>
  </si>
  <si>
    <t>Team 10</t>
  </si>
  <si>
    <t>Code 10</t>
  </si>
  <si>
    <t>Team 11</t>
  </si>
  <si>
    <t>Code 11</t>
  </si>
  <si>
    <t>Team 12</t>
  </si>
  <si>
    <t>Code 12</t>
  </si>
  <si>
    <t>Team 13</t>
  </si>
  <si>
    <t>Code 13</t>
  </si>
  <si>
    <t>Team 14</t>
  </si>
  <si>
    <t>Code 14</t>
  </si>
  <si>
    <t>Team 15</t>
  </si>
  <si>
    <t>Code 15</t>
  </si>
  <si>
    <t>Team 16</t>
  </si>
  <si>
    <t>Code 16</t>
  </si>
  <si>
    <t>AA</t>
  </si>
  <si>
    <t>BB</t>
  </si>
  <si>
    <t>Supr e-mail:</t>
  </si>
  <si>
    <t xml:space="preserve">Supr Cell #: </t>
  </si>
  <si>
    <t>Carolina one Kid Pwr Challenge</t>
  </si>
  <si>
    <t xml:space="preserve"> POOL PLAY FORMAT:  2 Game of 20 mins 5 mins between matches</t>
  </si>
  <si>
    <t xml:space="preserve"> POOL PLAY FORMAT:  2 Game of 15 mins 3 mins between matches</t>
  </si>
  <si>
    <t>CC</t>
  </si>
  <si>
    <t>Potential  AM Wave</t>
  </si>
  <si>
    <t>Note</t>
  </si>
  <si>
    <t xml:space="preserve"> POOL PLAY FORMAT:  2 Game of 15 mins 2 mins between matches</t>
  </si>
  <si>
    <t>C</t>
  </si>
  <si>
    <t>Court 3</t>
  </si>
  <si>
    <t>new AM rnd 2 7 tms</t>
  </si>
  <si>
    <t>New AM wave 7 tms</t>
  </si>
  <si>
    <t>new AM rnd 2 8 tms</t>
  </si>
  <si>
    <t>New AM wave 8 tms</t>
  </si>
  <si>
    <t>12 Club A Division 10 tms</t>
  </si>
  <si>
    <t>12 Club B Division 10 tms</t>
  </si>
  <si>
    <t>13 Club A division 10 tms</t>
  </si>
  <si>
    <t>13 Club B Division 10 tms</t>
  </si>
  <si>
    <t>14 Club A Division 10 tms</t>
  </si>
  <si>
    <t>14 Club B Division 10 tms</t>
  </si>
  <si>
    <t>15 Club A division 8 tms</t>
  </si>
  <si>
    <t xml:space="preserve">15 Club B div 8 tms </t>
  </si>
  <si>
    <t>16 Club A Division 10 tms</t>
  </si>
  <si>
    <t>16 Club B Division 10 tms</t>
  </si>
  <si>
    <t>17 Club  5 tms</t>
  </si>
  <si>
    <t>18 Club  8 tms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</si>
</sst>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0.0%"/>
    <numFmt numFmtId="165" formatCode="0.##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8"/>
      <name val="Arial"/>
      <family val="2"/>
    </font>
    <font>
      <sz val="10"/>
      <color indexed="55"/>
      <name val="Arial"/>
      <family val="2"/>
    </font>
    <font>
      <sz val="5"/>
      <name val="Arial"/>
      <family val="2"/>
    </font>
    <font>
      <sz val="16"/>
      <name val="Arial"/>
      <family val="2"/>
    </font>
    <font>
      <sz val="6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sz val="20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9"/>
      <color rgb="FF464646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rgb="FF9C5700"/>
      <name val="Calibri"/>
      <family val="2"/>
      <scheme val="minor"/>
    </font>
    <font>
      <sz val="10"/>
      <color rgb="FF000000"/>
      <name val="Arial"/>
      <family val="2"/>
    </font>
    <font>
      <sz val="18"/>
      <color theme="3"/>
      <name val="Cambria"/>
      <family val="2"/>
      <scheme val="major"/>
    </font>
  </fonts>
  <fills count="41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rgb="FFACACAC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</borders>
  <cellStyleXfs count="46">
    <xf numFmtId="0" fontId="0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" fillId="0" borderId="0"/>
    <xf numFmtId="0" fontId="23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4" fontId="2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7" fillId="15" borderId="0" applyNumberFormat="0" applyBorder="0" applyAlignment="0" applyProtection="0"/>
    <xf numFmtId="0" fontId="2" fillId="0" borderId="0"/>
    <xf numFmtId="0" fontId="28" fillId="0" borderId="0"/>
    <xf numFmtId="0" fontId="1" fillId="0" borderId="0"/>
    <xf numFmtId="0" fontId="2" fillId="0" borderId="0"/>
    <xf numFmtId="0" fontId="29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22" fillId="0" borderId="0"/>
    <xf numFmtId="0" fontId="1" fillId="16" borderId="60" applyNumberFormat="0" applyFont="0" applyAlignment="0" applyProtection="0"/>
  </cellStyleXfs>
  <cellXfs count="529">
    <xf numFmtId="0" fontId="0" fillId="0" borderId="0" xfId="0"/>
    <xf numFmtId="0" fontId="2" fillId="2" borderId="0" xfId="1" applyFill="1" applyProtection="1"/>
    <xf numFmtId="0" fontId="2" fillId="2" borderId="0" xfId="1" applyFont="1" applyFill="1" applyAlignment="1" applyProtection="1">
      <alignment horizontal="center"/>
    </xf>
    <xf numFmtId="0" fontId="2" fillId="0" borderId="0" xfId="1" applyFill="1"/>
    <xf numFmtId="0" fontId="2" fillId="0" borderId="0" xfId="1"/>
    <xf numFmtId="0" fontId="2" fillId="0" borderId="0" xfId="1" applyAlignment="1">
      <alignment horizontal="right"/>
    </xf>
    <xf numFmtId="0" fontId="2" fillId="0" borderId="0" xfId="1" applyProtection="1">
      <protection locked="0"/>
    </xf>
    <xf numFmtId="0" fontId="2" fillId="2" borderId="0" xfId="1" applyFill="1"/>
    <xf numFmtId="0" fontId="2" fillId="0" borderId="5" xfId="1" applyFont="1" applyBorder="1" applyAlignment="1" applyProtection="1">
      <alignment horizontal="center"/>
      <protection locked="0"/>
    </xf>
    <xf numFmtId="0" fontId="3" fillId="0" borderId="7" xfId="1" applyFont="1" applyBorder="1" applyAlignment="1" applyProtection="1">
      <alignment horizontal="center"/>
      <protection locked="0"/>
    </xf>
    <xf numFmtId="0" fontId="3" fillId="0" borderId="8" xfId="1" applyFont="1" applyBorder="1" applyAlignment="1" applyProtection="1">
      <alignment horizontal="center"/>
      <protection locked="0"/>
    </xf>
    <xf numFmtId="0" fontId="3" fillId="0" borderId="6" xfId="1" applyFont="1" applyBorder="1" applyAlignment="1">
      <alignment horizontal="center"/>
    </xf>
    <xf numFmtId="0" fontId="3" fillId="0" borderId="9" xfId="1" applyFont="1" applyBorder="1" applyAlignment="1">
      <alignment horizontal="center"/>
    </xf>
    <xf numFmtId="0" fontId="6" fillId="3" borderId="10" xfId="1" applyFont="1" applyFill="1" applyBorder="1" applyAlignment="1" applyProtection="1">
      <alignment horizontal="center" vertical="center" wrapText="1"/>
      <protection locked="0"/>
    </xf>
    <xf numFmtId="0" fontId="2" fillId="0" borderId="13" xfId="1" applyFont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vertical="top"/>
      <protection locked="0"/>
    </xf>
    <xf numFmtId="0" fontId="2" fillId="0" borderId="15" xfId="1" applyBorder="1" applyAlignment="1" applyProtection="1">
      <alignment horizontal="center"/>
      <protection locked="0"/>
    </xf>
    <xf numFmtId="2" fontId="2" fillId="0" borderId="16" xfId="1" applyNumberFormat="1" applyBorder="1" applyAlignment="1">
      <alignment horizontal="center"/>
    </xf>
    <xf numFmtId="2" fontId="2" fillId="0" borderId="17" xfId="1" applyNumberFormat="1" applyBorder="1" applyAlignment="1">
      <alignment horizontal="center"/>
    </xf>
    <xf numFmtId="0" fontId="2" fillId="0" borderId="18" xfId="1" applyFont="1" applyBorder="1" applyAlignment="1" applyProtection="1">
      <alignment horizontal="center"/>
      <protection locked="0"/>
    </xf>
    <xf numFmtId="2" fontId="2" fillId="0" borderId="18" xfId="1" applyNumberFormat="1" applyBorder="1" applyAlignment="1">
      <alignment horizontal="center"/>
    </xf>
    <xf numFmtId="2" fontId="2" fillId="0" borderId="19" xfId="1" applyNumberFormat="1" applyBorder="1" applyAlignment="1">
      <alignment horizontal="center"/>
    </xf>
    <xf numFmtId="0" fontId="3" fillId="0" borderId="10" xfId="1" applyFont="1" applyBorder="1" applyAlignment="1" applyProtection="1">
      <alignment horizontal="center" vertical="center"/>
    </xf>
    <xf numFmtId="0" fontId="7" fillId="0" borderId="10" xfId="1" applyFont="1" applyBorder="1" applyAlignment="1" applyProtection="1">
      <alignment horizontal="center" vertical="center"/>
      <protection locked="0"/>
    </xf>
    <xf numFmtId="0" fontId="3" fillId="3" borderId="10" xfId="1" applyFont="1" applyFill="1" applyBorder="1" applyAlignment="1">
      <alignment horizontal="center" vertical="center"/>
    </xf>
    <xf numFmtId="0" fontId="3" fillId="3" borderId="10" xfId="1" applyFont="1" applyFill="1" applyBorder="1" applyAlignment="1">
      <alignment horizontal="center" vertical="center" wrapText="1"/>
    </xf>
    <xf numFmtId="0" fontId="5" fillId="3" borderId="10" xfId="1" applyFont="1" applyFill="1" applyBorder="1" applyAlignment="1">
      <alignment horizontal="center" vertical="center"/>
    </xf>
    <xf numFmtId="0" fontId="2" fillId="2" borderId="0" xfId="1" applyFill="1" applyBorder="1" applyAlignment="1"/>
    <xf numFmtId="0" fontId="9" fillId="2" borderId="0" xfId="1" applyFont="1" applyFill="1" applyAlignment="1" applyProtection="1">
      <alignment horizontal="center"/>
      <protection locked="0"/>
    </xf>
    <xf numFmtId="0" fontId="9" fillId="2" borderId="0" xfId="1" applyFont="1" applyFill="1" applyBorder="1" applyAlignment="1"/>
    <xf numFmtId="0" fontId="9" fillId="0" borderId="0" xfId="1" applyFont="1" applyFill="1" applyBorder="1" applyAlignment="1"/>
    <xf numFmtId="0" fontId="2" fillId="2" borderId="0" xfId="1" applyFill="1" applyAlignment="1"/>
    <xf numFmtId="0" fontId="9" fillId="2" borderId="0" xfId="1" applyFont="1" applyFill="1"/>
    <xf numFmtId="0" fontId="2" fillId="0" borderId="38" xfId="1" applyFont="1" applyBorder="1" applyAlignment="1" applyProtection="1">
      <alignment horizontal="center"/>
      <protection locked="0"/>
    </xf>
    <xf numFmtId="2" fontId="2" fillId="0" borderId="38" xfId="1" applyNumberFormat="1" applyBorder="1" applyAlignment="1">
      <alignment horizontal="center"/>
    </xf>
    <xf numFmtId="2" fontId="2" fillId="0" borderId="40" xfId="1" applyNumberFormat="1" applyBorder="1" applyAlignment="1">
      <alignment horizontal="center"/>
    </xf>
    <xf numFmtId="0" fontId="5" fillId="2" borderId="0" xfId="1" applyFont="1" applyFill="1" applyBorder="1" applyAlignment="1" applyProtection="1">
      <alignment vertical="center" wrapText="1"/>
      <protection locked="0"/>
    </xf>
    <xf numFmtId="0" fontId="3" fillId="2" borderId="0" xfId="1" applyFont="1" applyFill="1" applyBorder="1" applyAlignment="1" applyProtection="1">
      <alignment vertical="center" wrapText="1"/>
      <protection locked="0"/>
    </xf>
    <xf numFmtId="0" fontId="2" fillId="0" borderId="0" xfId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2" fillId="2" borderId="0" xfId="1" applyFill="1" applyBorder="1" applyAlignment="1">
      <alignment horizontal="center" vertical="center"/>
    </xf>
    <xf numFmtId="0" fontId="10" fillId="0" borderId="0" xfId="1" applyFont="1" applyAlignment="1">
      <alignment horizontal="right"/>
    </xf>
    <xf numFmtId="0" fontId="2" fillId="3" borderId="53" xfId="1" applyFill="1" applyBorder="1" applyAlignment="1">
      <alignment horizontal="center" vertical="center"/>
    </xf>
    <xf numFmtId="0" fontId="2" fillId="6" borderId="54" xfId="1" applyFill="1" applyBorder="1" applyAlignment="1">
      <alignment horizontal="center"/>
    </xf>
    <xf numFmtId="0" fontId="2" fillId="3" borderId="54" xfId="1" applyFill="1" applyBorder="1" applyAlignment="1">
      <alignment horizontal="center" vertical="center"/>
    </xf>
    <xf numFmtId="0" fontId="5" fillId="3" borderId="54" xfId="1" applyFont="1" applyFill="1" applyBorder="1" applyProtection="1">
      <protection locked="0"/>
    </xf>
    <xf numFmtId="0" fontId="5" fillId="2" borderId="54" xfId="1" applyFont="1" applyFill="1" applyBorder="1" applyAlignment="1">
      <alignment horizontal="center"/>
    </xf>
    <xf numFmtId="0" fontId="5" fillId="3" borderId="54" xfId="1" applyFont="1" applyFill="1" applyBorder="1" applyAlignment="1" applyProtection="1">
      <alignment horizontal="left"/>
      <protection locked="0"/>
    </xf>
    <xf numFmtId="0" fontId="2" fillId="0" borderId="54" xfId="1" applyBorder="1" applyAlignment="1">
      <alignment horizontal="center" vertical="center"/>
    </xf>
    <xf numFmtId="0" fontId="7" fillId="0" borderId="51" xfId="1" applyFont="1" applyFill="1" applyBorder="1" applyProtection="1">
      <protection locked="0"/>
    </xf>
    <xf numFmtId="0" fontId="2" fillId="2" borderId="52" xfId="1" applyFill="1" applyBorder="1" applyAlignment="1">
      <alignment horizontal="center"/>
    </xf>
    <xf numFmtId="0" fontId="7" fillId="0" borderId="53" xfId="1" applyFont="1" applyFill="1" applyBorder="1" applyAlignment="1" applyProtection="1">
      <alignment horizontal="left"/>
      <protection locked="0"/>
    </xf>
    <xf numFmtId="0" fontId="2" fillId="0" borderId="53" xfId="1" applyBorder="1" applyAlignment="1">
      <alignment horizontal="center" vertical="center"/>
    </xf>
    <xf numFmtId="0" fontId="12" fillId="2" borderId="0" xfId="1" applyFont="1" applyFill="1"/>
    <xf numFmtId="0" fontId="2" fillId="0" borderId="0" xfId="1" applyAlignment="1">
      <alignment horizontal="center"/>
    </xf>
    <xf numFmtId="0" fontId="2" fillId="0" borderId="0" xfId="1" applyFill="1" applyProtection="1">
      <protection hidden="1"/>
    </xf>
    <xf numFmtId="0" fontId="2" fillId="6" borderId="0" xfId="1" applyFill="1" applyProtection="1">
      <protection hidden="1"/>
    </xf>
    <xf numFmtId="0" fontId="2" fillId="6" borderId="0" xfId="1" applyFill="1" applyAlignment="1" applyProtection="1">
      <alignment horizontal="left"/>
      <protection hidden="1"/>
    </xf>
    <xf numFmtId="0" fontId="2" fillId="0" borderId="0" xfId="1" applyFill="1" applyAlignment="1" applyProtection="1">
      <alignment horizontal="center"/>
      <protection hidden="1"/>
    </xf>
    <xf numFmtId="0" fontId="2" fillId="0" borderId="0" xfId="1" applyFill="1" applyAlignment="1" applyProtection="1">
      <alignment wrapText="1"/>
      <protection hidden="1"/>
    </xf>
    <xf numFmtId="0" fontId="2" fillId="0" borderId="0" xfId="1" applyFill="1" applyAlignment="1" applyProtection="1">
      <alignment horizontal="left"/>
      <protection hidden="1"/>
    </xf>
    <xf numFmtId="0" fontId="2" fillId="0" borderId="0" xfId="1" applyAlignment="1" applyProtection="1">
      <alignment horizontal="left"/>
    </xf>
    <xf numFmtId="0" fontId="2" fillId="0" borderId="0" xfId="1" applyAlignment="1" applyProtection="1">
      <alignment horizontal="center"/>
      <protection locked="0"/>
    </xf>
    <xf numFmtId="0" fontId="2" fillId="0" borderId="0" xfId="1" applyProtection="1">
      <protection hidden="1"/>
    </xf>
    <xf numFmtId="0" fontId="3" fillId="0" borderId="0" xfId="1" applyFont="1"/>
    <xf numFmtId="0" fontId="3" fillId="0" borderId="0" xfId="1" applyFont="1" applyProtection="1">
      <protection hidden="1"/>
    </xf>
    <xf numFmtId="0" fontId="2" fillId="0" borderId="0" xfId="1" applyAlignment="1" applyProtection="1">
      <alignment horizontal="center"/>
      <protection hidden="1"/>
    </xf>
    <xf numFmtId="0" fontId="13" fillId="0" borderId="0" xfId="1" applyFont="1"/>
    <xf numFmtId="2" fontId="13" fillId="0" borderId="0" xfId="1" applyNumberFormat="1" applyFont="1"/>
    <xf numFmtId="2" fontId="2" fillId="0" borderId="0" xfId="1" applyNumberFormat="1"/>
    <xf numFmtId="2" fontId="2" fillId="0" borderId="0" xfId="1" applyNumberFormat="1" applyAlignment="1" applyProtection="1">
      <alignment horizontal="left"/>
    </xf>
    <xf numFmtId="2" fontId="2" fillId="0" borderId="0" xfId="1" applyNumberFormat="1" applyAlignment="1" applyProtection="1">
      <alignment horizontal="center"/>
      <protection locked="0"/>
    </xf>
    <xf numFmtId="2" fontId="2" fillId="0" borderId="0" xfId="1" applyNumberFormat="1" applyProtection="1">
      <protection hidden="1"/>
    </xf>
    <xf numFmtId="2" fontId="2" fillId="0" borderId="0" xfId="1" applyNumberFormat="1" applyAlignment="1" applyProtection="1">
      <alignment horizontal="center"/>
      <protection hidden="1"/>
    </xf>
    <xf numFmtId="1" fontId="13" fillId="0" borderId="0" xfId="1" applyNumberFormat="1" applyFont="1"/>
    <xf numFmtId="1" fontId="2" fillId="0" borderId="0" xfId="1" applyNumberFormat="1"/>
    <xf numFmtId="1" fontId="2" fillId="0" borderId="0" xfId="1" applyNumberFormat="1" applyAlignment="1" applyProtection="1">
      <alignment horizontal="left"/>
    </xf>
    <xf numFmtId="1" fontId="2" fillId="0" borderId="0" xfId="1" applyNumberFormat="1" applyAlignment="1" applyProtection="1">
      <alignment horizontal="center"/>
      <protection locked="0"/>
    </xf>
    <xf numFmtId="1" fontId="2" fillId="0" borderId="0" xfId="1" applyNumberFormat="1" applyProtection="1">
      <protection hidden="1"/>
    </xf>
    <xf numFmtId="1" fontId="2" fillId="0" borderId="0" xfId="1" applyNumberFormat="1" applyAlignment="1" applyProtection="1">
      <alignment horizontal="center"/>
      <protection hidden="1"/>
    </xf>
    <xf numFmtId="0" fontId="2" fillId="0" borderId="0" xfId="1" applyAlignment="1" applyProtection="1">
      <alignment horizontal="left"/>
    </xf>
    <xf numFmtId="0" fontId="2" fillId="0" borderId="0" xfId="1" applyAlignment="1" applyProtection="1">
      <alignment horizontal="center"/>
      <protection locked="0"/>
    </xf>
    <xf numFmtId="0" fontId="2" fillId="0" borderId="43" xfId="1" applyBorder="1" applyProtection="1">
      <protection locked="0"/>
    </xf>
    <xf numFmtId="0" fontId="2" fillId="0" borderId="11" xfId="1" applyBorder="1" applyProtection="1">
      <protection locked="0"/>
    </xf>
    <xf numFmtId="0" fontId="2" fillId="0" borderId="0" xfId="1" applyFill="1" applyProtection="1">
      <protection locked="0"/>
    </xf>
    <xf numFmtId="0" fontId="15" fillId="0" borderId="0" xfId="1" applyFont="1" applyFill="1" applyBorder="1" applyAlignment="1">
      <alignment horizontal="center"/>
    </xf>
    <xf numFmtId="0" fontId="2" fillId="0" borderId="0" xfId="1" applyFont="1" applyAlignment="1">
      <alignment horizontal="left"/>
    </xf>
    <xf numFmtId="0" fontId="10" fillId="0" borderId="0" xfId="1" applyFont="1"/>
    <xf numFmtId="0" fontId="2" fillId="0" borderId="0" xfId="1" applyBorder="1"/>
    <xf numFmtId="0" fontId="2" fillId="0" borderId="0" xfId="1" applyBorder="1" applyAlignment="1">
      <alignment horizontal="center"/>
    </xf>
    <xf numFmtId="0" fontId="2" fillId="0" borderId="43" xfId="1" applyBorder="1"/>
    <xf numFmtId="0" fontId="10" fillId="0" borderId="0" xfId="1" applyFont="1" applyBorder="1" applyAlignment="1" applyProtection="1">
      <alignment horizontal="center"/>
      <protection locked="0"/>
    </xf>
    <xf numFmtId="0" fontId="2" fillId="0" borderId="44" xfId="1" applyBorder="1"/>
    <xf numFmtId="0" fontId="2" fillId="0" borderId="0" xfId="1" applyBorder="1" applyAlignment="1" applyProtection="1">
      <protection locked="0"/>
    </xf>
    <xf numFmtId="0" fontId="2" fillId="0" borderId="0" xfId="1" applyBorder="1" applyProtection="1">
      <protection locked="0"/>
    </xf>
    <xf numFmtId="0" fontId="15" fillId="0" borderId="0" xfId="1" applyFont="1" applyBorder="1" applyAlignment="1" applyProtection="1">
      <protection locked="0"/>
    </xf>
    <xf numFmtId="0" fontId="10" fillId="0" borderId="0" xfId="1" applyFont="1" applyBorder="1" applyAlignment="1" applyProtection="1">
      <protection locked="0"/>
    </xf>
    <xf numFmtId="0" fontId="2" fillId="0" borderId="0" xfId="1" applyBorder="1" applyAlignment="1" applyProtection="1">
      <alignment horizontal="center"/>
      <protection locked="0"/>
    </xf>
    <xf numFmtId="0" fontId="2" fillId="0" borderId="0" xfId="1" applyBorder="1" applyAlignment="1"/>
    <xf numFmtId="0" fontId="2" fillId="0" borderId="44" xfId="1" applyBorder="1" applyAlignment="1"/>
    <xf numFmtId="0" fontId="5" fillId="0" borderId="0" xfId="1" applyFont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ill="1" applyBorder="1"/>
    <xf numFmtId="0" fontId="3" fillId="3" borderId="18" xfId="1" applyFont="1" applyFill="1" applyBorder="1" applyAlignment="1" applyProtection="1">
      <alignment horizontal="right"/>
      <protection locked="0"/>
    </xf>
    <xf numFmtId="0" fontId="3" fillId="2" borderId="54" xfId="1" applyFont="1" applyFill="1" applyBorder="1" applyAlignment="1">
      <alignment horizontal="center"/>
    </xf>
    <xf numFmtId="0" fontId="3" fillId="3" borderId="54" xfId="1" applyFont="1" applyFill="1" applyBorder="1" applyAlignment="1" applyProtection="1">
      <alignment horizontal="left"/>
      <protection locked="0"/>
    </xf>
    <xf numFmtId="0" fontId="3" fillId="3" borderId="54" xfId="1" applyFont="1" applyFill="1" applyBorder="1" applyProtection="1">
      <protection locked="0"/>
    </xf>
    <xf numFmtId="0" fontId="3" fillId="3" borderId="54" xfId="1" applyFont="1" applyFill="1" applyBorder="1" applyProtection="1"/>
    <xf numFmtId="0" fontId="3" fillId="2" borderId="54" xfId="1" applyFont="1" applyFill="1" applyBorder="1" applyAlignment="1" applyProtection="1">
      <alignment horizontal="center"/>
    </xf>
    <xf numFmtId="0" fontId="3" fillId="3" borderId="19" xfId="1" applyFont="1" applyFill="1" applyBorder="1" applyAlignment="1" applyProtection="1">
      <alignment horizontal="left"/>
    </xf>
    <xf numFmtId="0" fontId="3" fillId="3" borderId="55" xfId="1" applyFont="1" applyFill="1" applyBorder="1" applyAlignment="1" applyProtection="1">
      <alignment horizontal="right"/>
      <protection locked="0"/>
    </xf>
    <xf numFmtId="0" fontId="3" fillId="2" borderId="52" xfId="1" applyFont="1" applyFill="1" applyBorder="1" applyAlignment="1">
      <alignment horizontal="center"/>
    </xf>
    <xf numFmtId="0" fontId="3" fillId="3" borderId="52" xfId="1" applyFont="1" applyFill="1" applyBorder="1" applyAlignment="1" applyProtection="1">
      <alignment horizontal="left"/>
      <protection locked="0"/>
    </xf>
    <xf numFmtId="0" fontId="3" fillId="0" borderId="27" xfId="1" applyFont="1" applyFill="1" applyBorder="1" applyAlignment="1">
      <alignment horizontal="center"/>
    </xf>
    <xf numFmtId="0" fontId="3" fillId="0" borderId="28" xfId="1" applyFont="1" applyFill="1" applyBorder="1" applyAlignment="1">
      <alignment horizontal="center"/>
    </xf>
    <xf numFmtId="0" fontId="3" fillId="0" borderId="29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2" fillId="0" borderId="55" xfId="1" applyFill="1" applyBorder="1" applyProtection="1">
      <protection locked="0"/>
    </xf>
    <xf numFmtId="0" fontId="2" fillId="0" borderId="53" xfId="1" applyFill="1" applyBorder="1" applyAlignment="1" applyProtection="1">
      <alignment horizontal="left"/>
      <protection locked="0"/>
    </xf>
    <xf numFmtId="0" fontId="2" fillId="0" borderId="51" xfId="1" applyFill="1" applyBorder="1" applyProtection="1">
      <protection locked="0"/>
    </xf>
    <xf numFmtId="0" fontId="2" fillId="0" borderId="56" xfId="1" applyFill="1" applyBorder="1" applyAlignment="1" applyProtection="1">
      <alignment horizontal="left"/>
      <protection locked="0"/>
    </xf>
    <xf numFmtId="0" fontId="2" fillId="0" borderId="0" xfId="1" applyFill="1" applyBorder="1" applyAlignment="1"/>
    <xf numFmtId="0" fontId="2" fillId="0" borderId="31" xfId="1" applyFill="1" applyBorder="1" applyProtection="1">
      <protection locked="0"/>
    </xf>
    <xf numFmtId="0" fontId="2" fillId="2" borderId="32" xfId="1" applyFill="1" applyBorder="1" applyAlignment="1">
      <alignment horizontal="center"/>
    </xf>
    <xf numFmtId="0" fontId="2" fillId="0" borderId="33" xfId="1" applyFill="1" applyBorder="1" applyAlignment="1" applyProtection="1">
      <alignment horizontal="left"/>
      <protection locked="0"/>
    </xf>
    <xf numFmtId="0" fontId="2" fillId="0" borderId="57" xfId="1" applyFill="1" applyBorder="1" applyProtection="1">
      <protection locked="0"/>
    </xf>
    <xf numFmtId="0" fontId="2" fillId="0" borderId="58" xfId="1" applyFill="1" applyBorder="1" applyAlignment="1" applyProtection="1">
      <alignment horizontal="left"/>
      <protection locked="0"/>
    </xf>
    <xf numFmtId="0" fontId="2" fillId="0" borderId="0" xfId="1" applyFill="1" applyBorder="1" applyAlignment="1">
      <alignment horizontal="center"/>
    </xf>
    <xf numFmtId="0" fontId="2" fillId="0" borderId="0" xfId="1" applyAlignment="1"/>
    <xf numFmtId="0" fontId="2" fillId="0" borderId="0" xfId="1" applyAlignment="1">
      <alignment horizontal="center"/>
    </xf>
    <xf numFmtId="0" fontId="2" fillId="0" borderId="0" xfId="1" applyBorder="1" applyAlignment="1">
      <alignment horizontal="center"/>
    </xf>
    <xf numFmtId="0" fontId="2" fillId="14" borderId="18" xfId="1" applyFont="1" applyFill="1" applyBorder="1" applyAlignment="1" applyProtection="1">
      <alignment horizontal="center"/>
      <protection locked="0"/>
    </xf>
    <xf numFmtId="0" fontId="2" fillId="14" borderId="54" xfId="1" applyFill="1" applyBorder="1" applyAlignment="1" applyProtection="1">
      <alignment horizontal="center"/>
      <protection locked="0"/>
    </xf>
    <xf numFmtId="0" fontId="2" fillId="14" borderId="51" xfId="1" applyFill="1" applyBorder="1" applyAlignment="1" applyProtection="1">
      <alignment horizontal="center"/>
      <protection locked="0"/>
    </xf>
    <xf numFmtId="0" fontId="2" fillId="14" borderId="19" xfId="1" applyFill="1" applyBorder="1" applyAlignment="1" applyProtection="1">
      <alignment horizontal="center"/>
      <protection locked="0"/>
    </xf>
    <xf numFmtId="2" fontId="2" fillId="14" borderId="18" xfId="1" applyNumberFormat="1" applyFill="1" applyBorder="1" applyAlignment="1">
      <alignment horizontal="center"/>
    </xf>
    <xf numFmtId="2" fontId="2" fillId="14" borderId="19" xfId="1" applyNumberFormat="1" applyFill="1" applyBorder="1" applyAlignment="1">
      <alignment horizontal="center"/>
    </xf>
    <xf numFmtId="0" fontId="2" fillId="14" borderId="38" xfId="1" applyFont="1" applyFill="1" applyBorder="1" applyAlignment="1" applyProtection="1">
      <alignment horizontal="center"/>
      <protection locked="0"/>
    </xf>
    <xf numFmtId="0" fontId="2" fillId="14" borderId="41" xfId="1" applyFill="1" applyBorder="1" applyAlignment="1" applyProtection="1">
      <alignment horizontal="center"/>
      <protection locked="0"/>
    </xf>
    <xf numFmtId="0" fontId="2" fillId="14" borderId="59" xfId="1" applyFill="1" applyBorder="1" applyAlignment="1" applyProtection="1">
      <alignment horizontal="center"/>
      <protection locked="0"/>
    </xf>
    <xf numFmtId="0" fontId="2" fillId="14" borderId="40" xfId="1" applyFill="1" applyBorder="1" applyAlignment="1" applyProtection="1">
      <alignment horizontal="center"/>
      <protection locked="0"/>
    </xf>
    <xf numFmtId="2" fontId="2" fillId="14" borderId="38" xfId="1" applyNumberFormat="1" applyFill="1" applyBorder="1" applyAlignment="1">
      <alignment horizontal="center"/>
    </xf>
    <xf numFmtId="2" fontId="2" fillId="14" borderId="40" xfId="1" applyNumberFormat="1" applyFill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0" xfId="0" applyFont="1" applyBorder="1" applyAlignment="1" applyProtection="1">
      <alignment vertical="top"/>
      <protection locked="0"/>
    </xf>
    <xf numFmtId="0" fontId="20" fillId="0" borderId="14" xfId="0" applyFont="1" applyBorder="1" applyAlignment="1" applyProtection="1">
      <alignment vertical="top"/>
      <protection locked="0"/>
    </xf>
    <xf numFmtId="0" fontId="21" fillId="0" borderId="61" xfId="0" applyFont="1" applyBorder="1" applyAlignment="1" applyProtection="1">
      <alignment horizontal="left" vertical="top" wrapText="1"/>
      <protection locked="0"/>
    </xf>
    <xf numFmtId="0" fontId="3" fillId="0" borderId="6" xfId="1" applyFont="1" applyBorder="1" applyAlignment="1" applyProtection="1">
      <protection locked="0"/>
    </xf>
    <xf numFmtId="0" fontId="2" fillId="0" borderId="0" xfId="1" applyFill="1" applyBorder="1" applyAlignment="1" applyProtection="1">
      <protection locked="0"/>
    </xf>
    <xf numFmtId="0" fontId="10" fillId="0" borderId="0" xfId="1" applyFont="1" applyFill="1" applyBorder="1" applyAlignment="1" applyProtection="1">
      <alignment horizontal="center"/>
      <protection locked="0"/>
    </xf>
    <xf numFmtId="0" fontId="10" fillId="0" borderId="0" xfId="1" applyFont="1" applyFill="1" applyBorder="1" applyAlignment="1" applyProtection="1">
      <protection locked="0"/>
    </xf>
    <xf numFmtId="0" fontId="15" fillId="0" borderId="0" xfId="1" applyFont="1" applyFill="1" applyBorder="1" applyAlignment="1"/>
    <xf numFmtId="0" fontId="2" fillId="0" borderId="0" xfId="1" applyFill="1" applyBorder="1" applyAlignment="1" applyProtection="1"/>
    <xf numFmtId="0" fontId="15" fillId="0" borderId="0" xfId="1" applyFont="1" applyFill="1" applyBorder="1" applyAlignment="1" applyProtection="1">
      <protection locked="0"/>
    </xf>
    <xf numFmtId="0" fontId="5" fillId="0" borderId="0" xfId="1" applyFont="1" applyFill="1" applyBorder="1" applyAlignment="1" applyProtection="1">
      <protection locked="0"/>
    </xf>
    <xf numFmtId="20" fontId="2" fillId="0" borderId="0" xfId="1" applyNumberFormat="1" applyFill="1" applyBorder="1" applyAlignment="1" applyProtection="1">
      <protection locked="0"/>
    </xf>
    <xf numFmtId="0" fontId="10" fillId="0" borderId="0" xfId="1" applyFont="1" applyFill="1" applyBorder="1" applyAlignment="1"/>
    <xf numFmtId="1" fontId="2" fillId="0" borderId="0" xfId="1" applyNumberFormat="1" applyFill="1" applyBorder="1" applyAlignment="1" applyProtection="1">
      <protection locked="0"/>
    </xf>
    <xf numFmtId="0" fontId="3" fillId="0" borderId="0" xfId="1" applyFont="1" applyFill="1" applyBorder="1" applyAlignment="1"/>
    <xf numFmtId="0" fontId="3" fillId="0" borderId="0" xfId="1" applyFont="1" applyFill="1" applyBorder="1" applyAlignment="1" applyProtection="1">
      <alignment horizontal="right"/>
      <protection locked="0"/>
    </xf>
    <xf numFmtId="0" fontId="3" fillId="0" borderId="0" xfId="1" applyFont="1" applyFill="1" applyBorder="1" applyAlignment="1">
      <alignment horizontal="center"/>
    </xf>
    <xf numFmtId="0" fontId="3" fillId="0" borderId="0" xfId="1" applyFont="1" applyFill="1" applyBorder="1" applyAlignment="1" applyProtection="1">
      <alignment horizontal="left"/>
      <protection locked="0"/>
    </xf>
    <xf numFmtId="0" fontId="3" fillId="0" borderId="0" xfId="1" applyFont="1" applyFill="1" applyBorder="1" applyProtection="1">
      <protection locked="0"/>
    </xf>
    <xf numFmtId="0" fontId="3" fillId="0" borderId="0" xfId="1" applyFont="1" applyFill="1" applyBorder="1" applyProtection="1"/>
    <xf numFmtId="0" fontId="3" fillId="0" borderId="0" xfId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left"/>
    </xf>
    <xf numFmtId="0" fontId="2" fillId="0" borderId="0" xfId="1" applyFill="1" applyBorder="1" applyAlignment="1">
      <alignment horizontal="right"/>
    </xf>
    <xf numFmtId="0" fontId="2" fillId="0" borderId="0" xfId="1" applyFill="1" applyBorder="1" applyProtection="1">
      <protection locked="0"/>
    </xf>
    <xf numFmtId="0" fontId="2" fillId="0" borderId="0" xfId="1" applyFill="1" applyBorder="1" applyAlignment="1" applyProtection="1">
      <alignment horizontal="left"/>
      <protection locked="0"/>
    </xf>
    <xf numFmtId="0" fontId="18" fillId="0" borderId="0" xfId="1" applyFont="1" applyFill="1" applyBorder="1" applyAlignment="1" applyProtection="1">
      <alignment vertical="center"/>
    </xf>
    <xf numFmtId="0" fontId="19" fillId="35" borderId="0" xfId="6" applyFont="1" applyFill="1" applyBorder="1" applyAlignment="1">
      <alignment wrapText="1"/>
    </xf>
    <xf numFmtId="165" fontId="19" fillId="35" borderId="0" xfId="6" applyNumberFormat="1" applyFont="1" applyFill="1" applyBorder="1" applyAlignment="1">
      <alignment wrapText="1"/>
    </xf>
    <xf numFmtId="14" fontId="19" fillId="0" borderId="0" xfId="4" applyNumberFormat="1" applyFont="1" applyAlignment="1">
      <alignment wrapText="1"/>
    </xf>
    <xf numFmtId="0" fontId="19" fillId="0" borderId="0" xfId="4" applyFont="1" applyAlignment="1">
      <alignment wrapText="1"/>
    </xf>
    <xf numFmtId="0" fontId="1" fillId="0" borderId="0" xfId="4"/>
    <xf numFmtId="0" fontId="1" fillId="35" borderId="0" xfId="6" applyFill="1" applyBorder="1"/>
    <xf numFmtId="0" fontId="22" fillId="35" borderId="0" xfId="6" applyFont="1" applyFill="1" applyBorder="1"/>
    <xf numFmtId="165" fontId="1" fillId="35" borderId="0" xfId="6" applyNumberFormat="1" applyFill="1" applyBorder="1"/>
    <xf numFmtId="0" fontId="2" fillId="0" borderId="14" xfId="5" applyFont="1" applyBorder="1" applyAlignment="1" applyProtection="1">
      <alignment vertical="top"/>
      <protection locked="0"/>
    </xf>
    <xf numFmtId="0" fontId="24" fillId="4" borderId="62" xfId="9" applyFont="1" applyFill="1" applyBorder="1" applyAlignment="1" applyProtection="1">
      <alignment vertical="center" wrapText="1"/>
      <protection locked="0"/>
    </xf>
    <xf numFmtId="0" fontId="16" fillId="4" borderId="62" xfId="0" applyFont="1" applyFill="1" applyBorder="1" applyAlignment="1" applyProtection="1">
      <alignment vertical="center" wrapText="1"/>
      <protection locked="0"/>
    </xf>
    <xf numFmtId="0" fontId="2" fillId="36" borderId="0" xfId="1" applyFill="1"/>
    <xf numFmtId="0" fontId="3" fillId="0" borderId="6" xfId="1" applyFont="1" applyBorder="1" applyAlignment="1" applyProtection="1">
      <alignment horizontal="center"/>
      <protection locked="0"/>
    </xf>
    <xf numFmtId="0" fontId="2" fillId="0" borderId="14" xfId="10" applyFont="1" applyBorder="1" applyAlignment="1" applyProtection="1">
      <alignment vertical="top"/>
      <protection locked="0"/>
    </xf>
    <xf numFmtId="0" fontId="2" fillId="37" borderId="18" xfId="1" applyFont="1" applyFill="1" applyBorder="1" applyAlignment="1" applyProtection="1">
      <alignment horizontal="center"/>
      <protection locked="0"/>
    </xf>
    <xf numFmtId="0" fontId="2" fillId="37" borderId="54" xfId="1" applyFill="1" applyBorder="1" applyAlignment="1" applyProtection="1">
      <alignment horizontal="center"/>
      <protection locked="0"/>
    </xf>
    <xf numFmtId="0" fontId="2" fillId="37" borderId="19" xfId="1" applyFill="1" applyBorder="1" applyAlignment="1" applyProtection="1">
      <alignment horizontal="center"/>
      <protection locked="0"/>
    </xf>
    <xf numFmtId="0" fontId="2" fillId="14" borderId="35" xfId="1" applyFont="1" applyFill="1" applyBorder="1" applyAlignment="1" applyProtection="1">
      <alignment horizontal="center"/>
      <protection locked="0"/>
    </xf>
    <xf numFmtId="0" fontId="2" fillId="14" borderId="36" xfId="1" applyFill="1" applyBorder="1" applyAlignment="1" applyProtection="1">
      <alignment horizontal="center"/>
      <protection locked="0"/>
    </xf>
    <xf numFmtId="0" fontId="2" fillId="14" borderId="39" xfId="1" applyFill="1" applyBorder="1" applyAlignment="1" applyProtection="1">
      <alignment horizontal="center"/>
      <protection locked="0"/>
    </xf>
    <xf numFmtId="0" fontId="2" fillId="2" borderId="1" xfId="1" applyFill="1" applyBorder="1" applyAlignment="1" applyProtection="1">
      <alignment horizontal="center"/>
    </xf>
    <xf numFmtId="0" fontId="3" fillId="0" borderId="2" xfId="1" applyFont="1" applyBorder="1" applyAlignment="1" applyProtection="1">
      <alignment horizontal="center"/>
      <protection locked="0"/>
    </xf>
    <xf numFmtId="0" fontId="3" fillId="0" borderId="3" xfId="1" applyFont="1" applyBorder="1" applyAlignment="1" applyProtection="1">
      <alignment horizontal="center"/>
      <protection locked="0"/>
    </xf>
    <xf numFmtId="0" fontId="3" fillId="0" borderId="4" xfId="1" applyFont="1" applyBorder="1" applyAlignment="1" applyProtection="1">
      <alignment horizontal="center"/>
      <protection locked="0"/>
    </xf>
    <xf numFmtId="0" fontId="4" fillId="3" borderId="2" xfId="1" applyFont="1" applyFill="1" applyBorder="1" applyAlignment="1" applyProtection="1">
      <alignment horizontal="center"/>
      <protection locked="0"/>
    </xf>
    <xf numFmtId="0" fontId="4" fillId="3" borderId="3" xfId="1" applyFont="1" applyFill="1" applyBorder="1" applyAlignment="1" applyProtection="1">
      <alignment horizontal="center"/>
      <protection locked="0"/>
    </xf>
    <xf numFmtId="0" fontId="4" fillId="3" borderId="4" xfId="1" applyFont="1" applyFill="1" applyBorder="1" applyAlignment="1" applyProtection="1">
      <alignment horizont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3" xfId="1" applyFont="1" applyBorder="1" applyAlignment="1" applyProtection="1">
      <alignment horizontal="center" vertical="center"/>
      <protection locked="0"/>
    </xf>
    <xf numFmtId="0" fontId="5" fillId="0" borderId="4" xfId="1" applyFont="1" applyBorder="1" applyAlignment="1" applyProtection="1">
      <alignment horizontal="center" vertical="center"/>
      <protection locked="0"/>
    </xf>
    <xf numFmtId="0" fontId="6" fillId="3" borderId="2" xfId="1" applyFont="1" applyFill="1" applyBorder="1" applyAlignment="1" applyProtection="1">
      <alignment horizontal="center"/>
      <protection locked="0"/>
    </xf>
    <xf numFmtId="0" fontId="6" fillId="3" borderId="3" xfId="1" applyFont="1" applyFill="1" applyBorder="1" applyAlignment="1" applyProtection="1">
      <alignment horizontal="center"/>
      <protection locked="0"/>
    </xf>
    <xf numFmtId="0" fontId="6" fillId="3" borderId="4" xfId="1" applyFont="1" applyFill="1" applyBorder="1" applyAlignment="1" applyProtection="1">
      <alignment horizontal="center"/>
      <protection locked="0"/>
    </xf>
    <xf numFmtId="0" fontId="2" fillId="0" borderId="3" xfId="1" applyBorder="1" applyAlignment="1" applyProtection="1">
      <alignment horizontal="center"/>
      <protection locked="0"/>
    </xf>
    <xf numFmtId="0" fontId="2" fillId="0" borderId="4" xfId="1" applyBorder="1" applyAlignment="1" applyProtection="1">
      <alignment horizontal="center"/>
      <protection locked="0"/>
    </xf>
    <xf numFmtId="0" fontId="3" fillId="3" borderId="2" xfId="1" applyFont="1" applyFill="1" applyBorder="1" applyAlignment="1" applyProtection="1">
      <alignment horizontal="center" vertical="center"/>
      <protection locked="0"/>
    </xf>
    <xf numFmtId="0" fontId="3" fillId="3" borderId="3" xfId="1" applyFont="1" applyFill="1" applyBorder="1" applyAlignment="1" applyProtection="1">
      <alignment horizontal="center" vertical="center"/>
      <protection locked="0"/>
    </xf>
    <xf numFmtId="0" fontId="3" fillId="3" borderId="4" xfId="1" applyFont="1" applyFill="1" applyBorder="1" applyAlignment="1" applyProtection="1">
      <alignment horizontal="center" vertical="center"/>
      <protection locked="0"/>
    </xf>
    <xf numFmtId="0" fontId="3" fillId="0" borderId="2" xfId="1" applyFont="1" applyFill="1" applyBorder="1" applyAlignment="1" applyProtection="1">
      <alignment horizontal="center" vertical="center"/>
      <protection locked="0"/>
    </xf>
    <xf numFmtId="0" fontId="3" fillId="0" borderId="3" xfId="1" applyFont="1" applyFill="1" applyBorder="1" applyAlignment="1" applyProtection="1">
      <alignment horizontal="center" vertical="center"/>
      <protection locked="0"/>
    </xf>
    <xf numFmtId="0" fontId="3" fillId="0" borderId="4" xfId="1" applyFont="1" applyFill="1" applyBorder="1" applyAlignment="1" applyProtection="1">
      <alignment horizontal="center" vertical="center"/>
      <protection locked="0"/>
    </xf>
    <xf numFmtId="0" fontId="2" fillId="0" borderId="2" xfId="1" applyBorder="1" applyAlignment="1" applyProtection="1">
      <alignment horizontal="center"/>
      <protection locked="0"/>
    </xf>
    <xf numFmtId="0" fontId="6" fillId="0" borderId="2" xfId="1" applyFont="1" applyFill="1" applyBorder="1" applyAlignment="1" applyProtection="1">
      <alignment horizontal="center" wrapText="1"/>
      <protection locked="0"/>
    </xf>
    <xf numFmtId="0" fontId="6" fillId="0" borderId="3" xfId="1" applyFont="1" applyFill="1" applyBorder="1" applyAlignment="1" applyProtection="1">
      <alignment horizontal="center" wrapText="1"/>
      <protection locked="0"/>
    </xf>
    <xf numFmtId="0" fontId="6" fillId="0" borderId="4" xfId="1" applyFont="1" applyFill="1" applyBorder="1" applyAlignment="1" applyProtection="1">
      <alignment horizontal="center" wrapText="1"/>
      <protection locked="0"/>
    </xf>
    <xf numFmtId="0" fontId="6" fillId="3" borderId="11" xfId="1" applyFont="1" applyFill="1" applyBorder="1" applyAlignment="1" applyProtection="1">
      <alignment horizontal="center" vertical="center" wrapText="1"/>
      <protection locked="0"/>
    </xf>
    <xf numFmtId="0" fontId="6" fillId="3" borderId="1" xfId="1" applyFont="1" applyFill="1" applyBorder="1" applyAlignment="1" applyProtection="1">
      <alignment horizontal="center" vertical="center" wrapText="1"/>
      <protection locked="0"/>
    </xf>
    <xf numFmtId="0" fontId="2" fillId="0" borderId="11" xfId="1" applyBorder="1" applyAlignment="1" applyProtection="1">
      <alignment horizontal="center"/>
      <protection locked="0"/>
    </xf>
    <xf numFmtId="0" fontId="2" fillId="0" borderId="1" xfId="1" applyBorder="1" applyAlignment="1" applyProtection="1">
      <alignment horizontal="center"/>
      <protection locked="0"/>
    </xf>
    <xf numFmtId="0" fontId="2" fillId="0" borderId="12" xfId="1" applyBorder="1" applyAlignment="1" applyProtection="1">
      <alignment horizontal="center"/>
      <protection locked="0"/>
    </xf>
    <xf numFmtId="0" fontId="6" fillId="3" borderId="2" xfId="1" applyFont="1" applyFill="1" applyBorder="1" applyAlignment="1" applyProtection="1">
      <alignment horizontal="center" wrapText="1"/>
      <protection locked="0"/>
    </xf>
    <xf numFmtId="0" fontId="6" fillId="3" borderId="3" xfId="1" applyFont="1" applyFill="1" applyBorder="1" applyAlignment="1" applyProtection="1">
      <alignment horizontal="center" wrapText="1"/>
      <protection locked="0"/>
    </xf>
    <xf numFmtId="0" fontId="6" fillId="3" borderId="4" xfId="1" applyFont="1" applyFill="1" applyBorder="1" applyAlignment="1" applyProtection="1">
      <alignment horizontal="center" wrapText="1"/>
      <protection locked="0"/>
    </xf>
    <xf numFmtId="0" fontId="2" fillId="0" borderId="2" xfId="1" applyBorder="1" applyAlignment="1" applyProtection="1">
      <alignment horizontal="center" vertical="center" wrapText="1"/>
      <protection locked="0"/>
    </xf>
    <xf numFmtId="0" fontId="2" fillId="0" borderId="3" xfId="1" applyBorder="1" applyAlignment="1" applyProtection="1">
      <alignment horizontal="center" vertical="center" wrapText="1"/>
      <protection locked="0"/>
    </xf>
    <xf numFmtId="0" fontId="2" fillId="0" borderId="4" xfId="1" applyBorder="1" applyAlignment="1" applyProtection="1">
      <alignment horizontal="center" vertical="center" wrapText="1"/>
      <protection locked="0"/>
    </xf>
    <xf numFmtId="0" fontId="6" fillId="0" borderId="21" xfId="1" applyFont="1" applyBorder="1" applyAlignment="1">
      <alignment horizontal="center" vertical="center"/>
    </xf>
    <xf numFmtId="0" fontId="6" fillId="0" borderId="30" xfId="1" applyFont="1" applyBorder="1" applyAlignment="1">
      <alignment horizontal="center" vertical="center"/>
    </xf>
    <xf numFmtId="0" fontId="10" fillId="0" borderId="22" xfId="1" applyFont="1" applyBorder="1" applyAlignment="1" applyProtection="1">
      <alignment horizontal="center" vertical="center"/>
    </xf>
    <xf numFmtId="0" fontId="10" fillId="0" borderId="23" xfId="1" applyFont="1" applyBorder="1" applyAlignment="1" applyProtection="1">
      <alignment horizontal="center" vertical="center"/>
    </xf>
    <xf numFmtId="0" fontId="10" fillId="0" borderId="24" xfId="1" applyFont="1" applyBorder="1" applyAlignment="1" applyProtection="1">
      <alignment horizontal="center" vertical="center"/>
    </xf>
    <xf numFmtId="0" fontId="3" fillId="0" borderId="25" xfId="1" applyFont="1" applyBorder="1" applyAlignment="1" applyProtection="1">
      <alignment horizontal="center" vertical="center" shrinkToFit="1"/>
    </xf>
    <xf numFmtId="0" fontId="3" fillId="0" borderId="23" xfId="1" applyFont="1" applyBorder="1" applyAlignment="1" applyProtection="1">
      <alignment horizontal="center" vertical="center" shrinkToFit="1"/>
    </xf>
    <xf numFmtId="0" fontId="3" fillId="0" borderId="26" xfId="1" applyFont="1" applyBorder="1" applyAlignment="1" applyProtection="1">
      <alignment horizontal="center" vertical="center" shrinkToFit="1"/>
    </xf>
    <xf numFmtId="0" fontId="11" fillId="0" borderId="27" xfId="1" applyFont="1" applyBorder="1" applyAlignment="1">
      <alignment horizontal="center" vertical="center"/>
    </xf>
    <xf numFmtId="0" fontId="11" fillId="0" borderId="28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10" fontId="2" fillId="0" borderId="27" xfId="1" applyNumberFormat="1" applyFont="1" applyBorder="1" applyAlignment="1">
      <alignment horizontal="center" vertical="center"/>
    </xf>
    <xf numFmtId="10" fontId="2" fillId="0" borderId="28" xfId="1" applyNumberFormat="1" applyFont="1" applyBorder="1" applyAlignment="1">
      <alignment horizontal="center" vertical="center"/>
    </xf>
    <xf numFmtId="10" fontId="2" fillId="0" borderId="11" xfId="1" applyNumberFormat="1" applyFont="1" applyBorder="1" applyAlignment="1">
      <alignment horizontal="center" vertical="center"/>
    </xf>
    <xf numFmtId="10" fontId="2" fillId="0" borderId="1" xfId="1" applyNumberFormat="1" applyFont="1" applyBorder="1" applyAlignment="1">
      <alignment horizontal="center" vertical="center"/>
    </xf>
    <xf numFmtId="0" fontId="7" fillId="2" borderId="1" xfId="1" applyFont="1" applyFill="1" applyBorder="1" applyAlignment="1" applyProtection="1">
      <alignment horizontal="left"/>
    </xf>
    <xf numFmtId="0" fontId="7" fillId="2" borderId="0" xfId="1" applyFont="1" applyFill="1" applyBorder="1" applyAlignment="1" applyProtection="1">
      <alignment horizontal="left"/>
    </xf>
    <xf numFmtId="0" fontId="2" fillId="2" borderId="0" xfId="1" applyFill="1" applyBorder="1" applyAlignment="1" applyProtection="1">
      <alignment horizontal="center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7" fillId="0" borderId="2" xfId="1" applyFont="1" applyBorder="1" applyAlignment="1" applyProtection="1">
      <alignment horizontal="center" vertical="center"/>
      <protection locked="0"/>
    </xf>
    <xf numFmtId="0" fontId="7" fillId="0" borderId="4" xfId="1" applyFont="1" applyBorder="1" applyAlignment="1" applyProtection="1">
      <alignment horizontal="center" vertical="center"/>
      <protection locked="0"/>
    </xf>
    <xf numFmtId="0" fontId="5" fillId="5" borderId="2" xfId="1" applyFont="1" applyFill="1" applyBorder="1" applyAlignment="1">
      <alignment horizontal="center" vertical="center" shrinkToFit="1"/>
    </xf>
    <xf numFmtId="0" fontId="5" fillId="5" borderId="3" xfId="1" applyFont="1" applyFill="1" applyBorder="1" applyAlignment="1">
      <alignment horizontal="center" vertical="center" shrinkToFit="1"/>
    </xf>
    <xf numFmtId="0" fontId="5" fillId="5" borderId="4" xfId="1" applyFont="1" applyFill="1" applyBorder="1" applyAlignment="1">
      <alignment horizontal="center" vertical="center" shrinkToFit="1"/>
    </xf>
    <xf numFmtId="0" fontId="3" fillId="3" borderId="2" xfId="1" applyFont="1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2" fillId="0" borderId="3" xfId="1" applyBorder="1"/>
    <xf numFmtId="0" fontId="2" fillId="0" borderId="4" xfId="1" applyBorder="1"/>
    <xf numFmtId="0" fontId="8" fillId="3" borderId="2" xfId="1" applyFont="1" applyFill="1" applyBorder="1" applyAlignment="1">
      <alignment horizontal="center" vertical="center" wrapText="1"/>
    </xf>
    <xf numFmtId="0" fontId="8" fillId="3" borderId="3" xfId="1" applyFont="1" applyFill="1" applyBorder="1" applyAlignment="1">
      <alignment horizontal="center" vertical="center" wrapText="1"/>
    </xf>
    <xf numFmtId="0" fontId="8" fillId="3" borderId="4" xfId="1" applyFont="1" applyFill="1" applyBorder="1" applyAlignment="1">
      <alignment horizontal="center" vertical="center" wrapText="1"/>
    </xf>
    <xf numFmtId="164" fontId="2" fillId="0" borderId="27" xfId="1" applyNumberFormat="1" applyFont="1" applyBorder="1" applyAlignment="1" applyProtection="1">
      <alignment horizontal="center" vertical="center"/>
    </xf>
    <xf numFmtId="164" fontId="2" fillId="0" borderId="28" xfId="1" applyNumberFormat="1" applyFont="1" applyBorder="1" applyAlignment="1" applyProtection="1">
      <alignment horizontal="center" vertical="center"/>
    </xf>
    <xf numFmtId="164" fontId="2" fillId="0" borderId="29" xfId="1" applyNumberFormat="1" applyFont="1" applyBorder="1" applyAlignment="1" applyProtection="1">
      <alignment horizontal="center" vertical="center"/>
    </xf>
    <xf numFmtId="164" fontId="2" fillId="0" borderId="11" xfId="1" applyNumberFormat="1" applyFont="1" applyBorder="1" applyAlignment="1" applyProtection="1">
      <alignment horizontal="center" vertical="center"/>
    </xf>
    <xf numFmtId="164" fontId="2" fillId="0" borderId="1" xfId="1" applyNumberFormat="1" applyFont="1" applyBorder="1" applyAlignment="1" applyProtection="1">
      <alignment horizontal="center" vertical="center"/>
    </xf>
    <xf numFmtId="164" fontId="2" fillId="0" borderId="12" xfId="1" applyNumberFormat="1" applyFont="1" applyBorder="1" applyAlignment="1" applyProtection="1">
      <alignment horizontal="center" vertical="center"/>
    </xf>
    <xf numFmtId="0" fontId="11" fillId="0" borderId="21" xfId="1" applyFont="1" applyBorder="1" applyAlignment="1" applyProtection="1">
      <alignment horizontal="center" vertical="center"/>
      <protection locked="0"/>
    </xf>
    <xf numFmtId="0" fontId="11" fillId="0" borderId="30" xfId="1" applyFont="1" applyBorder="1" applyAlignment="1" applyProtection="1">
      <alignment horizontal="center" vertical="center"/>
      <protection locked="0"/>
    </xf>
    <xf numFmtId="0" fontId="11" fillId="6" borderId="27" xfId="1" applyFont="1" applyFill="1" applyBorder="1" applyAlignment="1" applyProtection="1">
      <alignment horizontal="center" vertical="center"/>
      <protection locked="0"/>
    </xf>
    <xf numFmtId="0" fontId="11" fillId="6" borderId="29" xfId="1" applyFont="1" applyFill="1" applyBorder="1" applyAlignment="1" applyProtection="1">
      <alignment horizontal="center" vertical="center"/>
      <protection locked="0"/>
    </xf>
    <xf numFmtId="0" fontId="11" fillId="6" borderId="11" xfId="1" applyFont="1" applyFill="1" applyBorder="1" applyAlignment="1" applyProtection="1">
      <alignment horizontal="center" vertical="center"/>
      <protection locked="0"/>
    </xf>
    <xf numFmtId="0" fontId="11" fillId="6" borderId="12" xfId="1" applyFont="1" applyFill="1" applyBorder="1" applyAlignment="1" applyProtection="1">
      <alignment horizontal="center" vertical="center"/>
      <protection locked="0"/>
    </xf>
    <xf numFmtId="0" fontId="10" fillId="0" borderId="31" xfId="1" applyFont="1" applyBorder="1" applyAlignment="1" applyProtection="1">
      <alignment horizontal="center" vertical="center"/>
    </xf>
    <xf numFmtId="0" fontId="10" fillId="0" borderId="32" xfId="1" applyFont="1" applyBorder="1" applyAlignment="1" applyProtection="1">
      <alignment horizontal="center" vertical="center"/>
    </xf>
    <xf numFmtId="0" fontId="10" fillId="0" borderId="33" xfId="1" applyFont="1" applyBorder="1" applyAlignment="1" applyProtection="1">
      <alignment horizontal="center" vertical="center"/>
    </xf>
    <xf numFmtId="0" fontId="2" fillId="0" borderId="34" xfId="1" applyFont="1" applyBorder="1" applyAlignment="1" applyProtection="1">
      <alignment horizontal="center" vertical="center" shrinkToFit="1"/>
    </xf>
    <xf numFmtId="0" fontId="2" fillId="0" borderId="1" xfId="1" applyFont="1" applyBorder="1" applyAlignment="1" applyProtection="1">
      <alignment horizontal="center" vertical="center" shrinkToFi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3" fillId="6" borderId="2" xfId="1" applyFont="1" applyFill="1" applyBorder="1" applyAlignment="1">
      <alignment horizontal="center" vertical="center" wrapText="1"/>
    </xf>
    <xf numFmtId="0" fontId="3" fillId="6" borderId="4" xfId="1" applyFont="1" applyFill="1" applyBorder="1" applyAlignment="1">
      <alignment horizontal="center" vertical="center" wrapText="1"/>
    </xf>
    <xf numFmtId="0" fontId="10" fillId="0" borderId="35" xfId="1" applyFont="1" applyBorder="1" applyAlignment="1" applyProtection="1">
      <alignment horizontal="center" vertical="center"/>
    </xf>
    <xf numFmtId="0" fontId="10" fillId="0" borderId="36" xfId="1" applyFont="1" applyBorder="1" applyAlignment="1" applyProtection="1">
      <alignment horizontal="center" vertical="center"/>
    </xf>
    <xf numFmtId="0" fontId="10" fillId="0" borderId="16" xfId="1" applyFont="1" applyBorder="1" applyAlignment="1" applyProtection="1">
      <alignment horizontal="center" vertical="center"/>
    </xf>
    <xf numFmtId="0" fontId="10" fillId="0" borderId="37" xfId="1" applyFont="1" applyBorder="1" applyAlignment="1" applyProtection="1">
      <alignment horizontal="center" vertical="center"/>
    </xf>
    <xf numFmtId="10" fontId="2" fillId="0" borderId="43" xfId="1" applyNumberFormat="1" applyFont="1" applyBorder="1" applyAlignment="1">
      <alignment horizontal="center" vertical="center"/>
    </xf>
    <xf numFmtId="10" fontId="2" fillId="0" borderId="0" xfId="1" applyNumberFormat="1" applyFont="1" applyBorder="1" applyAlignment="1">
      <alignment horizontal="center" vertical="center"/>
    </xf>
    <xf numFmtId="164" fontId="2" fillId="0" borderId="43" xfId="1" applyNumberFormat="1" applyFont="1" applyBorder="1" applyAlignment="1" applyProtection="1">
      <alignment horizontal="center" vertical="center"/>
    </xf>
    <xf numFmtId="164" fontId="2" fillId="0" borderId="0" xfId="1" applyNumberFormat="1" applyFont="1" applyBorder="1" applyAlignment="1" applyProtection="1">
      <alignment horizontal="center" vertical="center"/>
    </xf>
    <xf numFmtId="164" fontId="2" fillId="0" borderId="44" xfId="1" applyNumberFormat="1" applyFont="1" applyBorder="1" applyAlignment="1" applyProtection="1">
      <alignment horizontal="center" vertical="center"/>
    </xf>
    <xf numFmtId="0" fontId="11" fillId="0" borderId="20" xfId="1" applyFont="1" applyBorder="1" applyAlignment="1" applyProtection="1">
      <alignment horizontal="center" vertical="center"/>
      <protection locked="0"/>
    </xf>
    <xf numFmtId="0" fontId="11" fillId="6" borderId="43" xfId="1" applyFont="1" applyFill="1" applyBorder="1" applyAlignment="1" applyProtection="1">
      <alignment horizontal="center" vertical="center"/>
      <protection locked="0"/>
    </xf>
    <xf numFmtId="0" fontId="11" fillId="6" borderId="44" xfId="1" applyFont="1" applyFill="1" applyBorder="1" applyAlignment="1" applyProtection="1">
      <alignment horizontal="center" vertical="center"/>
      <protection locked="0"/>
    </xf>
    <xf numFmtId="0" fontId="10" fillId="0" borderId="38" xfId="1" applyFont="1" applyBorder="1" applyAlignment="1" applyProtection="1">
      <alignment horizontal="center" vertical="center"/>
    </xf>
    <xf numFmtId="0" fontId="10" fillId="0" borderId="41" xfId="1" applyFont="1" applyBorder="1" applyAlignment="1" applyProtection="1">
      <alignment horizontal="center" vertical="center"/>
    </xf>
    <xf numFmtId="0" fontId="2" fillId="0" borderId="42" xfId="1" applyFont="1" applyBorder="1" applyAlignment="1" applyProtection="1">
      <alignment horizontal="center" vertical="center" shrinkToFit="1"/>
      <protection locked="0"/>
    </xf>
    <xf numFmtId="0" fontId="2" fillId="0" borderId="0" xfId="1" applyFont="1" applyBorder="1" applyAlignment="1" applyProtection="1">
      <alignment horizontal="center" vertical="center" shrinkToFit="1"/>
      <protection locked="0"/>
    </xf>
    <xf numFmtId="0" fontId="3" fillId="0" borderId="25" xfId="1" applyFont="1" applyBorder="1" applyAlignment="1" applyProtection="1">
      <alignment horizontal="center" vertical="center" shrinkToFit="1"/>
      <protection locked="0"/>
    </xf>
    <xf numFmtId="0" fontId="3" fillId="0" borderId="23" xfId="1" applyFont="1" applyBorder="1" applyAlignment="1" applyProtection="1">
      <alignment horizontal="center" vertical="center" shrinkToFit="1"/>
      <protection locked="0"/>
    </xf>
    <xf numFmtId="0" fontId="3" fillId="0" borderId="26" xfId="1" applyFont="1" applyBorder="1" applyAlignment="1" applyProtection="1">
      <alignment horizontal="center" vertical="center" shrinkToFit="1"/>
      <protection locked="0"/>
    </xf>
    <xf numFmtId="0" fontId="11" fillId="0" borderId="43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6" fillId="8" borderId="45" xfId="1" applyFont="1" applyFill="1" applyBorder="1" applyAlignment="1" applyProtection="1">
      <alignment horizontal="left" vertical="center" wrapText="1"/>
      <protection locked="0"/>
    </xf>
    <xf numFmtId="0" fontId="6" fillId="8" borderId="46" xfId="1" applyFont="1" applyFill="1" applyBorder="1" applyAlignment="1" applyProtection="1">
      <alignment vertical="center" wrapText="1"/>
      <protection locked="0"/>
    </xf>
    <xf numFmtId="0" fontId="6" fillId="8" borderId="47" xfId="1" applyFont="1" applyFill="1" applyBorder="1" applyAlignment="1" applyProtection="1">
      <alignment vertical="center" wrapText="1"/>
      <protection locked="0"/>
    </xf>
    <xf numFmtId="20" fontId="2" fillId="0" borderId="48" xfId="1" applyNumberFormat="1" applyFill="1" applyBorder="1" applyAlignment="1" applyProtection="1">
      <alignment horizontal="center"/>
      <protection locked="0"/>
    </xf>
    <xf numFmtId="0" fontId="2" fillId="0" borderId="49" xfId="1" applyFill="1" applyBorder="1" applyAlignment="1" applyProtection="1">
      <alignment horizontal="center"/>
      <protection locked="0"/>
    </xf>
    <xf numFmtId="0" fontId="2" fillId="0" borderId="50" xfId="1" applyFill="1" applyBorder="1" applyAlignment="1" applyProtection="1">
      <alignment horizontal="center"/>
      <protection locked="0"/>
    </xf>
    <xf numFmtId="0" fontId="3" fillId="9" borderId="43" xfId="1" applyFont="1" applyFill="1" applyBorder="1" applyAlignment="1">
      <alignment horizontal="center" vertical="center" wrapText="1"/>
    </xf>
    <xf numFmtId="0" fontId="3" fillId="9" borderId="0" xfId="1" applyFont="1" applyFill="1" applyBorder="1" applyAlignment="1">
      <alignment horizontal="center" vertical="center" wrapText="1"/>
    </xf>
    <xf numFmtId="0" fontId="3" fillId="9" borderId="28" xfId="1" applyFont="1" applyFill="1" applyBorder="1" applyAlignment="1">
      <alignment horizontal="center" vertical="center" wrapText="1"/>
    </xf>
    <xf numFmtId="0" fontId="3" fillId="9" borderId="29" xfId="1" applyFont="1" applyFill="1" applyBorder="1" applyAlignment="1">
      <alignment horizontal="center" vertical="center" wrapText="1"/>
    </xf>
    <xf numFmtId="0" fontId="3" fillId="9" borderId="44" xfId="1" applyFont="1" applyFill="1" applyBorder="1" applyAlignment="1">
      <alignment horizontal="center" vertical="center" wrapText="1"/>
    </xf>
    <xf numFmtId="0" fontId="3" fillId="9" borderId="11" xfId="1" applyFont="1" applyFill="1" applyBorder="1" applyAlignment="1">
      <alignment horizontal="center" vertical="center" wrapText="1"/>
    </xf>
    <xf numFmtId="0" fontId="3" fillId="9" borderId="1" xfId="1" applyFont="1" applyFill="1" applyBorder="1" applyAlignment="1">
      <alignment horizontal="center" vertical="center" wrapText="1"/>
    </xf>
    <xf numFmtId="0" fontId="3" fillId="9" borderId="12" xfId="1" applyFont="1" applyFill="1" applyBorder="1" applyAlignment="1">
      <alignment horizontal="center" vertical="center" wrapText="1"/>
    </xf>
    <xf numFmtId="20" fontId="2" fillId="0" borderId="51" xfId="1" applyNumberFormat="1" applyFill="1" applyBorder="1" applyAlignment="1" applyProtection="1">
      <alignment horizontal="center"/>
      <protection locked="0"/>
    </xf>
    <xf numFmtId="20" fontId="2" fillId="0" borderId="52" xfId="1" applyNumberFormat="1" applyFill="1" applyBorder="1" applyAlignment="1" applyProtection="1">
      <alignment horizontal="center"/>
      <protection locked="0"/>
    </xf>
    <xf numFmtId="20" fontId="2" fillId="0" borderId="53" xfId="1" applyNumberFormat="1" applyFill="1" applyBorder="1" applyAlignment="1" applyProtection="1">
      <alignment horizontal="center"/>
      <protection locked="0"/>
    </xf>
    <xf numFmtId="0" fontId="3" fillId="6" borderId="51" xfId="1" applyFont="1" applyFill="1" applyBorder="1" applyAlignment="1">
      <alignment horizontal="center"/>
    </xf>
    <xf numFmtId="0" fontId="3" fillId="6" borderId="52" xfId="1" applyFont="1" applyFill="1" applyBorder="1" applyAlignment="1">
      <alignment horizontal="center"/>
    </xf>
    <xf numFmtId="0" fontId="3" fillId="6" borderId="53" xfId="1" applyFont="1" applyFill="1" applyBorder="1" applyAlignment="1">
      <alignment horizontal="center"/>
    </xf>
    <xf numFmtId="0" fontId="5" fillId="6" borderId="51" xfId="1" applyFont="1" applyFill="1" applyBorder="1" applyAlignment="1" applyProtection="1">
      <alignment horizontal="center"/>
      <protection locked="0"/>
    </xf>
    <xf numFmtId="0" fontId="5" fillId="6" borderId="52" xfId="1" applyFont="1" applyFill="1" applyBorder="1" applyAlignment="1" applyProtection="1">
      <alignment horizontal="center"/>
      <protection locked="0"/>
    </xf>
    <xf numFmtId="0" fontId="5" fillId="6" borderId="53" xfId="1" applyFont="1" applyFill="1" applyBorder="1" applyAlignment="1" applyProtection="1">
      <alignment horizontal="center"/>
      <protection locked="0"/>
    </xf>
    <xf numFmtId="0" fontId="2" fillId="0" borderId="0" xfId="1" applyFill="1" applyAlignment="1" applyProtection="1">
      <alignment horizontal="center" wrapText="1"/>
      <protection hidden="1"/>
    </xf>
    <xf numFmtId="0" fontId="2" fillId="0" borderId="0" xfId="1" applyAlignment="1" applyProtection="1">
      <alignment horizontal="left"/>
    </xf>
    <xf numFmtId="0" fontId="2" fillId="0" borderId="0" xfId="1" applyAlignment="1" applyProtection="1">
      <alignment horizontal="center"/>
      <protection locked="0"/>
    </xf>
    <xf numFmtId="0" fontId="2" fillId="0" borderId="0" xfId="1" applyAlignment="1" applyProtection="1">
      <alignment horizontal="left"/>
      <protection locked="0"/>
    </xf>
    <xf numFmtId="0" fontId="5" fillId="39" borderId="2" xfId="1" applyFont="1" applyFill="1" applyBorder="1" applyAlignment="1">
      <alignment horizontal="center" vertical="center" shrinkToFit="1"/>
    </xf>
    <xf numFmtId="0" fontId="5" fillId="39" borderId="3" xfId="1" applyFont="1" applyFill="1" applyBorder="1" applyAlignment="1">
      <alignment horizontal="center" vertical="center" shrinkToFit="1"/>
    </xf>
    <xf numFmtId="0" fontId="5" fillId="39" borderId="4" xfId="1" applyFont="1" applyFill="1" applyBorder="1" applyAlignment="1">
      <alignment horizontal="center" vertical="center" shrinkToFit="1"/>
    </xf>
    <xf numFmtId="0" fontId="5" fillId="40" borderId="2" xfId="1" applyFont="1" applyFill="1" applyBorder="1" applyAlignment="1">
      <alignment horizontal="center" vertical="center" shrinkToFit="1"/>
    </xf>
    <xf numFmtId="0" fontId="5" fillId="40" borderId="3" xfId="1" applyFont="1" applyFill="1" applyBorder="1" applyAlignment="1">
      <alignment horizontal="center" vertical="center" shrinkToFit="1"/>
    </xf>
    <xf numFmtId="0" fontId="5" fillId="40" borderId="4" xfId="1" applyFont="1" applyFill="1" applyBorder="1" applyAlignment="1">
      <alignment horizontal="center" vertical="center" shrinkToFit="1"/>
    </xf>
    <xf numFmtId="16" fontId="2" fillId="0" borderId="3" xfId="1" applyNumberFormat="1" applyBorder="1" applyAlignment="1" applyProtection="1">
      <alignment horizontal="center"/>
      <protection locked="0"/>
    </xf>
    <xf numFmtId="0" fontId="9" fillId="7" borderId="27" xfId="1" applyFont="1" applyFill="1" applyBorder="1" applyAlignment="1" applyProtection="1">
      <alignment horizontal="center" vertical="center" wrapText="1"/>
    </xf>
    <xf numFmtId="0" fontId="9" fillId="7" borderId="28" xfId="1" applyFont="1" applyFill="1" applyBorder="1" applyAlignment="1" applyProtection="1">
      <alignment horizontal="center" vertical="center" wrapText="1"/>
    </xf>
    <xf numFmtId="0" fontId="9" fillId="7" borderId="29" xfId="1" applyFont="1" applyFill="1" applyBorder="1" applyAlignment="1" applyProtection="1">
      <alignment horizontal="center" vertical="center" wrapText="1"/>
    </xf>
    <xf numFmtId="0" fontId="9" fillId="7" borderId="11" xfId="1" applyFont="1" applyFill="1" applyBorder="1" applyAlignment="1" applyProtection="1">
      <alignment horizontal="center" vertical="center" wrapText="1"/>
    </xf>
    <xf numFmtId="0" fontId="9" fillId="7" borderId="1" xfId="1" applyFont="1" applyFill="1" applyBorder="1" applyAlignment="1" applyProtection="1">
      <alignment horizontal="center" vertical="center" wrapText="1"/>
    </xf>
    <xf numFmtId="0" fontId="9" fillId="7" borderId="12" xfId="1" applyFont="1" applyFill="1" applyBorder="1" applyAlignment="1" applyProtection="1">
      <alignment horizontal="center" vertical="center" wrapText="1"/>
    </xf>
    <xf numFmtId="0" fontId="14" fillId="0" borderId="0" xfId="1" applyFont="1" applyAlignment="1">
      <alignment horizontal="center"/>
    </xf>
    <xf numFmtId="0" fontId="10" fillId="10" borderId="21" xfId="1" applyFont="1" applyFill="1" applyBorder="1" applyAlignment="1">
      <alignment horizontal="center" wrapText="1"/>
    </xf>
    <xf numFmtId="0" fontId="10" fillId="10" borderId="30" xfId="1" applyFont="1" applyFill="1" applyBorder="1" applyAlignment="1">
      <alignment horizontal="center" wrapText="1"/>
    </xf>
    <xf numFmtId="0" fontId="2" fillId="11" borderId="2" xfId="1" applyFill="1" applyBorder="1" applyAlignment="1">
      <alignment horizontal="center"/>
    </xf>
    <xf numFmtId="0" fontId="2" fillId="11" borderId="3" xfId="1" applyFill="1" applyBorder="1" applyAlignment="1">
      <alignment horizontal="center"/>
    </xf>
    <xf numFmtId="0" fontId="2" fillId="11" borderId="4" xfId="1" applyFill="1" applyBorder="1" applyAlignment="1">
      <alignment horizontal="center"/>
    </xf>
    <xf numFmtId="0" fontId="2" fillId="37" borderId="2" xfId="1" applyFill="1" applyBorder="1" applyAlignment="1">
      <alignment horizontal="center"/>
    </xf>
    <xf numFmtId="0" fontId="2" fillId="37" borderId="3" xfId="1" applyFill="1" applyBorder="1" applyAlignment="1">
      <alignment horizontal="center"/>
    </xf>
    <xf numFmtId="0" fontId="2" fillId="37" borderId="4" xfId="1" applyFill="1" applyBorder="1" applyAlignment="1">
      <alignment horizontal="center"/>
    </xf>
    <xf numFmtId="0" fontId="2" fillId="3" borderId="2" xfId="1" applyFill="1" applyBorder="1" applyAlignment="1">
      <alignment horizontal="center"/>
    </xf>
    <xf numFmtId="0" fontId="2" fillId="3" borderId="3" xfId="1" applyFill="1" applyBorder="1" applyAlignment="1">
      <alignment horizontal="center"/>
    </xf>
    <xf numFmtId="0" fontId="2" fillId="3" borderId="4" xfId="1" applyFill="1" applyBorder="1" applyAlignment="1">
      <alignment horizontal="center"/>
    </xf>
    <xf numFmtId="0" fontId="15" fillId="38" borderId="16" xfId="1" applyFont="1" applyFill="1" applyBorder="1" applyAlignment="1">
      <alignment horizontal="center" shrinkToFit="1"/>
    </xf>
    <xf numFmtId="0" fontId="15" fillId="38" borderId="37" xfId="1" applyFont="1" applyFill="1" applyBorder="1" applyAlignment="1">
      <alignment horizontal="center" shrinkToFit="1"/>
    </xf>
    <xf numFmtId="0" fontId="15" fillId="38" borderId="37" xfId="1" applyFont="1" applyFill="1" applyBorder="1" applyAlignment="1">
      <alignment horizontal="center"/>
    </xf>
    <xf numFmtId="0" fontId="15" fillId="38" borderId="17" xfId="1" applyFont="1" applyFill="1" applyBorder="1" applyAlignment="1">
      <alignment horizontal="center"/>
    </xf>
    <xf numFmtId="0" fontId="15" fillId="39" borderId="16" xfId="1" applyFont="1" applyFill="1" applyBorder="1" applyAlignment="1">
      <alignment horizontal="center" shrinkToFit="1"/>
    </xf>
    <xf numFmtId="0" fontId="15" fillId="39" borderId="37" xfId="1" applyFont="1" applyFill="1" applyBorder="1" applyAlignment="1">
      <alignment horizontal="center" shrinkToFit="1"/>
    </xf>
    <xf numFmtId="0" fontId="15" fillId="39" borderId="37" xfId="1" applyFont="1" applyFill="1" applyBorder="1" applyAlignment="1">
      <alignment horizontal="center"/>
    </xf>
    <xf numFmtId="0" fontId="15" fillId="39" borderId="17" xfId="1" applyFont="1" applyFill="1" applyBorder="1" applyAlignment="1">
      <alignment horizontal="center"/>
    </xf>
    <xf numFmtId="0" fontId="15" fillId="40" borderId="16" xfId="1" applyFont="1" applyFill="1" applyBorder="1" applyAlignment="1">
      <alignment horizontal="center" shrinkToFit="1"/>
    </xf>
    <xf numFmtId="0" fontId="15" fillId="40" borderId="37" xfId="1" applyFont="1" applyFill="1" applyBorder="1" applyAlignment="1">
      <alignment horizontal="center" shrinkToFit="1"/>
    </xf>
    <xf numFmtId="0" fontId="15" fillId="40" borderId="37" xfId="1" applyFont="1" applyFill="1" applyBorder="1" applyAlignment="1">
      <alignment horizontal="center"/>
    </xf>
    <xf numFmtId="0" fontId="15" fillId="40" borderId="17" xfId="1" applyFont="1" applyFill="1" applyBorder="1" applyAlignment="1">
      <alignment horizontal="center"/>
    </xf>
    <xf numFmtId="0" fontId="15" fillId="37" borderId="35" xfId="1" applyFont="1" applyFill="1" applyBorder="1" applyAlignment="1">
      <alignment horizontal="center" shrinkToFit="1"/>
    </xf>
    <xf numFmtId="0" fontId="15" fillId="37" borderId="36" xfId="1" applyFont="1" applyFill="1" applyBorder="1" applyAlignment="1">
      <alignment horizontal="center" shrinkToFit="1"/>
    </xf>
    <xf numFmtId="0" fontId="15" fillId="37" borderId="36" xfId="1" applyFont="1" applyFill="1" applyBorder="1" applyAlignment="1">
      <alignment horizontal="center"/>
    </xf>
    <xf numFmtId="0" fontId="15" fillId="37" borderId="39" xfId="1" applyFont="1" applyFill="1" applyBorder="1" applyAlignment="1">
      <alignment horizontal="center"/>
    </xf>
    <xf numFmtId="0" fontId="15" fillId="38" borderId="35" xfId="1" applyFont="1" applyFill="1" applyBorder="1" applyAlignment="1">
      <alignment horizontal="center" shrinkToFit="1"/>
    </xf>
    <xf numFmtId="0" fontId="15" fillId="38" borderId="36" xfId="1" applyFont="1" applyFill="1" applyBorder="1" applyAlignment="1">
      <alignment horizontal="center" shrinkToFit="1"/>
    </xf>
    <xf numFmtId="0" fontId="15" fillId="38" borderId="36" xfId="1" applyFont="1" applyFill="1" applyBorder="1" applyAlignment="1">
      <alignment horizontal="center"/>
    </xf>
    <xf numFmtId="0" fontId="15" fillId="38" borderId="39" xfId="1" applyFont="1" applyFill="1" applyBorder="1" applyAlignment="1">
      <alignment horizontal="center"/>
    </xf>
    <xf numFmtId="0" fontId="15" fillId="39" borderId="35" xfId="1" applyFont="1" applyFill="1" applyBorder="1" applyAlignment="1">
      <alignment horizontal="center" shrinkToFit="1"/>
    </xf>
    <xf numFmtId="0" fontId="15" fillId="39" borderId="36" xfId="1" applyFont="1" applyFill="1" applyBorder="1" applyAlignment="1">
      <alignment horizontal="center" shrinkToFit="1"/>
    </xf>
    <xf numFmtId="0" fontId="15" fillId="39" borderId="36" xfId="1" applyFont="1" applyFill="1" applyBorder="1" applyAlignment="1">
      <alignment horizontal="center"/>
    </xf>
    <xf numFmtId="0" fontId="15" fillId="39" borderId="39" xfId="1" applyFont="1" applyFill="1" applyBorder="1" applyAlignment="1">
      <alignment horizontal="center"/>
    </xf>
    <xf numFmtId="0" fontId="15" fillId="40" borderId="35" xfId="1" applyFont="1" applyFill="1" applyBorder="1" applyAlignment="1">
      <alignment horizontal="center" shrinkToFit="1"/>
    </xf>
    <xf numFmtId="0" fontId="15" fillId="40" borderId="36" xfId="1" applyFont="1" applyFill="1" applyBorder="1" applyAlignment="1">
      <alignment horizontal="center" shrinkToFit="1"/>
    </xf>
    <xf numFmtId="0" fontId="15" fillId="40" borderId="36" xfId="1" applyFont="1" applyFill="1" applyBorder="1" applyAlignment="1">
      <alignment horizontal="center"/>
    </xf>
    <xf numFmtId="0" fontId="15" fillId="40" borderId="39" xfId="1" applyFont="1" applyFill="1" applyBorder="1" applyAlignment="1">
      <alignment horizontal="center"/>
    </xf>
    <xf numFmtId="0" fontId="15" fillId="37" borderId="16" xfId="1" applyFont="1" applyFill="1" applyBorder="1" applyAlignment="1">
      <alignment horizontal="center" shrinkToFit="1"/>
    </xf>
    <xf numFmtId="0" fontId="15" fillId="37" borderId="37" xfId="1" applyFont="1" applyFill="1" applyBorder="1" applyAlignment="1">
      <alignment horizontal="center" shrinkToFit="1"/>
    </xf>
    <xf numFmtId="0" fontId="15" fillId="37" borderId="37" xfId="1" applyFont="1" applyFill="1" applyBorder="1" applyAlignment="1">
      <alignment horizontal="center"/>
    </xf>
    <xf numFmtId="0" fontId="15" fillId="37" borderId="17" xfId="1" applyFont="1" applyFill="1" applyBorder="1" applyAlignment="1">
      <alignment horizontal="center"/>
    </xf>
    <xf numFmtId="0" fontId="15" fillId="38" borderId="18" xfId="1" applyFont="1" applyFill="1" applyBorder="1" applyAlignment="1">
      <alignment horizontal="center" shrinkToFit="1"/>
    </xf>
    <xf numFmtId="0" fontId="15" fillId="38" borderId="54" xfId="1" applyFont="1" applyFill="1" applyBorder="1" applyAlignment="1">
      <alignment horizontal="center" shrinkToFit="1"/>
    </xf>
    <xf numFmtId="0" fontId="15" fillId="38" borderId="54" xfId="1" applyFont="1" applyFill="1" applyBorder="1" applyAlignment="1">
      <alignment horizontal="center"/>
    </xf>
    <xf numFmtId="0" fontId="15" fillId="38" borderId="19" xfId="1" applyFont="1" applyFill="1" applyBorder="1" applyAlignment="1">
      <alignment horizontal="center"/>
    </xf>
    <xf numFmtId="0" fontId="15" fillId="39" borderId="18" xfId="1" applyFont="1" applyFill="1" applyBorder="1" applyAlignment="1">
      <alignment horizontal="center" shrinkToFit="1"/>
    </xf>
    <xf numFmtId="0" fontId="15" fillId="39" borderId="54" xfId="1" applyFont="1" applyFill="1" applyBorder="1" applyAlignment="1">
      <alignment horizontal="center" shrinkToFit="1"/>
    </xf>
    <xf numFmtId="0" fontId="15" fillId="39" borderId="54" xfId="1" applyFont="1" applyFill="1" applyBorder="1" applyAlignment="1">
      <alignment horizontal="center"/>
    </xf>
    <xf numFmtId="0" fontId="15" fillId="39" borderId="19" xfId="1" applyFont="1" applyFill="1" applyBorder="1" applyAlignment="1">
      <alignment horizontal="center"/>
    </xf>
    <xf numFmtId="0" fontId="15" fillId="40" borderId="18" xfId="1" applyFont="1" applyFill="1" applyBorder="1" applyAlignment="1">
      <alignment horizontal="center" shrinkToFit="1"/>
    </xf>
    <xf numFmtId="0" fontId="15" fillId="40" borderId="54" xfId="1" applyFont="1" applyFill="1" applyBorder="1" applyAlignment="1">
      <alignment horizontal="center" shrinkToFit="1"/>
    </xf>
    <xf numFmtId="0" fontId="15" fillId="40" borderId="54" xfId="1" applyFont="1" applyFill="1" applyBorder="1" applyAlignment="1">
      <alignment horizontal="center"/>
    </xf>
    <xf numFmtId="0" fontId="15" fillId="40" borderId="19" xfId="1" applyFont="1" applyFill="1" applyBorder="1" applyAlignment="1">
      <alignment horizontal="center"/>
    </xf>
    <xf numFmtId="0" fontId="15" fillId="37" borderId="18" xfId="1" applyFont="1" applyFill="1" applyBorder="1" applyAlignment="1">
      <alignment horizontal="center" shrinkToFit="1"/>
    </xf>
    <xf numFmtId="0" fontId="15" fillId="37" borderId="54" xfId="1" applyFont="1" applyFill="1" applyBorder="1" applyAlignment="1">
      <alignment horizontal="center" shrinkToFit="1"/>
    </xf>
    <xf numFmtId="0" fontId="15" fillId="37" borderId="54" xfId="1" applyFont="1" applyFill="1" applyBorder="1" applyAlignment="1">
      <alignment horizontal="center"/>
    </xf>
    <xf numFmtId="0" fontId="15" fillId="37" borderId="19" xfId="1" applyFont="1" applyFill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14" fontId="2" fillId="0" borderId="2" xfId="1" applyNumberFormat="1" applyBorder="1" applyAlignment="1" applyProtection="1">
      <alignment horizontal="center"/>
      <protection locked="0"/>
    </xf>
    <xf numFmtId="0" fontId="2" fillId="4" borderId="2" xfId="1" applyFill="1" applyBorder="1" applyAlignment="1" applyProtection="1">
      <alignment horizontal="center" vertical="center" wrapText="1"/>
      <protection locked="0"/>
    </xf>
    <xf numFmtId="0" fontId="2" fillId="4" borderId="3" xfId="1" applyFill="1" applyBorder="1" applyAlignment="1" applyProtection="1">
      <alignment horizontal="center" vertical="center" wrapText="1"/>
      <protection locked="0"/>
    </xf>
    <xf numFmtId="0" fontId="2" fillId="0" borderId="42" xfId="1" applyFont="1" applyBorder="1" applyAlignment="1" applyProtection="1">
      <alignment horizontal="center" vertical="center" shrinkToFit="1"/>
    </xf>
    <xf numFmtId="0" fontId="2" fillId="0" borderId="0" xfId="1" applyFont="1" applyBorder="1" applyAlignment="1" applyProtection="1">
      <alignment horizontal="center" vertical="center" shrinkToFit="1"/>
    </xf>
    <xf numFmtId="0" fontId="15" fillId="0" borderId="16" xfId="1" applyFont="1" applyFill="1" applyBorder="1" applyAlignment="1">
      <alignment horizontal="center" shrinkToFit="1"/>
    </xf>
    <xf numFmtId="0" fontId="15" fillId="0" borderId="37" xfId="1" applyFont="1" applyFill="1" applyBorder="1" applyAlignment="1">
      <alignment horizontal="center" shrinkToFit="1"/>
    </xf>
    <xf numFmtId="0" fontId="15" fillId="0" borderId="37" xfId="1" applyFont="1" applyFill="1" applyBorder="1" applyAlignment="1">
      <alignment horizontal="center"/>
    </xf>
    <xf numFmtId="0" fontId="15" fillId="0" borderId="17" xfId="1" applyFont="1" applyFill="1" applyBorder="1" applyAlignment="1">
      <alignment horizontal="center"/>
    </xf>
    <xf numFmtId="0" fontId="15" fillId="0" borderId="35" xfId="1" applyFont="1" applyFill="1" applyBorder="1" applyAlignment="1">
      <alignment horizontal="center" shrinkToFit="1"/>
    </xf>
    <xf numFmtId="0" fontId="15" fillId="0" borderId="36" xfId="1" applyFont="1" applyFill="1" applyBorder="1" applyAlignment="1">
      <alignment horizontal="center" shrinkToFit="1"/>
    </xf>
    <xf numFmtId="0" fontId="15" fillId="0" borderId="36" xfId="1" applyFont="1" applyFill="1" applyBorder="1" applyAlignment="1">
      <alignment horizontal="center"/>
    </xf>
    <xf numFmtId="0" fontId="15" fillId="0" borderId="39" xfId="1" applyFont="1" applyFill="1" applyBorder="1" applyAlignment="1">
      <alignment horizontal="center"/>
    </xf>
    <xf numFmtId="0" fontId="2" fillId="0" borderId="1" xfId="1" applyBorder="1" applyAlignment="1">
      <alignment horizontal="center" shrinkToFit="1"/>
    </xf>
    <xf numFmtId="0" fontId="10" fillId="0" borderId="28" xfId="1" applyFont="1" applyBorder="1" applyAlignment="1" applyProtection="1">
      <alignment horizontal="center" shrinkToFit="1"/>
      <protection locked="0"/>
    </xf>
    <xf numFmtId="0" fontId="10" fillId="0" borderId="0" xfId="1" applyFont="1" applyBorder="1" applyAlignment="1" applyProtection="1">
      <alignment horizontal="center" shrinkToFit="1"/>
      <protection locked="0"/>
    </xf>
    <xf numFmtId="0" fontId="10" fillId="0" borderId="44" xfId="1" applyFont="1" applyBorder="1" applyAlignment="1" applyProtection="1">
      <alignment horizontal="center" shrinkToFit="1"/>
      <protection locked="0"/>
    </xf>
    <xf numFmtId="0" fontId="2" fillId="0" borderId="43" xfId="1" applyBorder="1" applyAlignment="1">
      <alignment horizontal="left" shrinkToFit="1"/>
    </xf>
    <xf numFmtId="0" fontId="2" fillId="0" borderId="0" xfId="1" applyBorder="1" applyAlignment="1">
      <alignment horizontal="left" shrinkToFit="1"/>
    </xf>
    <xf numFmtId="0" fontId="5" fillId="0" borderId="0" xfId="1" applyFont="1" applyAlignment="1">
      <alignment horizontal="center"/>
    </xf>
    <xf numFmtId="0" fontId="16" fillId="0" borderId="0" xfId="1" applyFont="1" applyAlignment="1" applyProtection="1">
      <alignment horizontal="left"/>
      <protection locked="0"/>
    </xf>
    <xf numFmtId="0" fontId="2" fillId="0" borderId="0" xfId="1" applyFill="1" applyAlignment="1" applyProtection="1">
      <alignment horizontal="left"/>
      <protection locked="0"/>
    </xf>
    <xf numFmtId="0" fontId="3" fillId="12" borderId="0" xfId="1" applyFont="1" applyFill="1" applyAlignment="1">
      <alignment horizontal="center"/>
    </xf>
    <xf numFmtId="0" fontId="2" fillId="0" borderId="12" xfId="1" applyBorder="1" applyAlignment="1">
      <alignment horizontal="center" shrinkToFit="1"/>
    </xf>
    <xf numFmtId="0" fontId="10" fillId="0" borderId="0" xfId="1" applyFont="1" applyAlignment="1" applyProtection="1">
      <alignment horizontal="center" shrinkToFit="1"/>
      <protection locked="0"/>
    </xf>
    <xf numFmtId="0" fontId="2" fillId="0" borderId="0" xfId="1" applyBorder="1" applyAlignment="1" applyProtection="1">
      <alignment horizontal="center"/>
      <protection locked="0"/>
    </xf>
    <xf numFmtId="0" fontId="2" fillId="0" borderId="44" xfId="1" applyBorder="1" applyAlignment="1" applyProtection="1">
      <alignment horizontal="center"/>
      <protection locked="0"/>
    </xf>
    <xf numFmtId="0" fontId="15" fillId="0" borderId="0" xfId="1" applyFont="1" applyBorder="1" applyAlignment="1" applyProtection="1">
      <alignment horizontal="center"/>
      <protection locked="0"/>
    </xf>
    <xf numFmtId="0" fontId="2" fillId="0" borderId="27" xfId="1" applyBorder="1" applyAlignment="1" applyProtection="1">
      <alignment horizontal="left"/>
      <protection locked="0"/>
    </xf>
    <xf numFmtId="0" fontId="2" fillId="0" borderId="28" xfId="1" applyBorder="1" applyAlignment="1" applyProtection="1">
      <alignment horizontal="left"/>
      <protection locked="0"/>
    </xf>
    <xf numFmtId="0" fontId="2" fillId="0" borderId="29" xfId="1" applyBorder="1" applyAlignment="1" applyProtection="1">
      <alignment horizontal="left"/>
      <protection locked="0"/>
    </xf>
    <xf numFmtId="0" fontId="2" fillId="0" borderId="43" xfId="1" applyBorder="1" applyAlignment="1" applyProtection="1">
      <alignment horizontal="left"/>
      <protection locked="0"/>
    </xf>
    <xf numFmtId="0" fontId="2" fillId="0" borderId="0" xfId="1" applyBorder="1" applyAlignment="1" applyProtection="1">
      <alignment horizontal="left"/>
      <protection locked="0"/>
    </xf>
    <xf numFmtId="0" fontId="15" fillId="0" borderId="0" xfId="1" applyFont="1" applyBorder="1" applyAlignment="1">
      <alignment horizontal="center"/>
    </xf>
    <xf numFmtId="0" fontId="2" fillId="0" borderId="43" xfId="1" applyBorder="1" applyAlignment="1" applyProtection="1">
      <alignment horizontal="center"/>
      <protection locked="0"/>
    </xf>
    <xf numFmtId="0" fontId="2" fillId="0" borderId="11" xfId="1" applyBorder="1" applyAlignment="1" applyProtection="1">
      <alignment horizontal="left"/>
      <protection locked="0"/>
    </xf>
    <xf numFmtId="0" fontId="2" fillId="0" borderId="1" xfId="1" applyBorder="1" applyAlignment="1" applyProtection="1">
      <alignment horizontal="left"/>
      <protection locked="0"/>
    </xf>
    <xf numFmtId="0" fontId="2" fillId="0" borderId="12" xfId="1" applyBorder="1" applyAlignment="1" applyProtection="1">
      <alignment horizontal="left"/>
      <protection locked="0"/>
    </xf>
    <xf numFmtId="0" fontId="2" fillId="0" borderId="11" xfId="1" applyBorder="1" applyAlignment="1" applyProtection="1">
      <alignment horizontal="center" shrinkToFit="1"/>
    </xf>
    <xf numFmtId="0" fontId="2" fillId="0" borderId="1" xfId="1" applyBorder="1" applyAlignment="1" applyProtection="1">
      <alignment horizontal="center" shrinkToFit="1"/>
    </xf>
    <xf numFmtId="0" fontId="15" fillId="0" borderId="44" xfId="1" applyFont="1" applyBorder="1" applyAlignment="1" applyProtection="1">
      <alignment horizontal="center"/>
      <protection locked="0"/>
    </xf>
    <xf numFmtId="0" fontId="2" fillId="0" borderId="27" xfId="1" applyBorder="1" applyAlignment="1" applyProtection="1">
      <alignment horizontal="center"/>
      <protection locked="0"/>
    </xf>
    <xf numFmtId="0" fontId="2" fillId="0" borderId="28" xfId="1" applyBorder="1" applyAlignment="1" applyProtection="1">
      <alignment horizontal="center"/>
      <protection locked="0"/>
    </xf>
    <xf numFmtId="0" fontId="5" fillId="0" borderId="0" xfId="1" applyFont="1" applyAlignment="1" applyProtection="1">
      <alignment horizontal="center"/>
      <protection locked="0"/>
    </xf>
    <xf numFmtId="0" fontId="2" fillId="13" borderId="2" xfId="1" applyFill="1" applyBorder="1" applyAlignment="1">
      <alignment horizontal="center"/>
    </xf>
    <xf numFmtId="0" fontId="2" fillId="13" borderId="3" xfId="1" applyFill="1" applyBorder="1" applyAlignment="1">
      <alignment horizontal="center"/>
    </xf>
    <xf numFmtId="0" fontId="2" fillId="13" borderId="4" xfId="1" applyFill="1" applyBorder="1" applyAlignment="1">
      <alignment horizontal="center"/>
    </xf>
    <xf numFmtId="0" fontId="2" fillId="10" borderId="2" xfId="1" applyFill="1" applyBorder="1" applyAlignment="1">
      <alignment horizontal="center"/>
    </xf>
    <xf numFmtId="0" fontId="2" fillId="10" borderId="3" xfId="1" applyFill="1" applyBorder="1" applyAlignment="1">
      <alignment horizontal="center"/>
    </xf>
    <xf numFmtId="0" fontId="2" fillId="10" borderId="4" xfId="1" applyFill="1" applyBorder="1" applyAlignment="1">
      <alignment horizontal="center"/>
    </xf>
    <xf numFmtId="0" fontId="2" fillId="0" borderId="2" xfId="1" applyBorder="1" applyAlignment="1">
      <alignment horizontal="center"/>
    </xf>
    <xf numFmtId="0" fontId="2" fillId="0" borderId="3" xfId="1" applyBorder="1" applyAlignment="1">
      <alignment horizontal="center"/>
    </xf>
    <xf numFmtId="0" fontId="2" fillId="0" borderId="4" xfId="1" applyBorder="1" applyAlignment="1">
      <alignment horizontal="center"/>
    </xf>
    <xf numFmtId="0" fontId="2" fillId="0" borderId="2" xfId="1" applyBorder="1" applyAlignment="1" applyProtection="1">
      <alignment horizontal="center" shrinkToFit="1"/>
    </xf>
    <xf numFmtId="0" fontId="2" fillId="0" borderId="3" xfId="1" applyBorder="1" applyAlignment="1" applyProtection="1">
      <alignment horizontal="center" shrinkToFit="1"/>
    </xf>
    <xf numFmtId="0" fontId="2" fillId="0" borderId="4" xfId="1" applyBorder="1" applyAlignment="1" applyProtection="1">
      <alignment horizontal="center" shrinkToFit="1"/>
    </xf>
    <xf numFmtId="0" fontId="2" fillId="0" borderId="2" xfId="1" applyBorder="1" applyAlignment="1" applyProtection="1">
      <alignment horizontal="center"/>
    </xf>
    <xf numFmtId="0" fontId="2" fillId="0" borderId="3" xfId="1" applyBorder="1" applyAlignment="1" applyProtection="1">
      <alignment horizontal="center"/>
    </xf>
    <xf numFmtId="0" fontId="2" fillId="0" borderId="4" xfId="1" applyBorder="1" applyAlignment="1" applyProtection="1">
      <alignment horizontal="center"/>
    </xf>
    <xf numFmtId="20" fontId="2" fillId="0" borderId="22" xfId="1" applyNumberFormat="1" applyFill="1" applyBorder="1" applyAlignment="1" applyProtection="1">
      <alignment horizontal="center"/>
      <protection locked="0"/>
    </xf>
    <xf numFmtId="0" fontId="2" fillId="0" borderId="23" xfId="1" applyFill="1" applyBorder="1" applyAlignment="1" applyProtection="1">
      <alignment horizontal="center"/>
      <protection locked="0"/>
    </xf>
    <xf numFmtId="0" fontId="2" fillId="0" borderId="24" xfId="1" applyFill="1" applyBorder="1" applyAlignment="1" applyProtection="1">
      <alignment horizontal="center"/>
      <protection locked="0"/>
    </xf>
    <xf numFmtId="20" fontId="2" fillId="0" borderId="25" xfId="1" applyNumberFormat="1" applyFill="1" applyBorder="1" applyAlignment="1" applyProtection="1">
      <alignment horizontal="center"/>
      <protection locked="0"/>
    </xf>
    <xf numFmtId="0" fontId="2" fillId="0" borderId="26" xfId="1" applyFill="1" applyBorder="1" applyAlignment="1" applyProtection="1">
      <alignment horizontal="center"/>
      <protection locked="0"/>
    </xf>
    <xf numFmtId="0" fontId="17" fillId="4" borderId="27" xfId="1" applyFont="1" applyFill="1" applyBorder="1" applyAlignment="1" applyProtection="1">
      <alignment horizontal="center" vertical="center" wrapText="1"/>
    </xf>
    <xf numFmtId="0" fontId="2" fillId="4" borderId="28" xfId="1" applyFill="1" applyBorder="1" applyAlignment="1" applyProtection="1">
      <alignment vertical="center"/>
    </xf>
    <xf numFmtId="0" fontId="2" fillId="4" borderId="29" xfId="1" applyFill="1" applyBorder="1" applyAlignment="1" applyProtection="1">
      <alignment vertical="center"/>
    </xf>
    <xf numFmtId="0" fontId="2" fillId="4" borderId="43" xfId="1" applyFill="1" applyBorder="1" applyAlignment="1" applyProtection="1">
      <alignment vertical="center"/>
    </xf>
    <xf numFmtId="0" fontId="2" fillId="4" borderId="0" xfId="1" applyFill="1" applyAlignment="1" applyProtection="1">
      <alignment vertical="center"/>
    </xf>
    <xf numFmtId="0" fontId="2" fillId="4" borderId="44" xfId="1" applyFill="1" applyBorder="1" applyAlignment="1" applyProtection="1">
      <alignment vertical="center"/>
    </xf>
    <xf numFmtId="0" fontId="2" fillId="4" borderId="11" xfId="1" applyFill="1" applyBorder="1" applyAlignment="1" applyProtection="1">
      <alignment vertical="center"/>
    </xf>
    <xf numFmtId="0" fontId="2" fillId="4" borderId="1" xfId="1" applyFill="1" applyBorder="1" applyAlignment="1" applyProtection="1">
      <alignment vertical="center"/>
    </xf>
    <xf numFmtId="0" fontId="2" fillId="4" borderId="12" xfId="1" applyFill="1" applyBorder="1" applyAlignment="1" applyProtection="1">
      <alignment vertical="center"/>
    </xf>
    <xf numFmtId="0" fontId="17" fillId="4" borderId="28" xfId="1" applyFont="1" applyFill="1" applyBorder="1" applyAlignment="1" applyProtection="1">
      <alignment horizontal="center" vertical="center" wrapText="1"/>
    </xf>
    <xf numFmtId="0" fontId="17" fillId="4" borderId="29" xfId="1" applyFont="1" applyFill="1" applyBorder="1" applyAlignment="1" applyProtection="1">
      <alignment horizontal="center" vertical="center" wrapText="1"/>
    </xf>
    <xf numFmtId="0" fontId="17" fillId="4" borderId="43" xfId="1" applyFont="1" applyFill="1" applyBorder="1" applyAlignment="1" applyProtection="1">
      <alignment horizontal="center" vertical="center" wrapText="1"/>
    </xf>
    <xf numFmtId="0" fontId="17" fillId="4" borderId="0" xfId="1" applyFont="1" applyFill="1" applyBorder="1" applyAlignment="1" applyProtection="1">
      <alignment horizontal="center" vertical="center" wrapText="1"/>
    </xf>
    <xf numFmtId="0" fontId="17" fillId="4" borderId="44" xfId="1" applyFont="1" applyFill="1" applyBorder="1" applyAlignment="1" applyProtection="1">
      <alignment horizontal="center" vertical="center" wrapText="1"/>
    </xf>
    <xf numFmtId="0" fontId="17" fillId="4" borderId="11" xfId="1" applyFont="1" applyFill="1" applyBorder="1" applyAlignment="1" applyProtection="1">
      <alignment horizontal="center" vertical="center" wrapText="1"/>
    </xf>
    <xf numFmtId="0" fontId="17" fillId="4" borderId="1" xfId="1" applyFont="1" applyFill="1" applyBorder="1" applyAlignment="1" applyProtection="1">
      <alignment horizontal="center" vertical="center" wrapText="1"/>
    </xf>
    <xf numFmtId="0" fontId="17" fillId="4" borderId="12" xfId="1" applyFont="1" applyFill="1" applyBorder="1" applyAlignment="1" applyProtection="1">
      <alignment horizontal="center" vertical="center" wrapText="1"/>
    </xf>
    <xf numFmtId="1" fontId="2" fillId="0" borderId="55" xfId="1" applyNumberFormat="1" applyFill="1" applyBorder="1" applyAlignment="1" applyProtection="1">
      <alignment horizontal="center"/>
      <protection locked="0"/>
    </xf>
    <xf numFmtId="1" fontId="2" fillId="0" borderId="52" xfId="1" applyNumberFormat="1" applyFill="1" applyBorder="1" applyAlignment="1" applyProtection="1">
      <alignment horizontal="center"/>
      <protection locked="0"/>
    </xf>
    <xf numFmtId="1" fontId="2" fillId="0" borderId="53" xfId="1" applyNumberFormat="1" applyFill="1" applyBorder="1" applyAlignment="1" applyProtection="1">
      <alignment horizontal="center"/>
      <protection locked="0"/>
    </xf>
    <xf numFmtId="1" fontId="2" fillId="0" borderId="51" xfId="1" applyNumberFormat="1" applyFill="1" applyBorder="1" applyAlignment="1" applyProtection="1">
      <alignment horizontal="center"/>
      <protection locked="0"/>
    </xf>
    <xf numFmtId="1" fontId="2" fillId="0" borderId="56" xfId="1" applyNumberFormat="1" applyFill="1" applyBorder="1" applyAlignment="1" applyProtection="1">
      <alignment horizontal="center"/>
      <protection locked="0"/>
    </xf>
    <xf numFmtId="0" fontId="10" fillId="0" borderId="0" xfId="1" applyFont="1" applyAlignment="1">
      <alignment horizontal="center"/>
    </xf>
    <xf numFmtId="0" fontId="10" fillId="0" borderId="44" xfId="1" applyFont="1" applyBorder="1" applyAlignment="1">
      <alignment horizontal="center"/>
    </xf>
    <xf numFmtId="0" fontId="3" fillId="6" borderId="56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0" fontId="3" fillId="0" borderId="3" xfId="1" applyFont="1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2" fillId="2" borderId="0" xfId="1" applyFill="1" applyBorder="1" applyAlignment="1">
      <alignment horizontal="center"/>
    </xf>
    <xf numFmtId="0" fontId="2" fillId="2" borderId="44" xfId="1" applyFill="1" applyBorder="1" applyAlignment="1">
      <alignment horizontal="center"/>
    </xf>
    <xf numFmtId="0" fontId="3" fillId="6" borderId="55" xfId="1" applyFont="1" applyFill="1" applyBorder="1" applyAlignment="1">
      <alignment horizontal="center"/>
    </xf>
    <xf numFmtId="1" fontId="2" fillId="0" borderId="0" xfId="1" applyNumberFormat="1" applyAlignment="1">
      <alignment horizontal="center"/>
    </xf>
    <xf numFmtId="0" fontId="2" fillId="0" borderId="0" xfId="1" applyBorder="1" applyAlignment="1">
      <alignment horizontal="center"/>
    </xf>
    <xf numFmtId="0" fontId="18" fillId="5" borderId="27" xfId="1" applyFont="1" applyFill="1" applyBorder="1" applyAlignment="1" applyProtection="1">
      <alignment horizontal="center" vertical="center"/>
    </xf>
    <xf numFmtId="0" fontId="18" fillId="5" borderId="28" xfId="1" applyFont="1" applyFill="1" applyBorder="1" applyAlignment="1" applyProtection="1">
      <alignment horizontal="center" vertical="center"/>
    </xf>
    <xf numFmtId="0" fontId="18" fillId="5" borderId="29" xfId="1" applyFont="1" applyFill="1" applyBorder="1" applyAlignment="1" applyProtection="1">
      <alignment horizontal="center" vertical="center"/>
    </xf>
    <xf numFmtId="0" fontId="18" fillId="5" borderId="43" xfId="1" applyFont="1" applyFill="1" applyBorder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18" fillId="5" borderId="44" xfId="1" applyFont="1" applyFill="1" applyBorder="1" applyAlignment="1" applyProtection="1">
      <alignment horizontal="center" vertical="center"/>
    </xf>
    <xf numFmtId="0" fontId="18" fillId="5" borderId="11" xfId="1" applyFont="1" applyFill="1" applyBorder="1" applyAlignment="1" applyProtection="1">
      <alignment horizontal="center" vertical="center"/>
    </xf>
    <xf numFmtId="0" fontId="18" fillId="5" borderId="1" xfId="1" applyFont="1" applyFill="1" applyBorder="1" applyAlignment="1" applyProtection="1">
      <alignment horizontal="center" vertical="center"/>
    </xf>
    <xf numFmtId="0" fontId="18" fillId="5" borderId="12" xfId="1" applyFont="1" applyFill="1" applyBorder="1" applyAlignment="1" applyProtection="1">
      <alignment horizontal="center" vertical="center"/>
    </xf>
    <xf numFmtId="0" fontId="2" fillId="0" borderId="0" xfId="1" applyAlignment="1">
      <alignment horizontal="center"/>
    </xf>
    <xf numFmtId="2" fontId="2" fillId="0" borderId="0" xfId="1" applyNumberFormat="1" applyAlignment="1">
      <alignment horizontal="center"/>
    </xf>
    <xf numFmtId="0" fontId="2" fillId="0" borderId="11" xfId="1" applyFont="1" applyBorder="1" applyAlignment="1" applyProtection="1">
      <alignment horizontal="center"/>
      <protection locked="0"/>
    </xf>
    <xf numFmtId="0" fontId="15" fillId="0" borderId="0" xfId="1" applyFont="1" applyBorder="1" applyAlignment="1" applyProtection="1">
      <alignment horizontal="center" shrinkToFit="1"/>
      <protection locked="0"/>
    </xf>
    <xf numFmtId="0" fontId="15" fillId="0" borderId="44" xfId="1" applyFont="1" applyBorder="1" applyAlignment="1" applyProtection="1">
      <alignment horizontal="center" shrinkToFit="1"/>
      <protection locked="0"/>
    </xf>
    <xf numFmtId="0" fontId="2" fillId="0" borderId="0" xfId="1" applyBorder="1" applyAlignment="1" applyProtection="1">
      <alignment horizontal="center" shrinkToFit="1"/>
      <protection locked="0"/>
    </xf>
    <xf numFmtId="0" fontId="3" fillId="0" borderId="5" xfId="1" applyFont="1" applyBorder="1" applyAlignment="1" applyProtection="1">
      <alignment horizontal="center"/>
      <protection locked="0"/>
    </xf>
    <xf numFmtId="0" fontId="3" fillId="0" borderId="7" xfId="1" applyFont="1" applyBorder="1" applyAlignment="1" applyProtection="1">
      <alignment horizontal="center"/>
      <protection locked="0"/>
    </xf>
    <xf numFmtId="0" fontId="3" fillId="0" borderId="8" xfId="1" applyFont="1" applyBorder="1" applyAlignment="1" applyProtection="1">
      <alignment horizontal="center"/>
      <protection locked="0"/>
    </xf>
    <xf numFmtId="0" fontId="15" fillId="0" borderId="5" xfId="1" applyFont="1" applyFill="1" applyBorder="1" applyAlignment="1">
      <alignment horizontal="center" shrinkToFit="1"/>
    </xf>
    <xf numFmtId="0" fontId="15" fillId="0" borderId="7" xfId="1" applyFont="1" applyFill="1" applyBorder="1" applyAlignment="1">
      <alignment horizontal="center" shrinkToFit="1"/>
    </xf>
    <xf numFmtId="0" fontId="15" fillId="0" borderId="7" xfId="1" applyFont="1" applyFill="1" applyBorder="1" applyAlignment="1">
      <alignment horizontal="center"/>
    </xf>
    <xf numFmtId="0" fontId="15" fillId="0" borderId="6" xfId="1" applyFont="1" applyFill="1" applyBorder="1" applyAlignment="1">
      <alignment horizontal="center"/>
    </xf>
    <xf numFmtId="0" fontId="2" fillId="0" borderId="5" xfId="1" applyBorder="1" applyAlignment="1" applyProtection="1">
      <alignment horizontal="center" shrinkToFit="1"/>
    </xf>
    <xf numFmtId="0" fontId="2" fillId="0" borderId="7" xfId="1" applyBorder="1" applyAlignment="1" applyProtection="1">
      <alignment horizontal="center" shrinkToFit="1"/>
    </xf>
    <xf numFmtId="0" fontId="2" fillId="0" borderId="6" xfId="1" applyBorder="1" applyAlignment="1" applyProtection="1">
      <alignment horizontal="center" shrinkToFit="1"/>
    </xf>
  </cellXfs>
  <cellStyles count="46">
    <cellStyle name="20% - Accent1 2" xfId="26"/>
    <cellStyle name="20% - Accent2 2" xfId="27"/>
    <cellStyle name="20% - Accent3 2" xfId="28"/>
    <cellStyle name="20% - Accent4 2" xfId="29"/>
    <cellStyle name="20% - Accent5 2" xfId="30"/>
    <cellStyle name="20% - Accent6 2" xfId="31"/>
    <cellStyle name="40% - Accent1 2" xfId="32"/>
    <cellStyle name="40% - Accent2 2" xfId="33"/>
    <cellStyle name="40% - Accent3 2" xfId="34"/>
    <cellStyle name="40% - Accent4 2" xfId="35"/>
    <cellStyle name="40% - Accent5 2" xfId="36"/>
    <cellStyle name="40% - Accent6 2" xfId="37"/>
    <cellStyle name="60% - Accent1 2" xfId="11"/>
    <cellStyle name="60% - Accent1 3" xfId="38"/>
    <cellStyle name="60% - Accent2 2" xfId="12"/>
    <cellStyle name="60% - Accent2 3" xfId="39"/>
    <cellStyle name="60% - Accent3 2" xfId="13"/>
    <cellStyle name="60% - Accent3 3" xfId="40"/>
    <cellStyle name="60% - Accent4 2" xfId="14"/>
    <cellStyle name="60% - Accent4 3" xfId="41"/>
    <cellStyle name="60% - Accent5 2" xfId="15"/>
    <cellStyle name="60% - Accent5 3" xfId="42"/>
    <cellStyle name="60% - Accent6 2" xfId="16"/>
    <cellStyle name="60% - Accent6 3" xfId="43"/>
    <cellStyle name="Currency 2" xfId="2"/>
    <cellStyle name="Currency 2 2" xfId="17"/>
    <cellStyle name="Hyperlink" xfId="9" builtinId="8"/>
    <cellStyle name="Hyperlink 2" xfId="18"/>
    <cellStyle name="Hyperlink 3" xfId="19"/>
    <cellStyle name="Neutral 2" xfId="20"/>
    <cellStyle name="Normal" xfId="0" builtinId="0"/>
    <cellStyle name="Normal 2" xfId="3"/>
    <cellStyle name="Normal 2 2" xfId="4"/>
    <cellStyle name="Normal 2 2 2" xfId="1"/>
    <cellStyle name="Normal 2 2 2 2" xfId="21"/>
    <cellStyle name="Normal 2 3" xfId="22"/>
    <cellStyle name="Normal 3" xfId="7"/>
    <cellStyle name="Normal 4" xfId="8"/>
    <cellStyle name="Normal 4 2" xfId="10"/>
    <cellStyle name="Normal 5" xfId="23"/>
    <cellStyle name="Normal 6" xfId="24"/>
    <cellStyle name="Normal 7" xfId="5"/>
    <cellStyle name="Normal 8" xfId="44"/>
    <cellStyle name="Normal 9" xfId="6"/>
    <cellStyle name="Note 2" xfId="45"/>
    <cellStyle name="Title 2" xfId="25"/>
  </cellStyles>
  <dxfs count="6358"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24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5.emf"/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2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.emf"/><Relationship Id="rId1" Type="http://schemas.openxmlformats.org/officeDocument/2006/relationships/image" Target="../media/image28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.emf"/><Relationship Id="rId1" Type="http://schemas.openxmlformats.org/officeDocument/2006/relationships/image" Target="../media/image30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3.emf"/><Relationship Id="rId1" Type="http://schemas.openxmlformats.org/officeDocument/2006/relationships/image" Target="../media/image3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4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7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260</xdr:row>
      <xdr:rowOff>57150</xdr:rowOff>
    </xdr:from>
    <xdr:to>
      <xdr:col>42</xdr:col>
      <xdr:colOff>647700</xdr:colOff>
      <xdr:row>261</xdr:row>
      <xdr:rowOff>161924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8345150"/>
          <a:ext cx="333375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260</xdr:row>
          <xdr:rowOff>0</xdr:rowOff>
        </xdr:from>
        <xdr:to>
          <xdr:col>41</xdr:col>
          <xdr:colOff>228600</xdr:colOff>
          <xdr:row>260</xdr:row>
          <xdr:rowOff>0</xdr:rowOff>
        </xdr:to>
        <xdr:sp macro="" textlink="">
          <xdr:nvSpPr>
            <xdr:cNvPr id="18433" name="Pool4RecalcFinish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0</xdr:row>
      <xdr:rowOff>0</xdr:rowOff>
    </xdr:from>
    <xdr:to>
      <xdr:col>10</xdr:col>
      <xdr:colOff>371475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66900" y="0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609600</xdr:colOff>
      <xdr:row>0</xdr:row>
      <xdr:rowOff>0</xdr:rowOff>
    </xdr:from>
    <xdr:to>
      <xdr:col>12</xdr:col>
      <xdr:colOff>371475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66950" y="0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552450</xdr:colOff>
      <xdr:row>0</xdr:row>
      <xdr:rowOff>0</xdr:rowOff>
    </xdr:from>
    <xdr:to>
      <xdr:col>14</xdr:col>
      <xdr:colOff>409575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432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28575</xdr:colOff>
      <xdr:row>224</xdr:row>
      <xdr:rowOff>0</xdr:rowOff>
    </xdr:from>
    <xdr:to>
      <xdr:col>36</xdr:col>
      <xdr:colOff>104775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20107275"/>
          <a:ext cx="314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95250</xdr:colOff>
          <xdr:row>13</xdr:row>
          <xdr:rowOff>9525</xdr:rowOff>
        </xdr:from>
        <xdr:to>
          <xdr:col>41</xdr:col>
          <xdr:colOff>209550</xdr:colOff>
          <xdr:row>16</xdr:row>
          <xdr:rowOff>104775</xdr:rowOff>
        </xdr:to>
        <xdr:sp macro="" textlink="">
          <xdr:nvSpPr>
            <xdr:cNvPr id="6145" name="Pool1RecalcFinish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95250</xdr:colOff>
          <xdr:row>98</xdr:row>
          <xdr:rowOff>9525</xdr:rowOff>
        </xdr:from>
        <xdr:to>
          <xdr:col>41</xdr:col>
          <xdr:colOff>209550</xdr:colOff>
          <xdr:row>101</xdr:row>
          <xdr:rowOff>104775</xdr:rowOff>
        </xdr:to>
        <xdr:sp macro="" textlink="">
          <xdr:nvSpPr>
            <xdr:cNvPr id="6146" name="Pool2RecalcFinish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579120</xdr:colOff>
      <xdr:row>0</xdr:row>
      <xdr:rowOff>0</xdr:rowOff>
    </xdr:from>
    <xdr:to>
      <xdr:col>10</xdr:col>
      <xdr:colOff>388620</xdr:colOff>
      <xdr:row>0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AC51B0E0-FC2B-4899-A3DA-A1BE1ADFCD1C}"/>
            </a:ext>
          </a:extLst>
        </xdr:cNvPr>
        <xdr:cNvSpPr>
          <a:spLocks noChangeShapeType="1"/>
        </xdr:cNvSpPr>
      </xdr:nvSpPr>
      <xdr:spPr bwMode="auto">
        <a:xfrm>
          <a:off x="1884045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601980</xdr:colOff>
      <xdr:row>0</xdr:row>
      <xdr:rowOff>0</xdr:rowOff>
    </xdr:from>
    <xdr:to>
      <xdr:col>12</xdr:col>
      <xdr:colOff>388620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DE95A96B-D2C1-44C5-82F1-569BD3F17B5D}"/>
            </a:ext>
          </a:extLst>
        </xdr:cNvPr>
        <xdr:cNvSpPr>
          <a:spLocks noChangeShapeType="1"/>
        </xdr:cNvSpPr>
      </xdr:nvSpPr>
      <xdr:spPr bwMode="auto">
        <a:xfrm>
          <a:off x="2287905" y="0"/>
          <a:ext cx="8915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579120</xdr:colOff>
      <xdr:row>0</xdr:row>
      <xdr:rowOff>0</xdr:rowOff>
    </xdr:from>
    <xdr:to>
      <xdr:col>14</xdr:col>
      <xdr:colOff>403860</xdr:colOff>
      <xdr:row>0</xdr:row>
      <xdr:rowOff>0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A63758ED-428B-4D9E-A578-C76650E3BE13}"/>
            </a:ext>
          </a:extLst>
        </xdr:cNvPr>
        <xdr:cNvSpPr>
          <a:spLocks noChangeShapeType="1"/>
        </xdr:cNvSpPr>
      </xdr:nvSpPr>
      <xdr:spPr bwMode="auto">
        <a:xfrm>
          <a:off x="2779395" y="0"/>
          <a:ext cx="80581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45720</xdr:colOff>
      <xdr:row>223</xdr:row>
      <xdr:rowOff>144780</xdr:rowOff>
    </xdr:from>
    <xdr:to>
      <xdr:col>36</xdr:col>
      <xdr:colOff>152400</xdr:colOff>
      <xdr:row>233</xdr:row>
      <xdr:rowOff>68580</xdr:rowOff>
    </xdr:to>
    <xdr:pic>
      <xdr:nvPicPr>
        <xdr:cNvPr id="5" name="Picture 4" descr="SCMAP-USAVOLLEYBALL_c">
          <a:extLst>
            <a:ext uri="{FF2B5EF4-FFF2-40B4-BE49-F238E27FC236}">
              <a16:creationId xmlns="" xmlns:a16="http://schemas.microsoft.com/office/drawing/2014/main" id="{16ABBF04-CD1C-483A-8DD1-321CCCEC2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3920" y="20061555"/>
          <a:ext cx="35433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22860</xdr:colOff>
      <xdr:row>224</xdr:row>
      <xdr:rowOff>0</xdr:rowOff>
    </xdr:from>
    <xdr:to>
      <xdr:col>36</xdr:col>
      <xdr:colOff>114300</xdr:colOff>
      <xdr:row>233</xdr:row>
      <xdr:rowOff>91440</xdr:rowOff>
    </xdr:to>
    <xdr:pic>
      <xdr:nvPicPr>
        <xdr:cNvPr id="6" name="Picture 7" descr="SCMAP-USAVOLLEYBALL_c">
          <a:extLst>
            <a:ext uri="{FF2B5EF4-FFF2-40B4-BE49-F238E27FC236}">
              <a16:creationId xmlns="" xmlns:a16="http://schemas.microsoft.com/office/drawing/2014/main" id="{A88D69DE-B471-4637-81E8-9FA7EF68E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1060" y="20078700"/>
          <a:ext cx="339090" cy="26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22860</xdr:colOff>
      <xdr:row>224</xdr:row>
      <xdr:rowOff>0</xdr:rowOff>
    </xdr:from>
    <xdr:to>
      <xdr:col>36</xdr:col>
      <xdr:colOff>114300</xdr:colOff>
      <xdr:row>233</xdr:row>
      <xdr:rowOff>91440</xdr:rowOff>
    </xdr:to>
    <xdr:pic>
      <xdr:nvPicPr>
        <xdr:cNvPr id="7" name="Picture 8" descr="SCMAP-USAVOLLEYBALL_c">
          <a:extLst>
            <a:ext uri="{FF2B5EF4-FFF2-40B4-BE49-F238E27FC236}">
              <a16:creationId xmlns="" xmlns:a16="http://schemas.microsoft.com/office/drawing/2014/main" id="{A7E6DB3D-F867-4B86-8DA1-ED851D783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1060" y="20078700"/>
          <a:ext cx="339090" cy="26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2049" name="Pool1RecalcFinish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2050" name="Pool2RecalcFinish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47625</xdr:colOff>
      <xdr:row>223</xdr:row>
      <xdr:rowOff>142875</xdr:rowOff>
    </xdr:from>
    <xdr:to>
      <xdr:col>36</xdr:col>
      <xdr:colOff>142875</xdr:colOff>
      <xdr:row>233</xdr:row>
      <xdr:rowOff>66675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008822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95250</xdr:rowOff>
    </xdr:to>
    <xdr:pic>
      <xdr:nvPicPr>
        <xdr:cNvPr id="6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0727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95250</xdr:rowOff>
    </xdr:to>
    <xdr:pic>
      <xdr:nvPicPr>
        <xdr:cNvPr id="7" name="Picture 8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0727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13</xdr:row>
      <xdr:rowOff>9525</xdr:rowOff>
    </xdr:from>
    <xdr:to>
      <xdr:col>41</xdr:col>
      <xdr:colOff>228600</xdr:colOff>
      <xdr:row>16</xdr:row>
      <xdr:rowOff>104775</xdr:rowOff>
    </xdr:to>
    <xdr:pic>
      <xdr:nvPicPr>
        <xdr:cNvPr id="8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3238500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98</xdr:row>
      <xdr:rowOff>9525</xdr:rowOff>
    </xdr:from>
    <xdr:to>
      <xdr:col>41</xdr:col>
      <xdr:colOff>228600</xdr:colOff>
      <xdr:row>101</xdr:row>
      <xdr:rowOff>104775</xdr:rowOff>
    </xdr:to>
    <xdr:pic>
      <xdr:nvPicPr>
        <xdr:cNvPr id="9" name="Pool2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8886825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0727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8193" name="Pool1RecalcFinish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8194" name="Pool2RecalcFinish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0727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2289" name="Pool1RecalcFinish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12290" name="Pool2RecalcFinish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16</xdr:col>
      <xdr:colOff>85725</xdr:colOff>
      <xdr:row>136</xdr:row>
      <xdr:rowOff>133350</xdr:rowOff>
    </xdr:from>
    <xdr:to>
      <xdr:col>18</xdr:col>
      <xdr:colOff>123825</xdr:colOff>
      <xdr:row>138</xdr:row>
      <xdr:rowOff>133350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14106525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9217" name="Pool1RecalcFinish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47625</xdr:colOff>
      <xdr:row>223</xdr:row>
      <xdr:rowOff>142875</xdr:rowOff>
    </xdr:from>
    <xdr:to>
      <xdr:col>36</xdr:col>
      <xdr:colOff>152400</xdr:colOff>
      <xdr:row>233</xdr:row>
      <xdr:rowOff>66675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0088225"/>
          <a:ext cx="3524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6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0727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7" name="Picture 8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0727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3313" name="Pool1RecalcFinish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13314" name="Pool2RecalcFinish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264</xdr:row>
      <xdr:rowOff>66675</xdr:rowOff>
    </xdr:from>
    <xdr:to>
      <xdr:col>42</xdr:col>
      <xdr:colOff>647700</xdr:colOff>
      <xdr:row>266</xdr:row>
      <xdr:rowOff>1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8935700"/>
          <a:ext cx="333375" cy="266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260</xdr:row>
          <xdr:rowOff>0</xdr:rowOff>
        </xdr:from>
        <xdr:to>
          <xdr:col>41</xdr:col>
          <xdr:colOff>228600</xdr:colOff>
          <xdr:row>260</xdr:row>
          <xdr:rowOff>0</xdr:rowOff>
        </xdr:to>
        <xdr:sp macro="" textlink="">
          <xdr:nvSpPr>
            <xdr:cNvPr id="19457" name="Pool4RecalcFinish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260</xdr:row>
      <xdr:rowOff>57150</xdr:rowOff>
    </xdr:from>
    <xdr:to>
      <xdr:col>42</xdr:col>
      <xdr:colOff>647700</xdr:colOff>
      <xdr:row>262</xdr:row>
      <xdr:rowOff>0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30299025"/>
          <a:ext cx="333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260</xdr:row>
          <xdr:rowOff>0</xdr:rowOff>
        </xdr:from>
        <xdr:to>
          <xdr:col>41</xdr:col>
          <xdr:colOff>228600</xdr:colOff>
          <xdr:row>260</xdr:row>
          <xdr:rowOff>0</xdr:rowOff>
        </xdr:to>
        <xdr:sp macro="" textlink="">
          <xdr:nvSpPr>
            <xdr:cNvPr id="21505" name="Pool4RecalcFinish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264</xdr:row>
      <xdr:rowOff>66675</xdr:rowOff>
    </xdr:from>
    <xdr:to>
      <xdr:col>42</xdr:col>
      <xdr:colOff>647700</xdr:colOff>
      <xdr:row>266</xdr:row>
      <xdr:rowOff>1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8935700"/>
          <a:ext cx="333375" cy="266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260</xdr:row>
          <xdr:rowOff>0</xdr:rowOff>
        </xdr:from>
        <xdr:to>
          <xdr:col>41</xdr:col>
          <xdr:colOff>228600</xdr:colOff>
          <xdr:row>260</xdr:row>
          <xdr:rowOff>0</xdr:rowOff>
        </xdr:to>
        <xdr:sp macro="" textlink="">
          <xdr:nvSpPr>
            <xdr:cNvPr id="20481" name="Pool4RecalcFinish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0727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3073" name="Pool1RecalcFinish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3074" name="Pool2RecalcFinish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579120</xdr:colOff>
      <xdr:row>0</xdr:row>
      <xdr:rowOff>0</xdr:rowOff>
    </xdr:from>
    <xdr:to>
      <xdr:col>10</xdr:col>
      <xdr:colOff>388620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4045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601980</xdr:colOff>
      <xdr:row>0</xdr:row>
      <xdr:rowOff>0</xdr:rowOff>
    </xdr:from>
    <xdr:to>
      <xdr:col>12</xdr:col>
      <xdr:colOff>388620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7905" y="0"/>
          <a:ext cx="8915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579120</xdr:colOff>
      <xdr:row>0</xdr:row>
      <xdr:rowOff>0</xdr:rowOff>
    </xdr:from>
    <xdr:to>
      <xdr:col>14</xdr:col>
      <xdr:colOff>403860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79395" y="0"/>
          <a:ext cx="80581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22860</xdr:colOff>
      <xdr:row>224</xdr:row>
      <xdr:rowOff>0</xdr:rowOff>
    </xdr:from>
    <xdr:to>
      <xdr:col>36</xdr:col>
      <xdr:colOff>114300</xdr:colOff>
      <xdr:row>233</xdr:row>
      <xdr:rowOff>91440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1060" y="20107275"/>
          <a:ext cx="339090" cy="26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025" name="Pool1RecalcFinish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1026" name="Pool2RecalcFinish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0727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1265" name="Pool1RecalcFinish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11266" name="Pool2RecalcFinish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0727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4097" name="Pool1RecalcFinish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4098" name="Pool2RecalcFinish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0727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5121" name="Pool1RecalcFinish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5122" name="Pool2RecalcFinish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y/Downloads/Ranking%20Pool%20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1 Pool Example"/>
      <sheetName val="2 Pool Example"/>
      <sheetName val="3 Pool 15 tms"/>
      <sheetName val="3 Pool - wide Example"/>
      <sheetName val="4 Pool example"/>
      <sheetName val="Expected Outcomes"/>
    </sheetNames>
    <sheetDataSet>
      <sheetData sheetId="0">
        <row r="2">
          <cell r="AS2">
            <v>32</v>
          </cell>
        </row>
        <row r="3">
          <cell r="AS3">
            <v>16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21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6.xml"/><Relationship Id="rId5" Type="http://schemas.openxmlformats.org/officeDocument/2006/relationships/image" Target="../media/image20.emf"/><Relationship Id="rId4" Type="http://schemas.openxmlformats.org/officeDocument/2006/relationships/control" Target="../activeX/activeX1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image" Target="../media/image23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8.xml"/><Relationship Id="rId5" Type="http://schemas.openxmlformats.org/officeDocument/2006/relationships/image" Target="../media/image22.emf"/><Relationship Id="rId4" Type="http://schemas.openxmlformats.org/officeDocument/2006/relationships/control" Target="../activeX/activeX1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28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20.xml"/><Relationship Id="rId5" Type="http://schemas.openxmlformats.org/officeDocument/2006/relationships/image" Target="../media/image27.emf"/><Relationship Id="rId4" Type="http://schemas.openxmlformats.org/officeDocument/2006/relationships/control" Target="../activeX/activeX1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30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22.xml"/><Relationship Id="rId5" Type="http://schemas.openxmlformats.org/officeDocument/2006/relationships/image" Target="../media/image29.emf"/><Relationship Id="rId4" Type="http://schemas.openxmlformats.org/officeDocument/2006/relationships/control" Target="../activeX/activeX2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31.emf"/><Relationship Id="rId4" Type="http://schemas.openxmlformats.org/officeDocument/2006/relationships/control" Target="../activeX/activeX2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34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25.xml"/><Relationship Id="rId5" Type="http://schemas.openxmlformats.org/officeDocument/2006/relationships/image" Target="../media/image33.emf"/><Relationship Id="rId4" Type="http://schemas.openxmlformats.org/officeDocument/2006/relationships/control" Target="../activeX/activeX2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control" Target="../activeX/activeX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5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6.emf"/><Relationship Id="rId4" Type="http://schemas.openxmlformats.org/officeDocument/2006/relationships/control" Target="../activeX/activeX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8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6.xml"/><Relationship Id="rId5" Type="http://schemas.openxmlformats.org/officeDocument/2006/relationships/image" Target="../media/image7.emf"/><Relationship Id="rId4" Type="http://schemas.openxmlformats.org/officeDocument/2006/relationships/control" Target="../activeX/activeX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8.xml"/><Relationship Id="rId5" Type="http://schemas.openxmlformats.org/officeDocument/2006/relationships/image" Target="../media/image10.emf"/><Relationship Id="rId4" Type="http://schemas.openxmlformats.org/officeDocument/2006/relationships/control" Target="../activeX/activeX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4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10.xml"/><Relationship Id="rId5" Type="http://schemas.openxmlformats.org/officeDocument/2006/relationships/image" Target="../media/image13.emf"/><Relationship Id="rId4" Type="http://schemas.openxmlformats.org/officeDocument/2006/relationships/control" Target="../activeX/activeX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17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2.xml"/><Relationship Id="rId5" Type="http://schemas.openxmlformats.org/officeDocument/2006/relationships/image" Target="../media/image16.emf"/><Relationship Id="rId4" Type="http://schemas.openxmlformats.org/officeDocument/2006/relationships/control" Target="../activeX/activeX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19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4.xml"/><Relationship Id="rId5" Type="http://schemas.openxmlformats.org/officeDocument/2006/relationships/image" Target="../media/image18.emf"/><Relationship Id="rId4" Type="http://schemas.openxmlformats.org/officeDocument/2006/relationships/control" Target="../activeX/activeX1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rgb="FFFF0000"/>
  </sheetPr>
  <dimension ref="A1:BA260"/>
  <sheetViews>
    <sheetView topLeftCell="AN1" zoomScale="70" zoomScaleNormal="70" workbookViewId="0">
      <selection activeCell="BA2" sqref="BA2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7" width="20.42578125" style="4" bestFit="1" customWidth="1"/>
    <col min="48" max="48" width="11.42578125" style="4" bestFit="1" customWidth="1"/>
    <col min="49" max="51" width="8.85546875" style="4"/>
    <col min="52" max="52" width="24.5703125" style="4" bestFit="1" customWidth="1"/>
    <col min="53" max="53" width="3" style="4" bestFit="1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4"/>
      <c r="AZ1" s="5" t="s">
        <v>4</v>
      </c>
      <c r="BA1" s="4">
        <v>16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1018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/>
      <c r="AE2" s="204"/>
      <c r="AF2" s="204"/>
      <c r="AG2" s="204"/>
      <c r="AH2" s="204"/>
      <c r="AI2" s="205"/>
      <c r="AJ2" s="182"/>
      <c r="AK2" s="182"/>
      <c r="AL2" s="182"/>
      <c r="AM2" s="182"/>
      <c r="AN2" s="182"/>
      <c r="AO2" s="182"/>
      <c r="AP2" s="182"/>
      <c r="AQ2" s="182"/>
      <c r="AR2" s="3"/>
      <c r="AT2" s="8" t="s">
        <v>9</v>
      </c>
      <c r="AU2" s="9" t="s">
        <v>10</v>
      </c>
      <c r="AV2" s="183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4">
        <v>16</v>
      </c>
    </row>
    <row r="3" spans="1:53" ht="18.75" customHeight="1" thickBot="1" x14ac:dyDescent="0.3">
      <c r="A3" s="13" t="s">
        <v>16</v>
      </c>
      <c r="B3" s="213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/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224" t="s">
        <v>21</v>
      </c>
      <c r="AF3" s="225"/>
      <c r="AG3" s="225" t="s">
        <v>22</v>
      </c>
      <c r="AH3" s="225"/>
      <c r="AI3" s="226"/>
      <c r="AJ3" s="182"/>
      <c r="AK3" s="182"/>
      <c r="AL3" s="182"/>
      <c r="AM3" s="182"/>
      <c r="AN3" s="182"/>
      <c r="AO3" s="182"/>
      <c r="AP3" s="182"/>
      <c r="AQ3" s="182"/>
      <c r="AR3" s="3"/>
      <c r="AT3" s="14">
        <v>1</v>
      </c>
      <c r="AU3" s="184" t="s">
        <v>433</v>
      </c>
      <c r="AV3" s="184" t="s">
        <v>431</v>
      </c>
      <c r="AW3" s="16">
        <f>VLOOKUP(AV3,'New AM wave 7 tms'!AV$3:AX$12, 3, FALSE)</f>
        <v>1313.3752502473765</v>
      </c>
      <c r="AX3" s="17">
        <f t="shared" ref="AX3:AX9" si="0">VLOOKUP(AU3,AT$79:AU$259,2,FALSE)</f>
        <v>1314.5144620222545</v>
      </c>
      <c r="AY3" s="18">
        <f t="shared" ref="AY3:AY9" si="1">IF(ISNA(VLOOKUP(AU3,AT$273:AU$373,2,FALSE)),AX3,VLOOKUP(AU3,AT$273:AU$373,2,FALSE))</f>
        <v>1314.5144620222545</v>
      </c>
    </row>
    <row r="4" spans="1:53" ht="24" customHeight="1" thickBot="1" x14ac:dyDescent="0.25">
      <c r="A4" s="206" t="s">
        <v>25</v>
      </c>
      <c r="B4" s="207"/>
      <c r="C4" s="207"/>
      <c r="D4" s="208"/>
      <c r="E4" s="209"/>
      <c r="F4" s="210"/>
      <c r="G4" s="210"/>
      <c r="H4" s="210"/>
      <c r="I4" s="210"/>
      <c r="J4" s="210"/>
      <c r="K4" s="210"/>
      <c r="L4" s="210"/>
      <c r="M4" s="211"/>
      <c r="N4" s="206" t="s">
        <v>1016</v>
      </c>
      <c r="O4" s="207"/>
      <c r="P4" s="207"/>
      <c r="Q4" s="208"/>
      <c r="R4" s="212"/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1017</v>
      </c>
      <c r="AC4" s="207"/>
      <c r="AD4" s="207"/>
      <c r="AE4" s="208"/>
      <c r="AF4" s="212"/>
      <c r="AG4" s="204"/>
      <c r="AH4" s="204"/>
      <c r="AI4" s="205"/>
      <c r="AJ4" s="182"/>
      <c r="AK4" s="182"/>
      <c r="AL4" s="182"/>
      <c r="AM4" s="182"/>
      <c r="AN4" s="182"/>
      <c r="AO4" s="182"/>
      <c r="AP4" s="182"/>
      <c r="AQ4" s="182"/>
      <c r="AR4" s="3"/>
      <c r="AT4" s="19">
        <v>2</v>
      </c>
      <c r="AU4" s="184" t="s">
        <v>359</v>
      </c>
      <c r="AV4" s="184" t="s">
        <v>357</v>
      </c>
      <c r="AW4" s="16">
        <f>VLOOKUP(AV4,'New AM wave 7 tms'!AV$3:AX$12, 3, FALSE)</f>
        <v>1204.7223046644847</v>
      </c>
      <c r="AX4" s="20">
        <f t="shared" si="0"/>
        <v>1216.2682939252052</v>
      </c>
      <c r="AY4" s="21">
        <f t="shared" si="1"/>
        <v>1216.2682939252052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84" t="s">
        <v>998</v>
      </c>
      <c r="AV5" s="184" t="s">
        <v>999</v>
      </c>
      <c r="AW5" s="16">
        <f>VLOOKUP(AV5,'New AM wave 7 tms'!AV$3:AX$12, 3, FALSE)</f>
        <v>1145.0627264163368</v>
      </c>
      <c r="AX5" s="20">
        <f t="shared" si="0"/>
        <v>1139.4725405231391</v>
      </c>
      <c r="AY5" s="21">
        <f t="shared" si="1"/>
        <v>1139.4725405231391</v>
      </c>
    </row>
    <row r="6" spans="1:53" ht="24" customHeight="1" thickBot="1" x14ac:dyDescent="0.25">
      <c r="A6" s="22" t="s">
        <v>35</v>
      </c>
      <c r="B6" s="23" t="s">
        <v>1014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182"/>
      <c r="AK6" s="182"/>
      <c r="AL6" s="182"/>
      <c r="AM6" s="182"/>
      <c r="AN6" s="182"/>
      <c r="AO6" s="182"/>
      <c r="AP6" s="182"/>
      <c r="AQ6" s="182"/>
      <c r="AT6" s="19">
        <v>4</v>
      </c>
      <c r="AU6" s="184" t="s">
        <v>439</v>
      </c>
      <c r="AV6" s="184" t="s">
        <v>438</v>
      </c>
      <c r="AW6" s="16">
        <f>VLOOKUP(AV6,'New AM wave 7 tms'!AV$3:AX$12, 3, FALSE)</f>
        <v>1264.1177094032755</v>
      </c>
      <c r="AX6" s="20">
        <f t="shared" si="0"/>
        <v>1225.2301659580562</v>
      </c>
      <c r="AY6" s="21">
        <f t="shared" si="1"/>
        <v>1225.2301659580562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Matches Won</v>
      </c>
      <c r="M7" s="255"/>
      <c r="N7" s="255"/>
      <c r="O7" s="255"/>
      <c r="P7" s="255"/>
      <c r="Q7" s="256"/>
      <c r="R7" s="254" t="str">
        <f>IF($AK10=0,"Games Lost","Matches Lost")</f>
        <v>Matches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84" t="s">
        <v>441</v>
      </c>
      <c r="AV7" s="184" t="s">
        <v>440</v>
      </c>
      <c r="AW7" s="16">
        <f>VLOOKUP(AV7,'New AM wave 7 tms'!AV$3:AX$12, 3, FALSE)</f>
        <v>1232.5518241924728</v>
      </c>
      <c r="AX7" s="20">
        <f t="shared" si="0"/>
        <v>1254.0220353337193</v>
      </c>
      <c r="AY7" s="21">
        <f t="shared" si="1"/>
        <v>1254.0220353337193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CSNS 12-1</v>
      </c>
      <c r="F8" s="233"/>
      <c r="G8" s="233"/>
      <c r="H8" s="233"/>
      <c r="I8" s="233"/>
      <c r="J8" s="233"/>
      <c r="K8" s="234"/>
      <c r="L8" s="235">
        <f>IF($AK10=0,AF64,AF46)</f>
        <v>1</v>
      </c>
      <c r="M8" s="236"/>
      <c r="N8" s="236"/>
      <c r="O8" s="236"/>
      <c r="P8" s="236"/>
      <c r="Q8" s="256"/>
      <c r="R8" s="235">
        <f>IF($AK10=0,AG64,AG46)</f>
        <v>0</v>
      </c>
      <c r="S8" s="236"/>
      <c r="T8" s="236"/>
      <c r="U8" s="236"/>
      <c r="V8" s="236"/>
      <c r="W8" s="235">
        <f>AQ24</f>
        <v>37</v>
      </c>
      <c r="X8" s="236"/>
      <c r="Y8" s="236"/>
      <c r="Z8" s="239">
        <f>IF(AF58&gt;0,(AQ24/AF58),0)</f>
        <v>0.33944954128440369</v>
      </c>
      <c r="AA8" s="240"/>
      <c r="AB8" s="240"/>
      <c r="AC8" s="262">
        <f>IF(AF72=0,0,(AF64/AF72))</f>
        <v>0.6</v>
      </c>
      <c r="AD8" s="263"/>
      <c r="AE8" s="264"/>
      <c r="AF8" s="268">
        <v>1</v>
      </c>
      <c r="AG8" s="268">
        <v>1</v>
      </c>
      <c r="AH8" s="270">
        <v>3</v>
      </c>
      <c r="AI8" s="271"/>
      <c r="AJ8" s="27"/>
      <c r="AK8" s="28">
        <v>6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84" t="s">
        <v>457</v>
      </c>
      <c r="AV8" s="184" t="s">
        <v>456</v>
      </c>
      <c r="AW8" s="16">
        <f>VLOOKUP(AV8,'New AM wave 7 tms'!AV$3:AX$12, 3, FALSE)</f>
        <v>1130.0726847488152</v>
      </c>
      <c r="AX8" s="20">
        <f t="shared" si="0"/>
        <v>1124.1168813812924</v>
      </c>
      <c r="AY8" s="21">
        <f t="shared" si="1"/>
        <v>1124.1168813812924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fj2csout1pm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4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84" t="s">
        <v>533</v>
      </c>
      <c r="AV9" s="184" t="s">
        <v>532</v>
      </c>
      <c r="AW9" s="16">
        <f>VLOOKUP(AV9,'New AM wave 7 tms'!AV$3:AX$12, 3, FALSE)</f>
        <v>1262.211631667539</v>
      </c>
      <c r="AX9" s="20">
        <f t="shared" si="0"/>
        <v>1278.4897521966338</v>
      </c>
      <c r="AY9" s="21">
        <f t="shared" si="1"/>
        <v>1278.4897521966338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Foothills 12 Rachel</v>
      </c>
      <c r="F10" s="233"/>
      <c r="G10" s="233"/>
      <c r="H10" s="233"/>
      <c r="I10" s="233"/>
      <c r="J10" s="233"/>
      <c r="K10" s="234"/>
      <c r="L10" s="235">
        <f>IF($AK10=0,AF65,AF47)</f>
        <v>0</v>
      </c>
      <c r="M10" s="236"/>
      <c r="N10" s="236"/>
      <c r="O10" s="236"/>
      <c r="P10" s="236"/>
      <c r="Q10" s="256"/>
      <c r="R10" s="235">
        <f>IF($AK10=0,AG65,AG47)</f>
        <v>3</v>
      </c>
      <c r="S10" s="236"/>
      <c r="T10" s="236"/>
      <c r="U10" s="236"/>
      <c r="V10" s="236"/>
      <c r="W10" s="235">
        <f>AQ25</f>
        <v>-42</v>
      </c>
      <c r="X10" s="236"/>
      <c r="Y10" s="236"/>
      <c r="Z10" s="239">
        <f>IF(AF59&gt;0,(AQ25/AF59),0)</f>
        <v>-0.36521739130434783</v>
      </c>
      <c r="AA10" s="240"/>
      <c r="AB10" s="240"/>
      <c r="AC10" s="262">
        <f>IF(AF73=0,0,(AF65/AF73))</f>
        <v>0</v>
      </c>
      <c r="AD10" s="263"/>
      <c r="AE10" s="264"/>
      <c r="AF10" s="268">
        <v>2</v>
      </c>
      <c r="AG10" s="268">
        <v>1</v>
      </c>
      <c r="AH10" s="270">
        <v>1</v>
      </c>
      <c r="AI10" s="271"/>
      <c r="AJ10" s="27"/>
      <c r="AK10" s="28">
        <v>1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79"/>
      <c r="AV10" s="179"/>
      <c r="AW10" s="16"/>
      <c r="AX10" s="20"/>
      <c r="AY10" s="21"/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fj2footh5pm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79"/>
      <c r="AV11" s="179"/>
      <c r="AW11" s="16"/>
      <c r="AX11" s="20"/>
      <c r="AY11" s="21"/>
    </row>
    <row r="12" spans="1:53" ht="18.75" customHeight="1" x14ac:dyDescent="0.2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Kidz Power Intense col</v>
      </c>
      <c r="F12" s="233"/>
      <c r="G12" s="233"/>
      <c r="H12" s="233"/>
      <c r="I12" s="233"/>
      <c r="J12" s="233"/>
      <c r="K12" s="234"/>
      <c r="L12" s="235">
        <f>IF($AK10=0,AF66,AF48)</f>
        <v>1</v>
      </c>
      <c r="M12" s="236"/>
      <c r="N12" s="236"/>
      <c r="O12" s="236"/>
      <c r="P12" s="236"/>
      <c r="Q12" s="256"/>
      <c r="R12" s="235">
        <f>IF($AK10=0,AG66,AG48)</f>
        <v>0</v>
      </c>
      <c r="S12" s="236"/>
      <c r="T12" s="236"/>
      <c r="U12" s="236"/>
      <c r="V12" s="236"/>
      <c r="W12" s="235">
        <f>AQ26</f>
        <v>10</v>
      </c>
      <c r="X12" s="236"/>
      <c r="Y12" s="236"/>
      <c r="Z12" s="239">
        <f>IF(AF60&gt;0,(AQ26/AF60),0)</f>
        <v>7.7519379844961239E-2</v>
      </c>
      <c r="AA12" s="240"/>
      <c r="AB12" s="240"/>
      <c r="AC12" s="262">
        <f>IF(AF74=0,0,(AF66/AF74))</f>
        <v>0.66666666666666663</v>
      </c>
      <c r="AD12" s="263"/>
      <c r="AE12" s="264"/>
      <c r="AF12" s="268">
        <v>3</v>
      </c>
      <c r="AG12" s="268">
        <v>1</v>
      </c>
      <c r="AH12" s="270">
        <v>2</v>
      </c>
      <c r="AI12" s="271"/>
      <c r="AJ12" s="31"/>
      <c r="AK12" s="28">
        <v>3</v>
      </c>
      <c r="AL12" s="32" t="s">
        <v>61</v>
      </c>
      <c r="AM12" s="29"/>
      <c r="AN12" s="29"/>
      <c r="AO12" s="29"/>
      <c r="AP12" s="29"/>
      <c r="AQ12" s="29"/>
      <c r="AR12" s="30"/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fj2inten4pm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AU9</f>
        <v>Foothills 13 Caitlin</v>
      </c>
      <c r="F14" s="233"/>
      <c r="G14" s="233"/>
      <c r="H14" s="233"/>
      <c r="I14" s="233"/>
      <c r="J14" s="233"/>
      <c r="K14" s="234"/>
      <c r="L14" s="235">
        <f>IF($AK10=0,AF67,AF49)</f>
        <v>1</v>
      </c>
      <c r="M14" s="236"/>
      <c r="N14" s="236"/>
      <c r="O14" s="236"/>
      <c r="P14" s="236"/>
      <c r="Q14" s="256"/>
      <c r="R14" s="235">
        <f>IF($AK10=0,AG67,AG49)</f>
        <v>0</v>
      </c>
      <c r="S14" s="236"/>
      <c r="T14" s="236"/>
      <c r="U14" s="236"/>
      <c r="V14" s="236"/>
      <c r="W14" s="235">
        <f>AQ27</f>
        <v>-5</v>
      </c>
      <c r="X14" s="236"/>
      <c r="Y14" s="236"/>
      <c r="Z14" s="239">
        <f>IF(AF61&gt;0,(AQ27/AF61),0)</f>
        <v>-4.2735042735042736E-2</v>
      </c>
      <c r="AA14" s="240"/>
      <c r="AB14" s="240"/>
      <c r="AC14" s="262">
        <f>IF(AF75=0,0,(AF67/AF75))</f>
        <v>0.66666666666666663</v>
      </c>
      <c r="AD14" s="263"/>
      <c r="AE14" s="264"/>
      <c r="AF14" s="268">
        <v>4</v>
      </c>
      <c r="AG14" s="268"/>
      <c r="AH14" s="270"/>
      <c r="AI14" s="271"/>
      <c r="AJ14" s="182"/>
      <c r="AK14" s="37"/>
      <c r="AL14" s="37"/>
      <c r="AM14" s="37"/>
      <c r="AN14" s="37"/>
      <c r="AO14" s="37"/>
      <c r="AP14" s="37"/>
      <c r="AQ14" s="29"/>
      <c r="AR14" s="30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AV9</f>
        <v>fj3footh2pm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182"/>
      <c r="AK15" s="37"/>
      <c r="AL15" s="37"/>
      <c r="AM15" s="37"/>
      <c r="AN15" s="37"/>
      <c r="AO15" s="37"/>
      <c r="AP15" s="37"/>
      <c r="AQ15" s="182"/>
      <c r="AR15" s="3"/>
      <c r="AU15" s="184"/>
      <c r="AV15" s="184"/>
    </row>
    <row r="16" spans="1:53" ht="18.75" customHeight="1" thickBot="1" x14ac:dyDescent="0.25">
      <c r="A16" s="227" t="str">
        <f>IF($AK9&gt;4,"5","")</f>
        <v/>
      </c>
      <c r="B16" s="286" t="s">
        <v>10</v>
      </c>
      <c r="C16" s="287"/>
      <c r="D16" s="287"/>
      <c r="E16" s="300" t="e">
        <f>#REF!</f>
        <v>#REF!</v>
      </c>
      <c r="F16" s="301"/>
      <c r="G16" s="301"/>
      <c r="H16" s="301"/>
      <c r="I16" s="301"/>
      <c r="J16" s="301"/>
      <c r="K16" s="302"/>
      <c r="L16" s="235">
        <f>IF($AK10=0,AF68,AF50)</f>
        <v>0</v>
      </c>
      <c r="M16" s="236"/>
      <c r="N16" s="236"/>
      <c r="O16" s="236"/>
      <c r="P16" s="236"/>
      <c r="Q16" s="256"/>
      <c r="R16" s="235">
        <f>IF($AK10=0,AG68,AG50)</f>
        <v>0</v>
      </c>
      <c r="S16" s="236"/>
      <c r="T16" s="236"/>
      <c r="U16" s="236"/>
      <c r="V16" s="236"/>
      <c r="W16" s="235">
        <f>AQ28</f>
        <v>0</v>
      </c>
      <c r="X16" s="236"/>
      <c r="Y16" s="236"/>
      <c r="Z16" s="239">
        <f>IF(AF62&gt;0,(AQ28/AF62),0)</f>
        <v>0</v>
      </c>
      <c r="AA16" s="240"/>
      <c r="AB16" s="240"/>
      <c r="AC16" s="262">
        <f>IF(AF76=0,0,(AF68/AF76))</f>
        <v>0</v>
      </c>
      <c r="AD16" s="263"/>
      <c r="AE16" s="264"/>
      <c r="AF16" s="268"/>
      <c r="AG16" s="268"/>
      <c r="AH16" s="270"/>
      <c r="AI16" s="271"/>
      <c r="AJ16" s="182"/>
      <c r="AK16" s="37"/>
      <c r="AL16" s="37"/>
      <c r="AM16" s="37"/>
      <c r="AN16" s="37"/>
      <c r="AO16" s="37"/>
      <c r="AP16" s="37"/>
      <c r="AQ16" s="182"/>
      <c r="AR16" s="3"/>
      <c r="AU16" s="184"/>
      <c r="AV16" s="184"/>
    </row>
    <row r="17" spans="1:48" ht="18.75" customHeight="1" thickBot="1" x14ac:dyDescent="0.25">
      <c r="A17" s="228"/>
      <c r="B17" s="296" t="s">
        <v>11</v>
      </c>
      <c r="C17" s="297"/>
      <c r="D17" s="297"/>
      <c r="E17" s="298" t="e">
        <f>#REF!</f>
        <v>#REF!</v>
      </c>
      <c r="F17" s="299"/>
      <c r="G17" s="299"/>
      <c r="H17" s="299"/>
      <c r="I17" s="299"/>
      <c r="J17" s="299"/>
      <c r="K17" s="299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182"/>
      <c r="AK17" s="37"/>
      <c r="AL17" s="37"/>
      <c r="AM17" s="37"/>
      <c r="AN17" s="37"/>
      <c r="AO17" s="37"/>
      <c r="AP17" s="37"/>
      <c r="AQ17" s="182"/>
      <c r="AR17" s="3"/>
      <c r="AU17" s="184"/>
      <c r="AV17" s="184"/>
    </row>
    <row r="18" spans="1:48" ht="21" customHeight="1" thickTop="1" thickBot="1" x14ac:dyDescent="0.25">
      <c r="A18" s="40"/>
      <c r="B18" s="305" t="s">
        <v>1019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182"/>
      <c r="AK18" s="37"/>
      <c r="AL18" s="37"/>
      <c r="AM18" s="37"/>
      <c r="AN18" s="37"/>
      <c r="AO18" s="37"/>
      <c r="AP18" s="37"/>
      <c r="AQ18" s="182"/>
      <c r="AR18" s="3"/>
      <c r="AU18" s="184"/>
      <c r="AV18" s="184"/>
    </row>
    <row r="19" spans="1:48" ht="14.25" thickTop="1" thickBot="1" x14ac:dyDescent="0.25">
      <c r="A19" s="4" t="s">
        <v>66</v>
      </c>
      <c r="B19" s="308">
        <v>0.13541666666666666</v>
      </c>
      <c r="C19" s="309"/>
      <c r="D19" s="310"/>
      <c r="E19" s="308">
        <v>0.16666666666666666</v>
      </c>
      <c r="F19" s="309"/>
      <c r="G19" s="310"/>
      <c r="H19" s="308">
        <v>0.19791666666666666</v>
      </c>
      <c r="I19" s="309"/>
      <c r="J19" s="310"/>
      <c r="K19" s="308"/>
      <c r="L19" s="309"/>
      <c r="M19" s="310"/>
      <c r="N19" s="308"/>
      <c r="O19" s="309"/>
      <c r="P19" s="310"/>
      <c r="Q19" s="308"/>
      <c r="R19" s="309"/>
      <c r="S19" s="310"/>
      <c r="T19" s="308"/>
      <c r="U19" s="309"/>
      <c r="V19" s="310"/>
      <c r="W19" s="308"/>
      <c r="X19" s="309"/>
      <c r="Y19" s="310"/>
      <c r="Z19" s="308"/>
      <c r="AA19" s="309"/>
      <c r="AB19" s="310"/>
      <c r="AC19" s="308"/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U19" s="184"/>
      <c r="AV19" s="184"/>
    </row>
    <row r="20" spans="1:48" ht="13.5" thickBot="1" x14ac:dyDescent="0.25">
      <c r="A20" s="41" t="s">
        <v>68</v>
      </c>
      <c r="B20" s="319"/>
      <c r="C20" s="320"/>
      <c r="D20" s="321"/>
      <c r="E20" s="319"/>
      <c r="F20" s="320"/>
      <c r="G20" s="321"/>
      <c r="H20" s="319"/>
      <c r="I20" s="320"/>
      <c r="J20" s="321"/>
      <c r="K20" s="319"/>
      <c r="L20" s="320"/>
      <c r="M20" s="321"/>
      <c r="N20" s="319"/>
      <c r="O20" s="320"/>
      <c r="P20" s="321"/>
      <c r="Q20" s="319"/>
      <c r="R20" s="320"/>
      <c r="S20" s="321"/>
      <c r="T20" s="319"/>
      <c r="U20" s="320"/>
      <c r="V20" s="321"/>
      <c r="W20" s="319"/>
      <c r="X20" s="320"/>
      <c r="Y20" s="321"/>
      <c r="Z20" s="319"/>
      <c r="AA20" s="320"/>
      <c r="AB20" s="321"/>
      <c r="AC20" s="319"/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U20" s="184"/>
      <c r="AV20" s="184"/>
    </row>
    <row r="21" spans="1:48" ht="13.5" thickBot="1" x14ac:dyDescent="0.25">
      <c r="A21" s="41" t="s">
        <v>69</v>
      </c>
      <c r="B21" s="319"/>
      <c r="C21" s="320"/>
      <c r="D21" s="321"/>
      <c r="E21" s="319"/>
      <c r="F21" s="320"/>
      <c r="G21" s="321"/>
      <c r="H21" s="319"/>
      <c r="I21" s="320"/>
      <c r="J21" s="321"/>
      <c r="K21" s="319"/>
      <c r="L21" s="320"/>
      <c r="M21" s="321"/>
      <c r="N21" s="319"/>
      <c r="O21" s="320"/>
      <c r="P21" s="321"/>
      <c r="Q21" s="319"/>
      <c r="R21" s="320"/>
      <c r="S21" s="321"/>
      <c r="T21" s="319"/>
      <c r="U21" s="320"/>
      <c r="V21" s="321"/>
      <c r="W21" s="319"/>
      <c r="X21" s="320"/>
      <c r="Y21" s="321"/>
      <c r="Z21" s="319"/>
      <c r="AA21" s="320"/>
      <c r="AB21" s="321"/>
      <c r="AC21" s="319"/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U21" s="184"/>
      <c r="AV21" s="184"/>
    </row>
    <row r="22" spans="1:48" ht="13.5" thickBot="1" x14ac:dyDescent="0.25">
      <c r="A22" s="182"/>
      <c r="B22" s="322" t="s">
        <v>70</v>
      </c>
      <c r="C22" s="323"/>
      <c r="D22" s="324"/>
      <c r="E22" s="322" t="str">
        <f>IF(AK8&gt;1,"Match 2","")</f>
        <v>Match 2</v>
      </c>
      <c r="F22" s="323"/>
      <c r="G22" s="324"/>
      <c r="H22" s="322" t="str">
        <f>IF(AK8&gt;2,"Match 3","")</f>
        <v>Match 3</v>
      </c>
      <c r="I22" s="323"/>
      <c r="J22" s="324"/>
      <c r="K22" s="322" t="str">
        <f>IF(AK8&gt;3,"Match 4","")</f>
        <v>Match 4</v>
      </c>
      <c r="L22" s="323"/>
      <c r="M22" s="324"/>
      <c r="N22" s="322" t="str">
        <f>IF(AK8&gt;4,"Match 5","")</f>
        <v>Match 5</v>
      </c>
      <c r="O22" s="323"/>
      <c r="P22" s="324"/>
      <c r="Q22" s="322" t="str">
        <f>IF(AK8&gt;5,"Match 6","")</f>
        <v>Match 6</v>
      </c>
      <c r="R22" s="323"/>
      <c r="S22" s="324"/>
      <c r="T22" s="322" t="str">
        <f>IF(AK8&gt;6,"Match 7","")</f>
        <v/>
      </c>
      <c r="U22" s="323"/>
      <c r="V22" s="324"/>
      <c r="W22" s="322" t="str">
        <f>IF(AK8&gt;7,"Match 8","")</f>
        <v/>
      </c>
      <c r="X22" s="323"/>
      <c r="Y22" s="324"/>
      <c r="Z22" s="322" t="str">
        <f>IF(AK8&gt;8,"Match 9","")</f>
        <v/>
      </c>
      <c r="AA22" s="323"/>
      <c r="AB22" s="324"/>
      <c r="AC22" s="322" t="str">
        <f>IF(AK8&gt;9,"Match 10","")</f>
        <v/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</row>
    <row r="23" spans="1:48" ht="15.75" customHeight="1" x14ac:dyDescent="0.25">
      <c r="A23" s="182"/>
      <c r="B23" s="325" t="s">
        <v>73</v>
      </c>
      <c r="C23" s="326"/>
      <c r="D23" s="327"/>
      <c r="E23" s="325" t="s">
        <v>75</v>
      </c>
      <c r="F23" s="326"/>
      <c r="G23" s="327"/>
      <c r="H23" s="325" t="s">
        <v>72</v>
      </c>
      <c r="I23" s="326"/>
      <c r="J23" s="327"/>
      <c r="K23" s="325" t="s">
        <v>71</v>
      </c>
      <c r="L23" s="326"/>
      <c r="M23" s="327"/>
      <c r="N23" s="325" t="s">
        <v>75</v>
      </c>
      <c r="O23" s="326"/>
      <c r="P23" s="327"/>
      <c r="Q23" s="325" t="s">
        <v>72</v>
      </c>
      <c r="R23" s="326"/>
      <c r="S23" s="327"/>
      <c r="T23" s="325"/>
      <c r="U23" s="326"/>
      <c r="V23" s="327"/>
      <c r="W23" s="325"/>
      <c r="X23" s="326"/>
      <c r="Y23" s="327"/>
      <c r="Z23" s="325"/>
      <c r="AA23" s="326"/>
      <c r="AB23" s="327"/>
      <c r="AC23" s="325"/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</row>
    <row r="24" spans="1:48" ht="15.75" x14ac:dyDescent="0.25">
      <c r="A24" s="182"/>
      <c r="B24" s="45">
        <v>2</v>
      </c>
      <c r="C24" s="46" t="s">
        <v>78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/>
      <c r="U24" s="46" t="str">
        <f>IF(AK8&gt;6,"v","")</f>
        <v/>
      </c>
      <c r="V24" s="47"/>
      <c r="W24" s="45"/>
      <c r="X24" s="46" t="str">
        <f>IF(AK8&gt;7,"v","")</f>
        <v/>
      </c>
      <c r="Y24" s="47"/>
      <c r="Z24" s="45"/>
      <c r="AA24" s="46" t="str">
        <f>IF(AK8&gt;8,"v","")</f>
        <v/>
      </c>
      <c r="AB24" s="47"/>
      <c r="AC24" s="45"/>
      <c r="AD24" s="46" t="str">
        <f>IF(AK8&gt;9,"v","")</f>
        <v/>
      </c>
      <c r="AE24" s="47"/>
      <c r="AF24" s="42" t="str">
        <f>IF(AK9&gt;0,"Team 1","")</f>
        <v>Team 1</v>
      </c>
      <c r="AG24" s="48" t="str">
        <f>IF(AK9&lt;1,"",IF(AK8&lt;1,"",IF(B24=1,B30-D30,IF(D24=1,D30-B30,""))))</f>
        <v/>
      </c>
      <c r="AH24" s="48">
        <f>IF(AK9&lt;1,"",IF(AK8&lt;2,"",IF(E24=1,E30-G30,IF(G24=1,G30-E30,""))))</f>
        <v>11</v>
      </c>
      <c r="AI24" s="48" t="str">
        <f>IF(AK9&lt;1,"",IF(AK8&lt;3,"",IF(H24=1,H30-J30,IF(J24=1,J30-H30,""))))</f>
        <v/>
      </c>
      <c r="AJ24" s="48">
        <f>IF(AK9&lt;1,"",IF(AK8&lt;4,"",IF(K24=1,K30-M30,IF(M24=1,M30-K30,""))))</f>
        <v>11</v>
      </c>
      <c r="AK24" s="48" t="str">
        <f>IF(AK9&lt;1,"",IF(AK8&lt;5,"",IF(N24=1,N30-P30,IF(P24=1,P30-N30,""))))</f>
        <v/>
      </c>
      <c r="AL24" s="48">
        <f>IF(AK9&lt;1,"",IF(AK8&lt;6,"",IF(Q24=1,Q30-S30,IF(S24=1,S30-Q30,""))))</f>
        <v>15</v>
      </c>
      <c r="AM24" s="48" t="str">
        <f>IF(AK9&lt;1,"",IF(AK8&lt;7,"",IF(T24=1,T30-V30,IF(V24=1,V30-T30,""))))</f>
        <v/>
      </c>
      <c r="AN24" s="48" t="str">
        <f>IF(AK9&lt;1,"",IF(AK8&lt;8,"",IF(W24=1,W30-Y30,IF(Y24=1,Y30-W30,""))))</f>
        <v/>
      </c>
      <c r="AO24" s="48" t="str">
        <f>IF(AK9&lt;1,"",IF(AK8&lt;9,"",IF(Z24=1,Z30-AB30,IF(AB24=1,AB30-Z30,""))))</f>
        <v/>
      </c>
      <c r="AP24" s="48" t="str">
        <f>IF(AK9&lt;1,"",IF(AK8&lt;10,"",IF(AC24=1,AC30-AE30,IF(AE24=1,AE30-AC30,""))))</f>
        <v/>
      </c>
      <c r="AQ24" s="44">
        <f>SUM(AG24:AP24)</f>
        <v>37</v>
      </c>
    </row>
    <row r="25" spans="1:48" ht="15" x14ac:dyDescent="0.2">
      <c r="A25" s="4" t="s">
        <v>79</v>
      </c>
      <c r="B25" s="49">
        <v>20</v>
      </c>
      <c r="C25" s="50" t="s">
        <v>80</v>
      </c>
      <c r="D25" s="51">
        <v>26</v>
      </c>
      <c r="E25" s="49">
        <v>27</v>
      </c>
      <c r="F25" s="50" t="str">
        <f>IF(AK8&gt;1,"/","")</f>
        <v>/</v>
      </c>
      <c r="G25" s="51">
        <v>14</v>
      </c>
      <c r="H25" s="49">
        <v>14</v>
      </c>
      <c r="I25" s="50" t="str">
        <f>IF(AK8&gt;2,"/","")</f>
        <v>/</v>
      </c>
      <c r="J25" s="51">
        <v>16</v>
      </c>
      <c r="K25" s="49">
        <v>15</v>
      </c>
      <c r="L25" s="50" t="str">
        <f>IF(AK8&gt;3,"/","")</f>
        <v>/</v>
      </c>
      <c r="M25" s="51">
        <v>18</v>
      </c>
      <c r="N25" s="49">
        <v>20</v>
      </c>
      <c r="O25" s="50" t="str">
        <f>IF(AK8&gt;4,"/","")</f>
        <v>/</v>
      </c>
      <c r="P25" s="51">
        <v>12</v>
      </c>
      <c r="Q25" s="49">
        <v>27</v>
      </c>
      <c r="R25" s="50" t="str">
        <f>IF(AK8&gt;5,"/","")</f>
        <v>/</v>
      </c>
      <c r="S25" s="51">
        <v>12</v>
      </c>
      <c r="T25" s="49"/>
      <c r="U25" s="50" t="str">
        <f>IF(AK8&gt;6,"/","")</f>
        <v/>
      </c>
      <c r="V25" s="51"/>
      <c r="W25" s="49"/>
      <c r="X25" s="50" t="str">
        <f>IF(AK8&gt;7,"/","")</f>
        <v/>
      </c>
      <c r="Y25" s="51"/>
      <c r="Z25" s="49"/>
      <c r="AA25" s="50" t="str">
        <f>IF(AK8&gt;8,"/","")</f>
        <v/>
      </c>
      <c r="AB25" s="51"/>
      <c r="AC25" s="49"/>
      <c r="AD25" s="50" t="str">
        <f>IF(AK8&gt;9,"/","")</f>
        <v/>
      </c>
      <c r="AE25" s="51"/>
      <c r="AF25" s="42" t="str">
        <f>IF(AK9&gt;1,"Team 2","")</f>
        <v>Team 2</v>
      </c>
      <c r="AG25" s="48">
        <f>IF(AK9&lt;2,"",IF(AK8&lt;1,"",IF(B24=2,B30-D30,IF(D24=2,D30-B30,""))))</f>
        <v>-15</v>
      </c>
      <c r="AH25" s="48" t="str">
        <f>IF(AK9&lt;2,"",IF(AK8&lt;2,"",IF(E24=2,E30-G30,IF(G24=2,G30-E30,""))))</f>
        <v/>
      </c>
      <c r="AI25" s="48">
        <f>IF(AK9&lt;2,"",IF(AK8&lt;3,"",IF(H24=2,H30-J30,IF(J24=2,J30-H30,""))))</f>
        <v>-12</v>
      </c>
      <c r="AJ25" s="48" t="str">
        <f>IF(AK9&lt;2,"",IF(AK8&lt;4,"",IF(K24=2,K30-M30,IF(M24=2,M30-K30,""))))</f>
        <v/>
      </c>
      <c r="AK25" s="48" t="str">
        <f>IF(AK9&lt;2,"",IF(AK8&lt;5,"",IF(N24=2,N30-P30,IF(P24=2,P30-N30,""))))</f>
        <v/>
      </c>
      <c r="AL25" s="48">
        <f>IF(AK9&lt;2,"",IF(AK8&lt;6,"",IF(Q24=2,Q30-S30,IF(S24=2,S30-Q30,""))))</f>
        <v>-15</v>
      </c>
      <c r="AM25" s="48" t="str">
        <f>IF(AK9&lt;2,"",IF(AK8&lt;7,"",IF(T24=2,T30-V30,IF(V24=2,V30-T30,""))))</f>
        <v/>
      </c>
      <c r="AN25" s="48" t="str">
        <f>IF(AK9&lt;2,"",IF(AK8&lt;8,"",IF(W24=2,W30-Y30,IF(Y24=2,Y30-W30,""))))</f>
        <v/>
      </c>
      <c r="AO25" s="48" t="str">
        <f>IF(AK9&lt;2,"",IF(AK8&lt;9,"",IF(Z24=2,Z30-AB30,IF(AB24=2,AB30-Z30,""))))</f>
        <v/>
      </c>
      <c r="AP25" s="48" t="str">
        <f>IF(AK9&lt;2,"",IF(AK8&lt;10,"",IF(AC24=2,AC30-AE30,IF(AE24=2,AE30-AC30,""))))</f>
        <v/>
      </c>
      <c r="AQ25" s="44">
        <f>SUM(AG25:AP25)</f>
        <v>-42</v>
      </c>
    </row>
    <row r="26" spans="1:48" ht="15" x14ac:dyDescent="0.2">
      <c r="A26" s="3" t="str">
        <f>IF(AK7&gt;1,"Game 2","")</f>
        <v>Game 2</v>
      </c>
      <c r="B26" s="49">
        <v>16</v>
      </c>
      <c r="C26" s="50" t="s">
        <v>80</v>
      </c>
      <c r="D26" s="51">
        <v>25</v>
      </c>
      <c r="E26" s="49">
        <v>13</v>
      </c>
      <c r="F26" s="50" t="str">
        <f>IF(AK8&gt;1,IF(AK7&gt;1,"/",""),"")</f>
        <v>/</v>
      </c>
      <c r="G26" s="51">
        <v>15</v>
      </c>
      <c r="H26" s="49">
        <v>11</v>
      </c>
      <c r="I26" s="50" t="str">
        <f>IF(AK8&gt;2,IF(AK7&gt;1,"/",""),"")</f>
        <v>/</v>
      </c>
      <c r="J26" s="51">
        <v>21</v>
      </c>
      <c r="K26" s="49">
        <v>22</v>
      </c>
      <c r="L26" s="50" t="str">
        <f>IF(AK8&gt;3,IF(AK7&gt;1,"/",""),"")</f>
        <v>/</v>
      </c>
      <c r="M26" s="51">
        <v>8</v>
      </c>
      <c r="N26" s="49">
        <v>16</v>
      </c>
      <c r="O26" s="50" t="str">
        <f>IF(AK8&gt;4,IF(AK7&gt;1,"/",""),"")</f>
        <v>/</v>
      </c>
      <c r="P26" s="51">
        <v>18</v>
      </c>
      <c r="Q26" s="49">
        <v>22</v>
      </c>
      <c r="R26" s="50" t="str">
        <f>IF(AK8&gt;5,IF(AK7&gt;1,"/",""),"")</f>
        <v>/</v>
      </c>
      <c r="S26" s="51">
        <v>22</v>
      </c>
      <c r="T26" s="49"/>
      <c r="U26" s="50" t="str">
        <f>IF(AK8&gt;6,IF(AK7&gt;1,"/",""),"")</f>
        <v/>
      </c>
      <c r="V26" s="51"/>
      <c r="W26" s="49"/>
      <c r="X26" s="50" t="str">
        <f>IF(AK8&gt;7,IF(AK7&gt;1,"/",""),"")</f>
        <v/>
      </c>
      <c r="Y26" s="51"/>
      <c r="Z26" s="49"/>
      <c r="AA26" s="50" t="str">
        <f>IF(AK8&gt;8,IF(AK7&gt;1,"/",""),"")</f>
        <v/>
      </c>
      <c r="AB26" s="51"/>
      <c r="AC26" s="49"/>
      <c r="AD26" s="50" t="str">
        <f>IF(AK8&gt;9,IF(AK7&gt;1,"/",""),"")</f>
        <v/>
      </c>
      <c r="AE26" s="51"/>
      <c r="AF26" s="42" t="str">
        <f>IF(AK9&gt;2,"Team 3","")</f>
        <v>Team 3</v>
      </c>
      <c r="AG26" s="48">
        <f>IF(AK9&lt;3,"",IF(AK8&lt;1,"",IF(B24=3,B30-D30,IF(D24=3,D30-B30,""))))</f>
        <v>15</v>
      </c>
      <c r="AH26" s="48" t="str">
        <f>IF(AK9&lt;3,"",IF(AK8&lt;2,"",IF(E24=3,E30-G30,IF(G24=3,G30-E30,""))))</f>
        <v/>
      </c>
      <c r="AI26" s="48" t="str">
        <f>IF(AK9&lt;3,"",IF(AK8&lt;3,"",IF(H24=3,H30-J30,IF(J24=3,J30-H30,""))))</f>
        <v/>
      </c>
      <c r="AJ26" s="48">
        <f>IF(AK9&lt;3,"",IF(AK8&lt;4,"",IF(K24=3,K30-M30,IF(M24=3,M30-K30,""))))</f>
        <v>-11</v>
      </c>
      <c r="AK26" s="48">
        <f>IF(AK9&lt;3,"",IF(AK8&lt;5,"",IF(N24=3,N30-P30,IF(P24=3,P30-N30,""))))</f>
        <v>6</v>
      </c>
      <c r="AL26" s="48" t="str">
        <f>IF(AK9&lt;3,"",IF(AK8&lt;6,"",IF(Q24=3,Q30-S30,IF(S24=3,S30-Q30,""))))</f>
        <v/>
      </c>
      <c r="AM26" s="48" t="str">
        <f>IF(AK9&lt;3,"",IF(AK8&lt;7,"",IF(T24=3,T30-V30,IF(V24=3,V30-T30,""))))</f>
        <v/>
      </c>
      <c r="AN26" s="48" t="str">
        <f>IF(AK9&lt;3,"",IF(AK8&lt;8,"",IF(W24=3,W30-Y30,IF(Y24=3,Y30-W30,""))))</f>
        <v/>
      </c>
      <c r="AO26" s="48" t="str">
        <f>IF(AK9&lt;3,"",IF(AK8&lt;9,"",IF(Z24=3,Z30-AB30,IF(AB24=3,AB30-Z30,""))))</f>
        <v/>
      </c>
      <c r="AP26" s="48" t="str">
        <f>IF(AK9&lt;3,"",IF(AK8&lt;9,"",IF(AC24=3,AC30-AE30,IF(AE24=3,AE30-AC30,""))))</f>
        <v/>
      </c>
      <c r="AQ26" s="44">
        <f>SUM(AG26:AP26)</f>
        <v>10</v>
      </c>
    </row>
    <row r="27" spans="1:48" ht="15" x14ac:dyDescent="0.2">
      <c r="A27" s="3" t="str">
        <f>IF(AK7&gt;2,"Game 3","")</f>
        <v/>
      </c>
      <c r="B27" s="49"/>
      <c r="C27" s="50" t="s">
        <v>80</v>
      </c>
      <c r="D27" s="51"/>
      <c r="E27" s="49"/>
      <c r="F27" s="50" t="str">
        <f>IF(AK8&gt;1,IF(AK7&gt;2,"/",""),"")</f>
        <v/>
      </c>
      <c r="G27" s="51"/>
      <c r="H27" s="49"/>
      <c r="I27" s="50" t="str">
        <f>IF(AK8&gt;2,IF(AK7&gt;2,"/",""),"")</f>
        <v/>
      </c>
      <c r="J27" s="51"/>
      <c r="K27" s="49"/>
      <c r="L27" s="50" t="str">
        <f>IF(AK8&gt;3,IF(AK7&gt;2,"/",""),"")</f>
        <v/>
      </c>
      <c r="M27" s="51"/>
      <c r="N27" s="49"/>
      <c r="O27" s="50" t="str">
        <f>IF(AK8&gt;4,IF(AK7&gt;2,"/",""),"")</f>
        <v/>
      </c>
      <c r="P27" s="51"/>
      <c r="Q27" s="49"/>
      <c r="R27" s="50" t="str">
        <f>IF(AK8&gt;5,IF(AK7&gt;2,"/",""),"")</f>
        <v/>
      </c>
      <c r="S27" s="51"/>
      <c r="T27" s="49"/>
      <c r="U27" s="50" t="str">
        <f>IF(AK8&gt;6,IF(AK7&gt;2,"/",""),"")</f>
        <v/>
      </c>
      <c r="V27" s="51"/>
      <c r="W27" s="49"/>
      <c r="X27" s="50" t="str">
        <f>IF(AK8&gt;7,IF(AK7&gt;2,"/",""),"")</f>
        <v/>
      </c>
      <c r="Y27" s="51"/>
      <c r="Z27" s="49"/>
      <c r="AA27" s="50" t="str">
        <f>IF(AK8&gt;8,IF(AK7&gt;2,"/",""),"")</f>
        <v/>
      </c>
      <c r="AB27" s="51"/>
      <c r="AC27" s="49"/>
      <c r="AD27" s="50" t="str">
        <f>IF(AK8&gt;9,IF(AK7&gt;2,"/",""),"")</f>
        <v/>
      </c>
      <c r="AE27" s="51"/>
      <c r="AF27" s="42" t="str">
        <f>IF(AK9&gt;3,"Team 4","")</f>
        <v>Team 4</v>
      </c>
      <c r="AG27" s="48" t="str">
        <f>IF(AK9&lt;4,"",IF(AK8&lt;1,"",IF(B24=4,B30-D30,IF(D24=4,D30-B30,""))))</f>
        <v/>
      </c>
      <c r="AH27" s="48">
        <f>IF(AK9&lt;4,"",IF(AK8&lt;2,"",IF(E24=4,E30-G30,IF(G24=4,G30-E30,""))))</f>
        <v>-11</v>
      </c>
      <c r="AI27" s="48">
        <f>IF(AK9&lt;4,"",IF(AK8&lt;3,"",IF(H24=4,H30-J30,IF(J24=4,J30-H30,""))))</f>
        <v>12</v>
      </c>
      <c r="AJ27" s="48" t="str">
        <f>IF(AK9&lt;4,"",IF(AK8&lt;4,"",IF(K24=4,K30-M30,IF(M24=4,M30-K30,""))))</f>
        <v/>
      </c>
      <c r="AK27" s="48">
        <f>IF(AK9&lt;4,"",IF(AK8&lt;5,"",IF(N24=4,N30-P30,IF(P24=4,P30-N30,""))))</f>
        <v>-6</v>
      </c>
      <c r="AL27" s="48" t="str">
        <f>IF(AK9&lt;4,"",IF(AK8&lt;6,"",IF(Q24=4,Q30-S30,IF(S24=4,S30-Q30,""))))</f>
        <v/>
      </c>
      <c r="AM27" s="48" t="str">
        <f>IF(AK9&lt;4,"",IF(AK8&lt;7,"",IF(T24=4,T30-V30,IF(V24=4,V30-T30,""))))</f>
        <v/>
      </c>
      <c r="AN27" s="48" t="str">
        <f>IF(AK9&lt;4,"",IF(AK8&lt;8,"",IF(W24=4,W30-Y30,IF(Y24=4,Y30-W30,""))))</f>
        <v/>
      </c>
      <c r="AO27" s="48" t="str">
        <f>IF(AK9&lt;4,"",IF(AK8&lt;9,"",IF(Z24=4,Z30-AB30,IF(AB24=4,AB30-Z30,""))))</f>
        <v/>
      </c>
      <c r="AP27" s="48" t="str">
        <f>IF(AK9&lt;4,"",IF(AK8&lt;10,"",IF(AC24=4,AC30-AE30,IF(AE24=4,AE30-AC30,""))))</f>
        <v/>
      </c>
      <c r="AQ27" s="44">
        <f>SUM(AG27:AP27)</f>
        <v>-5</v>
      </c>
    </row>
    <row r="28" spans="1:48" ht="15" x14ac:dyDescent="0.2">
      <c r="A28" s="3" t="str">
        <f>IF(AK7&gt;3,"Game 4","")</f>
        <v/>
      </c>
      <c r="B28" s="49"/>
      <c r="C28" s="50" t="s">
        <v>80</v>
      </c>
      <c r="D28" s="51"/>
      <c r="E28" s="49"/>
      <c r="F28" s="50" t="str">
        <f>IF(AK8&gt;1,IF(AK7&gt;3,"/",""),"")</f>
        <v/>
      </c>
      <c r="G28" s="51"/>
      <c r="H28" s="49"/>
      <c r="I28" s="50" t="str">
        <f>IF(AK8&gt;2,IF(AK7&gt;3,"/",""),"")</f>
        <v/>
      </c>
      <c r="J28" s="51"/>
      <c r="K28" s="49"/>
      <c r="L28" s="50" t="str">
        <f>IF(AK8&gt;3,IF(AK7&gt;3,"/",""),"")</f>
        <v/>
      </c>
      <c r="M28" s="51"/>
      <c r="N28" s="49"/>
      <c r="O28" s="50" t="str">
        <f>IF(AK8&gt;4,IF(AK7&gt;3,"/",""),"")</f>
        <v/>
      </c>
      <c r="P28" s="51"/>
      <c r="Q28" s="49"/>
      <c r="R28" s="50" t="str">
        <f>IF(AK8&gt;5,IF(AK7&gt;3,"/",""),"")</f>
        <v/>
      </c>
      <c r="S28" s="51"/>
      <c r="T28" s="49"/>
      <c r="U28" s="50" t="str">
        <f>IF(AK8&gt;6,IF(AK7&gt;3,"/",""),"")</f>
        <v/>
      </c>
      <c r="V28" s="51"/>
      <c r="W28" s="49"/>
      <c r="X28" s="50" t="str">
        <f>IF(AK8&gt;7,IF(AK7&gt;3,"/",""),"")</f>
        <v/>
      </c>
      <c r="Y28" s="51"/>
      <c r="Z28" s="49"/>
      <c r="AA28" s="50" t="str">
        <f>IF(AK8&gt;8,IF(AK7&gt;3,"/",""),"")</f>
        <v/>
      </c>
      <c r="AB28" s="51"/>
      <c r="AC28" s="49"/>
      <c r="AD28" s="50" t="str">
        <f>IF(AK8&gt;9,IF(AK7&gt;3,"/",""),"")</f>
        <v/>
      </c>
      <c r="AE28" s="51"/>
      <c r="AF28" s="42" t="str">
        <f>IF(AK9&gt;4,"Team 5","")</f>
        <v/>
      </c>
      <c r="AG28" s="52" t="str">
        <f>IF(AK9&lt;5,"",IF(AK8&lt;1,"",IF(B24=5,B30-D30,IF(D24=5,D30-B30,""))))</f>
        <v/>
      </c>
      <c r="AH28" s="48" t="str">
        <f>IF(AK9&lt;5,"",IF(AK8&lt;2,"",IF(E24=5,E30-G30,IF(G24=5,G30-E30,""))))</f>
        <v/>
      </c>
      <c r="AI28" s="48" t="str">
        <f>IF(AK9&lt;5,"",IF(AK8&lt;3,"",IF(H24=5,H30-J30,IF(J24=5,J30-H30,""))))</f>
        <v/>
      </c>
      <c r="AJ28" s="48" t="str">
        <f>IF(AK9&lt;5,"",IF(AK8&lt;4,"",IF(K24=5,K30-M30,IF(M24=5,M30-K30,""))))</f>
        <v/>
      </c>
      <c r="AK28" s="48" t="str">
        <f>IF(AK9&lt;5,"",IF(AK8&lt;5,"",IF(N24=5,N30-P30,IF(P24=5,P30-N30,""))))</f>
        <v/>
      </c>
      <c r="AL28" s="48" t="str">
        <f>IF(AK9&lt;5,"",IF(AK8&lt;6,"",IF(Q24=5,Q30-S30,IF(S24=5,S30-Q30,""))))</f>
        <v/>
      </c>
      <c r="AM28" s="48" t="str">
        <f>IF(AK9&lt;5,"",IF(AK8&lt;7,"",IF(T24=5,T30-V30,IF(V24=5,V30-T30,""))))</f>
        <v/>
      </c>
      <c r="AN28" s="48" t="str">
        <f>IF(AK9&lt;5,"",IF(AK8&lt;8,"",IF(W24=5,W30-Y30,IF(Y24=5,Y30-W30,""))))</f>
        <v/>
      </c>
      <c r="AO28" s="48" t="str">
        <f>IF(AK9&lt;5,"",IF(AK8&lt;9,"",IF(Z24=5,Z30-AB30,IF(AB24=5,AB30-Z30,""))))</f>
        <v/>
      </c>
      <c r="AP28" s="48" t="str">
        <f>IF(AK9&lt;5,"",IF(AK8&lt;10,"",IF(AC24=5,AC30-AE30,IF(AE24=5,AE30-AC30,""))))</f>
        <v/>
      </c>
      <c r="AQ28" s="44">
        <f>SUM(AG28:AP28)</f>
        <v>0</v>
      </c>
    </row>
    <row r="29" spans="1:48" ht="15" x14ac:dyDescent="0.2">
      <c r="A29" s="3" t="str">
        <f>IF(AK7&gt;4,"Game 5","")</f>
        <v/>
      </c>
      <c r="B29" s="49"/>
      <c r="C29" s="50" t="s">
        <v>80</v>
      </c>
      <c r="D29" s="51"/>
      <c r="E29" s="49"/>
      <c r="F29" s="50" t="str">
        <f>IF(AK8&gt;1,IF(AK7&gt;4,"/",""),"")</f>
        <v/>
      </c>
      <c r="G29" s="51"/>
      <c r="H29" s="49"/>
      <c r="I29" s="50" t="str">
        <f>IF(AK8&gt;2,IF(AK7&gt;4,"/",""),"")</f>
        <v/>
      </c>
      <c r="J29" s="51"/>
      <c r="K29" s="49"/>
      <c r="L29" s="50" t="str">
        <f>IF(AK8&gt;3,IF(AK7&gt;4,"/",""),"")</f>
        <v/>
      </c>
      <c r="M29" s="51"/>
      <c r="N29" s="49"/>
      <c r="O29" s="50" t="str">
        <f>IF(AK8&gt;4,IF(AK7&gt;4,"/",""),"")</f>
        <v/>
      </c>
      <c r="P29" s="51"/>
      <c r="Q29" s="49"/>
      <c r="R29" s="50" t="str">
        <f>IF(AK8&gt;5,IF(AK7&gt;4,"/",""),"")</f>
        <v/>
      </c>
      <c r="S29" s="51"/>
      <c r="T29" s="49"/>
      <c r="U29" s="50" t="str">
        <f>IF(AK8&gt;6,IF(AK7&gt;4,"/",""),"")</f>
        <v/>
      </c>
      <c r="V29" s="51"/>
      <c r="W29" s="49"/>
      <c r="X29" s="50" t="str">
        <f>IF(AK8&gt;7,IF(AK7&gt;4,"/",""),"")</f>
        <v/>
      </c>
      <c r="Y29" s="51"/>
      <c r="Z29" s="49"/>
      <c r="AA29" s="50" t="str">
        <f>IF(AK8&gt;8,IF(AK7&gt;4,"/",""),"")</f>
        <v/>
      </c>
      <c r="AB29" s="51"/>
      <c r="AC29" s="49"/>
      <c r="AD29" s="50" t="str">
        <f>IF(AK8&gt;9,IF(AK7&gt;4,"/",""),"")</f>
        <v/>
      </c>
      <c r="AE29" s="51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</row>
    <row r="30" spans="1:48" hidden="1" x14ac:dyDescent="0.2">
      <c r="A30" s="53"/>
      <c r="B30" s="53">
        <f>IF($AK7=5,SUM(B25:B29),IF($AK7=4,SUM(B25:B28),IF($AK7=3,SUM(B25:B27),IF($AK7=2,SUM(B25:B26),B25))))</f>
        <v>36</v>
      </c>
      <c r="C30" s="53"/>
      <c r="D30" s="53">
        <f>IF($AK7=5,SUM(D25:D29),IF($AK7=4,SUM(D25:D28),IF($AK7=3,SUM(D25:D27),IF($AK7=2,SUM(D25:D26),D25))))</f>
        <v>51</v>
      </c>
      <c r="E30" s="53">
        <f>IF($AK7=5,SUM(E25:E29),IF($AK7=4,SUM(E25:E28),IF($AK7=3,SUM(E25:E27),IF($AK7=2,SUM(E25:E26),E25))))</f>
        <v>40</v>
      </c>
      <c r="F30" s="53"/>
      <c r="G30" s="53">
        <f>IF($AK7=5,SUM(G25:G29),IF($AK7=4,SUM(G25:G28),IF($AK7=3,SUM(G25:G27),IF($AK7=2,SUM(G25:G26),G25))))</f>
        <v>29</v>
      </c>
      <c r="H30" s="53">
        <f>IF($AK7=5,SUM(H25:H29),IF($AK7=4,SUM(H25:H28),IF($AK7=3,SUM(H25:H27),IF($AK7=2,SUM(H25:H26),H25))))</f>
        <v>25</v>
      </c>
      <c r="I30" s="53"/>
      <c r="J30" s="53">
        <f>IF($AK7=5,SUM(J25:J29),IF($AK7=4,SUM(J25:J28),IF($AK7=3,SUM(J25:J27),IF($AK7=2,SUM(J25:J26),J25))))</f>
        <v>37</v>
      </c>
      <c r="K30" s="53">
        <f>IF($AK7=5,SUM(K25:K29),IF($AK7=4,SUM(K25:K28),IF($AK7=3,SUM(K25:K27),IF($AK7=2,SUM(K25:K26),K25))))</f>
        <v>37</v>
      </c>
      <c r="L30" s="53"/>
      <c r="M30" s="53">
        <f>IF($AK7=5,SUM(M25:M29),IF($AK7=4,SUM(M25:M28),IF($AK7=3,SUM(M25:M27),IF($AK7=2,SUM(M25:M26),M25))))</f>
        <v>26</v>
      </c>
      <c r="N30" s="53">
        <f>IF($AK7=5,SUM(N25:N29),IF($AK7=4,SUM(N25:N28),IF($AK7=3,SUM(N25:N27),IF($AK7=2,SUM(N25:N26),N25))))</f>
        <v>36</v>
      </c>
      <c r="O30" s="53"/>
      <c r="P30" s="53">
        <f>IF($AK7=5,SUM(P25:P29),IF($AK7=4,SUM(P25:P28),IF($AK7=3,SUM(P25:P27),IF($AK7=2,SUM(P25:P26),P25))))</f>
        <v>30</v>
      </c>
      <c r="Q30" s="53">
        <f>IF($AK7=5,SUM(Q25:Q29),IF($AK7=4,SUM(Q25:Q28),IF($AK7=3,SUM(Q25:Q27),IF($AK7=2,SUM(Q25:Q26),Q25))))</f>
        <v>49</v>
      </c>
      <c r="R30" s="53"/>
      <c r="S30" s="53">
        <f>IF($AK7=5,SUM(S25:S29),IF($AK7=4,SUM(S25:S28),IF($AK7=3,SUM(S25:S27),IF($AK7=2,SUM(S25:S26),S25))))</f>
        <v>34</v>
      </c>
      <c r="T30" s="53">
        <f>IF($AK7=5,SUM(T25:T29),IF($AK7=4,SUM(T25:T28),IF($AK7=3,SUM(T25:T27),IF($AK7=2,SUM(T25:T26),T25))))</f>
        <v>0</v>
      </c>
      <c r="U30" s="53"/>
      <c r="V30" s="53">
        <f>IF($AK7=5,SUM(V25:V29),IF($AK7=4,SUM(V25:V28),IF($AK7=3,SUM(V25:V27),IF($AK7=2,SUM(V25:V26),V25))))</f>
        <v>0</v>
      </c>
      <c r="W30" s="53">
        <f>IF($AK7=5,SUM(W25:W29),IF($AK7=4,SUM(W25:W28),IF($AK7=3,SUM(W25:W27),IF($AK7=2,SUM(W25:W26),W25))))</f>
        <v>0</v>
      </c>
      <c r="X30" s="53"/>
      <c r="Y30" s="53">
        <f>IF($AK7=5,SUM(Y25:Y29),IF($AK7=4,SUM(Y25:Y28),IF($AK7=3,SUM(Y25:Y27),IF($AK7=2,SUM(Y25:Y26),Y25))))</f>
        <v>0</v>
      </c>
      <c r="Z30" s="53">
        <f>IF($AK7=5,SUM(Z25:Z29),IF($AK7=4,SUM(Z25:Z28),IF($AK7=3,SUM(Z25:Z27),IF($AK7=2,SUM(Z25:Z26),Z25))))</f>
        <v>0</v>
      </c>
      <c r="AA30" s="53"/>
      <c r="AB30" s="53">
        <f>IF($AK7=5,SUM(AB25:AB29),IF($AK7=4,SUM(AB25:AB28),IF($AK7=3,SUM(AB25:AB27),IF($AK7=2,SUM(AB25:AB26),AB25))))</f>
        <v>0</v>
      </c>
      <c r="AC30" s="53">
        <f>IF($AK7=5,SUM(AC25:AC29),IF($AK7=4,SUM(AC25:AC28),IF($AK7=3,SUM(AC25:AC27),IF($AK7=2,SUM(AC25:AC26),AC25))))</f>
        <v>0</v>
      </c>
      <c r="AD30" s="53"/>
      <c r="AE30" s="53">
        <f>IF($AK7=5,SUM(AE25:AE29),IF($AK7=4,SUM(AE25:AE28),IF($AK7=3,SUM(AE25:AE27),IF($AK7=2,SUM(AE25:AE26),AE25))))</f>
        <v>0</v>
      </c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</row>
    <row r="31" spans="1:48" s="55" customFormat="1" ht="12.75" hidden="1" customHeight="1" x14ac:dyDescent="0.2">
      <c r="A31" s="55" t="s">
        <v>81</v>
      </c>
      <c r="B31" s="56">
        <f>IF(AND(B25&gt;D25,$AK8&gt;0,ISNUMBER(B25),ISNUMBER(D25)),1,0)</f>
        <v>0</v>
      </c>
      <c r="C31" s="56"/>
      <c r="D31" s="57">
        <f>IF(AND(D25&gt;B25,$AK8&gt;0,ISNUMBER(B25),ISNUMBER(D25)),1,0)</f>
        <v>1</v>
      </c>
      <c r="E31" s="56">
        <f>IF(AND(E25&gt;G25,$AK8&gt;1,ISNUMBER(E25),ISNUMBER(G25)),1,0)</f>
        <v>1</v>
      </c>
      <c r="F31" s="56"/>
      <c r="G31" s="57">
        <f>IF(AND(G25&gt;E25,$AK8&gt;1,ISNUMBER(E25),ISNUMBER(G25)),1,0)</f>
        <v>0</v>
      </c>
      <c r="H31" s="56">
        <f>IF(AND(H25&gt;J25,$AK8&gt;2,ISNUMBER(H25),ISNUMBER(J25)),1,0)</f>
        <v>0</v>
      </c>
      <c r="I31" s="56"/>
      <c r="J31" s="57">
        <f>IF(AND(J25&gt;H25,$AK8&gt;2,ISNUMBER(H25),ISNUMBER(J25)),1,0)</f>
        <v>1</v>
      </c>
      <c r="K31" s="56">
        <f>IF(AND(K25&gt;M25,$AK8&gt;3,ISNUMBER(K25),ISNUMBER(M25)),1,0)</f>
        <v>0</v>
      </c>
      <c r="L31" s="56"/>
      <c r="M31" s="57">
        <f>IF(AND(M25&gt;K25,$AK8&gt;3,ISNUMBER(K25),ISNUMBER(M25)),1,0)</f>
        <v>1</v>
      </c>
      <c r="N31" s="56">
        <f>IF(AND(N25&gt;P25,$AK8&gt;4,ISNUMBER(N25),ISNUMBER(P25)),1,0)</f>
        <v>1</v>
      </c>
      <c r="O31" s="56"/>
      <c r="P31" s="57">
        <f>IF(AND(P25&gt;N25,$AK8&gt;4,ISNUMBER(N25),ISNUMBER(P25)),1,0)</f>
        <v>0</v>
      </c>
      <c r="Q31" s="56">
        <f>IF(AND(Q25&gt;S25,$AK8&gt;5,ISNUMBER(Q25),ISNUMBER(S25)),1,0)</f>
        <v>1</v>
      </c>
      <c r="R31" s="56"/>
      <c r="S31" s="57">
        <f>IF(AND(S25&gt;Q25,$AK8&gt;5,ISNUMBER(Q25),ISNUMBER(S25)),1,0)</f>
        <v>0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0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0</v>
      </c>
      <c r="AD31" s="56"/>
      <c r="AE31" s="57">
        <f>IF(AND(AE25&gt;AC25,$AK8&gt;9,ISNUMBER(AC25),ISNUMBER(AE25)),1,0)</f>
        <v>0</v>
      </c>
    </row>
    <row r="32" spans="1:48" s="55" customFormat="1" ht="12.75" hidden="1" customHeight="1" x14ac:dyDescent="0.2">
      <c r="A32" s="55" t="s">
        <v>82</v>
      </c>
      <c r="B32" s="56">
        <f>IF(AND(B26&gt;D26,$AK8&gt;0,$AK7&gt;1,ISNUMBER(B26),ISNUMBER(D26)),1,0)</f>
        <v>0</v>
      </c>
      <c r="C32" s="56"/>
      <c r="D32" s="57">
        <f>IF(AND(D26&gt;B26,$AK8&gt;0,$AK7&gt;1,ISNUMBER(B26),ISNUMBER(D26)),1,0)</f>
        <v>1</v>
      </c>
      <c r="E32" s="56">
        <f>IF(AND(E26&gt;G26,$AK8&gt;1,$AK7&gt;1,ISNUMBER(E26),ISNUMBER(G26)),1,0)</f>
        <v>0</v>
      </c>
      <c r="F32" s="56"/>
      <c r="G32" s="57">
        <f>IF(AND(G26&gt;E26,$AK8&gt;1,$AK7&gt;1,ISNUMBER(E26),ISNUMBER(G26)),1,0)</f>
        <v>1</v>
      </c>
      <c r="H32" s="56">
        <f>IF(AND(H26&gt;J26,$AK8&gt;2,$AK7&gt;1,ISNUMBER(H26),ISNUMBER(J26)),1,0)</f>
        <v>0</v>
      </c>
      <c r="I32" s="56"/>
      <c r="J32" s="57">
        <f>IF(AND(J26&gt;H26,$AK8&gt;2,$AK7&gt;1,ISNUMBER(H26),ISNUMBER(J26)),1,0)</f>
        <v>1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1</v>
      </c>
      <c r="Q32" s="56">
        <f>IF(AND(Q26&gt;S26,$AK8&gt;5,$AK7&gt;1,ISNUMBER(Q26),ISNUMBER(S26)),1,0)</f>
        <v>0</v>
      </c>
      <c r="R32" s="56"/>
      <c r="S32" s="57">
        <f>IF(AND(S26&gt;Q26,$AK8&gt;5,$AK7&gt;1,ISNUMBER(Q26),ISNUMBER(S26)),1,0)</f>
        <v>0</v>
      </c>
      <c r="T32" s="56">
        <f>IF(AND(T26&gt;V26,$AK8&gt;6,$AK7&gt;1,ISNUMBER(T26),ISNUMBER(V26)),1,0)</f>
        <v>0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0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0</v>
      </c>
    </row>
    <row r="33" spans="1:33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</row>
    <row r="34" spans="1:33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</row>
    <row r="35" spans="1:33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</row>
    <row r="36" spans="1:33" s="55" customFormat="1" ht="38.25" hidden="1" customHeight="1" x14ac:dyDescent="0.2">
      <c r="A36" s="59" t="s">
        <v>86</v>
      </c>
      <c r="B36" s="55">
        <f>SUM(B31:B35)</f>
        <v>0</v>
      </c>
      <c r="D36" s="60">
        <f>SUM(D31:D35)</f>
        <v>2</v>
      </c>
      <c r="E36" s="55">
        <f>SUM(E31:E35)</f>
        <v>1</v>
      </c>
      <c r="G36" s="60">
        <f>SUM(G31:G35)</f>
        <v>1</v>
      </c>
      <c r="H36" s="55">
        <f>SUM(H31:H35)</f>
        <v>0</v>
      </c>
      <c r="J36" s="60">
        <f>SUM(J31:J35)</f>
        <v>2</v>
      </c>
      <c r="K36" s="55">
        <f>SUM(K31:K35)</f>
        <v>1</v>
      </c>
      <c r="M36" s="60">
        <f>SUM(M31:M35)</f>
        <v>1</v>
      </c>
      <c r="N36" s="55">
        <f>SUM(N31:N35)</f>
        <v>1</v>
      </c>
      <c r="P36" s="60">
        <f>SUM(P31:P35)</f>
        <v>1</v>
      </c>
      <c r="Q36" s="55">
        <f>SUM(Q31:Q35)</f>
        <v>1</v>
      </c>
      <c r="S36" s="60">
        <f>SUM(S31:S35)</f>
        <v>0</v>
      </c>
      <c r="T36" s="55">
        <f>SUM(T31:T35)</f>
        <v>0</v>
      </c>
      <c r="V36" s="60">
        <f>SUM(V31:V35)</f>
        <v>0</v>
      </c>
      <c r="W36" s="55">
        <f>SUM(W31:W35)</f>
        <v>0</v>
      </c>
      <c r="Y36" s="60">
        <f>SUM(Y31:Y35)</f>
        <v>0</v>
      </c>
      <c r="Z36" s="55">
        <f>SUM(Z31:Z35)</f>
        <v>0</v>
      </c>
      <c r="AB36" s="60">
        <f>SUM(AB31:AB35)</f>
        <v>0</v>
      </c>
      <c r="AC36" s="55">
        <f>SUM(AC31:AC35)</f>
        <v>0</v>
      </c>
      <c r="AE36" s="60">
        <f>SUM(AE31:AE35)</f>
        <v>0</v>
      </c>
    </row>
    <row r="37" spans="1:33" s="55" customFormat="1" ht="25.5" hidden="1" customHeight="1" x14ac:dyDescent="0.2">
      <c r="A37" s="59" t="s">
        <v>87</v>
      </c>
      <c r="B37" s="55">
        <f>IF(B36&gt;D36,IF(C71=AK7,1,IF(C71=AK7-1,1,0)),0)</f>
        <v>0</v>
      </c>
      <c r="C37" s="55">
        <f>B37+D37</f>
        <v>1</v>
      </c>
      <c r="D37" s="60">
        <f>IF(D36&gt;B36,IF(C71=AK7,1,IF(C71=AK7-1,1,0)),0)</f>
        <v>1</v>
      </c>
      <c r="E37" s="55">
        <f>IF(E36&gt;G36,IF(F71=AK7,1,IF(F71=AK7-1,1,0)),0)</f>
        <v>0</v>
      </c>
      <c r="F37" s="55">
        <f>E37+G37</f>
        <v>0</v>
      </c>
      <c r="G37" s="60">
        <f>IF(G36&gt;E36,IF(F71=AK7,1,IF(F71=AK7-1,1,0)),0)</f>
        <v>0</v>
      </c>
      <c r="H37" s="55">
        <f>IF(H36&gt;J36,IF(I71=AK7,1,IF(I71=AK7-1,1,0)),0)</f>
        <v>0</v>
      </c>
      <c r="I37" s="55">
        <f>H37+J37</f>
        <v>1</v>
      </c>
      <c r="J37" s="60">
        <f>IF(J36&gt;H36,IF(I71=AK7,1,IF(I71=AK7-1,1,0)),0)</f>
        <v>1</v>
      </c>
      <c r="K37" s="55">
        <f>IF(K36&gt;M36,IF(L71=AK7,1,IF(L71=AK7-1,1,0)),0)</f>
        <v>0</v>
      </c>
      <c r="L37" s="55">
        <f>K37+M37</f>
        <v>0</v>
      </c>
      <c r="M37" s="60">
        <f>IF(M36&gt;K36,IF(L71=AK7,1,IF(L71=AK7-1,1,0)),0)</f>
        <v>0</v>
      </c>
      <c r="N37" s="55">
        <f>IF(N36&gt;P36,IF(O71=AK7,1,IF(O71=AK7-1,1,0)),0)</f>
        <v>0</v>
      </c>
      <c r="O37" s="55">
        <f>N37+P37</f>
        <v>0</v>
      </c>
      <c r="P37" s="60">
        <f>IF(P36&gt;N36,IF(O71=AK7,1,IF(O71=AK7-1,1,0)),0)</f>
        <v>0</v>
      </c>
      <c r="Q37" s="55">
        <f>IF(Q36&gt;S36,IF(R71=AK7,1,IF(R71=AK7-1,1,0)),0)</f>
        <v>1</v>
      </c>
      <c r="R37" s="55">
        <f>Q37+S37</f>
        <v>1</v>
      </c>
      <c r="S37" s="60">
        <f>IF(S36&gt;Q36,IF(R71=AK7,1,IF(R71=AK7-1,1,0)),0)</f>
        <v>0</v>
      </c>
      <c r="T37" s="55">
        <f>IF(T36&gt;V36,IF(U71=AK7,1,IF(U71=AK7-1,1,0)),0)</f>
        <v>0</v>
      </c>
      <c r="U37" s="55">
        <f>T37+V37</f>
        <v>0</v>
      </c>
      <c r="V37" s="60">
        <f>IF(V36&gt;T36,IF(U71=AK7,1,IF(U71=AK7-1,1,0)),0)</f>
        <v>0</v>
      </c>
      <c r="W37" s="55">
        <f>IF(W36&gt;Y36,IF(X71=AK7,1,IF(X71=AK7-1,1,0)),0)</f>
        <v>0</v>
      </c>
      <c r="X37" s="55">
        <f>W37+Y37</f>
        <v>0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0</v>
      </c>
      <c r="AB37" s="60">
        <f>IF(AB36&gt;Z36,IF(AA71=AK7,1,IF(AA71=AK7-1,1,0)),0)</f>
        <v>0</v>
      </c>
      <c r="AC37" s="55">
        <f>IF(AC36&gt;AE36,IF(AD71=AK7,1,IF(AD71=AK7-1,1,0)),0)</f>
        <v>0</v>
      </c>
      <c r="AD37" s="55">
        <f>AC37+AE37</f>
        <v>0</v>
      </c>
      <c r="AE37" s="60">
        <f>IF(AE36&gt;AC36,IF(AD71=AK7,1,IF(AD71=AK7-1,1,0)),0)</f>
        <v>0</v>
      </c>
    </row>
    <row r="38" spans="1:33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</row>
    <row r="39" spans="1:33" s="55" customFormat="1" ht="12.75" hidden="1" customHeight="1" x14ac:dyDescent="0.2">
      <c r="A39" s="55" t="s">
        <v>88</v>
      </c>
      <c r="B39" s="55">
        <f>IF(B31=1,B25,0)</f>
        <v>0</v>
      </c>
      <c r="D39" s="60">
        <f t="shared" ref="D39:E43" si="2">IF(D31=1,D25,0)</f>
        <v>26</v>
      </c>
      <c r="E39" s="55">
        <f t="shared" si="2"/>
        <v>27</v>
      </c>
      <c r="G39" s="60">
        <f t="shared" ref="G39:H43" si="3">IF(G31=1,G25,0)</f>
        <v>0</v>
      </c>
      <c r="H39" s="55">
        <f t="shared" si="3"/>
        <v>0</v>
      </c>
      <c r="J39" s="60">
        <f t="shared" ref="J39:K43" si="4">IF(J31=1,J25,0)</f>
        <v>16</v>
      </c>
      <c r="K39" s="55">
        <f t="shared" si="4"/>
        <v>0</v>
      </c>
      <c r="M39" s="60">
        <f t="shared" ref="M39:N43" si="5">IF(M31=1,M25,0)</f>
        <v>18</v>
      </c>
      <c r="N39" s="55">
        <f t="shared" si="5"/>
        <v>20</v>
      </c>
      <c r="P39" s="60">
        <f t="shared" ref="P39:Q43" si="6">IF(P31=1,P25,0)</f>
        <v>0</v>
      </c>
      <c r="Q39" s="55">
        <f t="shared" si="6"/>
        <v>27</v>
      </c>
      <c r="S39" s="60">
        <f t="shared" ref="S39:T43" si="7">IF(S31=1,S25,0)</f>
        <v>0</v>
      </c>
      <c r="T39" s="55">
        <f t="shared" si="7"/>
        <v>0</v>
      </c>
      <c r="V39" s="60">
        <f t="shared" ref="V39:W43" si="8">IF(V31=1,V25,0)</f>
        <v>0</v>
      </c>
      <c r="W39" s="55">
        <f t="shared" si="8"/>
        <v>0</v>
      </c>
      <c r="Y39" s="60">
        <f t="shared" ref="Y39:Z43" si="9">IF(Y31=1,Y25,0)</f>
        <v>0</v>
      </c>
      <c r="Z39" s="55">
        <f t="shared" si="9"/>
        <v>0</v>
      </c>
      <c r="AB39" s="60">
        <f t="shared" ref="AB39:AC43" si="10">IF(AB31=1,AB25,0)</f>
        <v>0</v>
      </c>
      <c r="AC39" s="55">
        <f t="shared" si="10"/>
        <v>0</v>
      </c>
      <c r="AE39" s="60">
        <f>IF(AE31=1,AE25,0)</f>
        <v>0</v>
      </c>
    </row>
    <row r="40" spans="1:33" s="55" customFormat="1" ht="12.75" hidden="1" customHeight="1" x14ac:dyDescent="0.2">
      <c r="A40" s="55" t="s">
        <v>89</v>
      </c>
      <c r="B40" s="55">
        <f>IF(B32=1,B26,0)</f>
        <v>0</v>
      </c>
      <c r="D40" s="60">
        <f t="shared" si="2"/>
        <v>25</v>
      </c>
      <c r="E40" s="55">
        <f t="shared" si="2"/>
        <v>0</v>
      </c>
      <c r="G40" s="60">
        <f t="shared" si="3"/>
        <v>15</v>
      </c>
      <c r="H40" s="55">
        <f t="shared" si="3"/>
        <v>0</v>
      </c>
      <c r="J40" s="60">
        <f t="shared" si="4"/>
        <v>21</v>
      </c>
      <c r="K40" s="55">
        <f t="shared" si="4"/>
        <v>22</v>
      </c>
      <c r="M40" s="60">
        <f t="shared" si="5"/>
        <v>0</v>
      </c>
      <c r="N40" s="55">
        <f t="shared" si="5"/>
        <v>0</v>
      </c>
      <c r="P40" s="60">
        <f t="shared" si="6"/>
        <v>18</v>
      </c>
      <c r="Q40" s="55">
        <f t="shared" si="6"/>
        <v>0</v>
      </c>
      <c r="S40" s="60">
        <f t="shared" si="7"/>
        <v>0</v>
      </c>
      <c r="T40" s="55">
        <f t="shared" si="7"/>
        <v>0</v>
      </c>
      <c r="V40" s="60">
        <f t="shared" si="8"/>
        <v>0</v>
      </c>
      <c r="W40" s="55">
        <f t="shared" si="8"/>
        <v>0</v>
      </c>
      <c r="Y40" s="60">
        <f t="shared" si="9"/>
        <v>0</v>
      </c>
      <c r="Z40" s="55">
        <f t="shared" si="9"/>
        <v>0</v>
      </c>
      <c r="AB40" s="60">
        <f t="shared" si="10"/>
        <v>0</v>
      </c>
      <c r="AC40" s="55">
        <f t="shared" si="10"/>
        <v>0</v>
      </c>
      <c r="AE40" s="60">
        <f>IF(AE32=1,AE26,0)</f>
        <v>0</v>
      </c>
    </row>
    <row r="41" spans="1:33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</row>
    <row r="42" spans="1:33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</row>
    <row r="43" spans="1:33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</row>
    <row r="44" spans="1:33" s="55" customFormat="1" ht="38.25" hidden="1" customHeight="1" x14ac:dyDescent="0.2">
      <c r="A44" s="59" t="s">
        <v>93</v>
      </c>
      <c r="B44" s="55">
        <f>SUM(B39:D43)</f>
        <v>51</v>
      </c>
      <c r="D44" s="60"/>
      <c r="E44" s="55">
        <f>SUM(E39:G43)</f>
        <v>42</v>
      </c>
      <c r="G44" s="60"/>
      <c r="H44" s="55">
        <f>SUM(H39:J43)</f>
        <v>37</v>
      </c>
      <c r="J44" s="60"/>
      <c r="K44" s="55">
        <f>SUM(K39:M43)</f>
        <v>40</v>
      </c>
      <c r="M44" s="60"/>
      <c r="N44" s="55">
        <f>SUM(N39:P43)</f>
        <v>38</v>
      </c>
      <c r="P44" s="60"/>
      <c r="Q44" s="55">
        <f>SUM(Q39:S43)</f>
        <v>27</v>
      </c>
      <c r="S44" s="60"/>
      <c r="T44" s="55">
        <f>SUM(T39:V43)</f>
        <v>0</v>
      </c>
      <c r="V44" s="60"/>
      <c r="W44" s="55">
        <f>SUM(W39:Y43)</f>
        <v>0</v>
      </c>
      <c r="Y44" s="60"/>
      <c r="Z44" s="55">
        <f>SUM(Z39:AB43)</f>
        <v>0</v>
      </c>
      <c r="AB44" s="60"/>
      <c r="AC44" s="55">
        <f>SUM(AC39:AE43)</f>
        <v>0</v>
      </c>
      <c r="AE44" s="60"/>
    </row>
    <row r="45" spans="1:33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</row>
    <row r="46" spans="1:33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0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1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0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1</v>
      </c>
      <c r="AG46" s="55">
        <f>AF52-AF46</f>
        <v>0</v>
      </c>
    </row>
    <row r="47" spans="1:33" s="55" customFormat="1" ht="12.75" hidden="1" customHeight="1" x14ac:dyDescent="0.2">
      <c r="A47" s="55" t="s">
        <v>98</v>
      </c>
      <c r="B47" s="55">
        <f>IF(B24=2,IF(B37=1,1,0),0)</f>
        <v>0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0</v>
      </c>
      <c r="AG47" s="55">
        <f>AF53-AF47</f>
        <v>3</v>
      </c>
    </row>
    <row r="48" spans="1:33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1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1</v>
      </c>
      <c r="AG48" s="55">
        <f>AF54-AF48</f>
        <v>0</v>
      </c>
    </row>
    <row r="49" spans="1:37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1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1</v>
      </c>
      <c r="AG49" s="55">
        <f>AF55-AF49</f>
        <v>0</v>
      </c>
    </row>
    <row r="50" spans="1:37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0</v>
      </c>
      <c r="AG50" s="55">
        <f>AF56-AF50</f>
        <v>0</v>
      </c>
    </row>
    <row r="51" spans="1:37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</row>
    <row r="52" spans="1:37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0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0</v>
      </c>
      <c r="P52" s="60">
        <f>IF(P24=1,IF(O37=1,1,0),0)</f>
        <v>0</v>
      </c>
      <c r="Q52" s="55">
        <f>IF(Q24=1,IF(R37=1,1,0),0)</f>
        <v>1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0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0</v>
      </c>
      <c r="AE52" s="60">
        <f>IF(AE24=1,IF(AD37=1,1,0),0)</f>
        <v>0</v>
      </c>
      <c r="AF52" s="55">
        <f>SUM(B52:AE52)</f>
        <v>1</v>
      </c>
    </row>
    <row r="53" spans="1:37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1</v>
      </c>
      <c r="J53" s="60">
        <f>IF(J24=2,IF(I37=1,1,0),0)</f>
        <v>0</v>
      </c>
      <c r="K53" s="55">
        <f>IF(K24=2,IF(L37=1,1,0),0)</f>
        <v>0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1</v>
      </c>
      <c r="T53" s="55">
        <f>IF(T24=2,IF(U37=1,1,0),0)</f>
        <v>0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0</v>
      </c>
      <c r="AF53" s="55">
        <f>SUM(B53:AE53)</f>
        <v>3</v>
      </c>
    </row>
    <row r="54" spans="1:37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1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0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0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0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0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1</v>
      </c>
    </row>
    <row r="55" spans="1:37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0</v>
      </c>
      <c r="H55" s="55">
        <f>IF(H24=4,IF(I37=1,1,0),0)</f>
        <v>0</v>
      </c>
      <c r="J55" s="60">
        <f>IF(J24=4,IF(I37=1,1,0),0)</f>
        <v>1</v>
      </c>
      <c r="K55" s="55">
        <f>IF(K24=4,IF(L37=1,1,0),0)</f>
        <v>0</v>
      </c>
      <c r="M55" s="60">
        <f>IF(M24=4,IF(L37=1,1,0),0)</f>
        <v>0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0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0</v>
      </c>
      <c r="AC55" s="55">
        <f>IF(AC24=4,IF(AD37=1,1,0),0)</f>
        <v>0</v>
      </c>
      <c r="AE55" s="60">
        <f>IF(AE24=4,IF(AD37=1,1,0),0)</f>
        <v>0</v>
      </c>
      <c r="AF55" s="55">
        <f>SUM(B55:AE55)</f>
        <v>1</v>
      </c>
    </row>
    <row r="56" spans="1:37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0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0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0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0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0</v>
      </c>
    </row>
    <row r="57" spans="1:37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</row>
    <row r="58" spans="1:37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42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40</v>
      </c>
      <c r="M58" s="60">
        <f>IF(M24=1,K44,0)</f>
        <v>0</v>
      </c>
      <c r="N58" s="55">
        <f>IF(N24=1,N44,0)</f>
        <v>0</v>
      </c>
      <c r="P58" s="60">
        <f>IF(P24=1,N44,0)</f>
        <v>0</v>
      </c>
      <c r="Q58" s="55">
        <f>IF(Q24=1,Q44,0)</f>
        <v>27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0</v>
      </c>
      <c r="AE58" s="60">
        <f>IF(AE24=1,AC44,0)</f>
        <v>0</v>
      </c>
      <c r="AF58" s="55">
        <f>SUM(B58:AE58)</f>
        <v>109</v>
      </c>
    </row>
    <row r="59" spans="1:37" s="55" customFormat="1" ht="12.75" hidden="1" customHeight="1" x14ac:dyDescent="0.2">
      <c r="A59" s="55" t="s">
        <v>104</v>
      </c>
      <c r="B59" s="55">
        <f>IF(B24=2,B44,0)</f>
        <v>51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37</v>
      </c>
      <c r="J59" s="60">
        <f>IF(J24=2,H44,0)</f>
        <v>0</v>
      </c>
      <c r="K59" s="55">
        <f>IF(K24=2,K44,0)</f>
        <v>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27</v>
      </c>
      <c r="T59" s="55">
        <f>IF(T24=2,T44,0)</f>
        <v>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0</v>
      </c>
      <c r="AF59" s="55">
        <f>SUM(B59:AE59)</f>
        <v>115</v>
      </c>
    </row>
    <row r="60" spans="1:37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51</v>
      </c>
      <c r="E60" s="55">
        <f>IF(E24=3,E44,0)</f>
        <v>0</v>
      </c>
      <c r="G60" s="60">
        <f>IF(G24=3,E44,0)</f>
        <v>0</v>
      </c>
      <c r="H60" s="55">
        <f>IF(H24=3,H44,0)</f>
        <v>0</v>
      </c>
      <c r="J60" s="60">
        <f>IF(J24=3,H44,0)</f>
        <v>0</v>
      </c>
      <c r="K60" s="55">
        <f>IF(K24=3,K44,0)</f>
        <v>0</v>
      </c>
      <c r="M60" s="60">
        <f>IF(M24=3,K44,0)</f>
        <v>40</v>
      </c>
      <c r="N60" s="55">
        <f>IF(N24=3,N44,0)</f>
        <v>38</v>
      </c>
      <c r="P60" s="60">
        <f>IF(P24=3,N44,0)</f>
        <v>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0</v>
      </c>
      <c r="W60" s="55">
        <f>IF(W24=3,W44,0)</f>
        <v>0</v>
      </c>
      <c r="Y60" s="60">
        <f>IF(Y24=3,W44,0)</f>
        <v>0</v>
      </c>
      <c r="Z60" s="55">
        <f>IF(Z24=3,Z44,0)</f>
        <v>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129</v>
      </c>
    </row>
    <row r="61" spans="1:37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42</v>
      </c>
      <c r="H61" s="55">
        <f>IF(H24=4,H44,0)</f>
        <v>0</v>
      </c>
      <c r="J61" s="60">
        <f>IF(J24=4,H44,0)</f>
        <v>37</v>
      </c>
      <c r="K61" s="55">
        <f>IF(K24=4,K44,0)</f>
        <v>0</v>
      </c>
      <c r="M61" s="60">
        <f>IF(M24=4,K44,0)</f>
        <v>0</v>
      </c>
      <c r="N61" s="55">
        <f>IF(N24=4,N44,0)</f>
        <v>0</v>
      </c>
      <c r="P61" s="60">
        <f>IF(P24=4,N44,0)</f>
        <v>38</v>
      </c>
      <c r="Q61" s="55">
        <f>IF(Q24=4,Q44,0)</f>
        <v>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0</v>
      </c>
      <c r="AC61" s="55">
        <f>IF(AC24=4,AC44,0)</f>
        <v>0</v>
      </c>
      <c r="AE61" s="60">
        <f>IF(AE24=4,AC44,0)</f>
        <v>0</v>
      </c>
      <c r="AF61" s="55">
        <f>SUM(B61:AE61)</f>
        <v>117</v>
      </c>
    </row>
    <row r="62" spans="1:37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0</v>
      </c>
    </row>
    <row r="63" spans="1:37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</row>
    <row r="64" spans="1:37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1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1</v>
      </c>
      <c r="M64" s="60">
        <f>IF(M24=1,SUMIF(M31:M35,"&gt;0"),0)</f>
        <v>0</v>
      </c>
      <c r="N64" s="55">
        <f>IF(N24=1,SUMIF(N31:N35,"&gt;0"),0)</f>
        <v>0</v>
      </c>
      <c r="P64" s="60">
        <f>IF(P24=1,SUMIF(P31:P35,"&gt;0"),0)</f>
        <v>0</v>
      </c>
      <c r="Q64" s="55">
        <f>IF(Q24=1,SUMIF(Q31:Q35,"&gt;0"),0)</f>
        <v>1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0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0</v>
      </c>
      <c r="AE64" s="60">
        <f>IF(AE24=1,SUMIF(AE31:AE35,"&gt;0"),0)</f>
        <v>0</v>
      </c>
      <c r="AF64" s="55">
        <f>SUM(B64:AE64)</f>
        <v>3</v>
      </c>
      <c r="AG64" s="55">
        <f>AF72-AF64</f>
        <v>2</v>
      </c>
    </row>
    <row r="65" spans="1:49" s="55" customFormat="1" ht="12.75" hidden="1" customHeight="1" x14ac:dyDescent="0.2">
      <c r="A65" s="55" t="s">
        <v>98</v>
      </c>
      <c r="B65" s="55">
        <f>IF(B24=2,SUMIF(B31:B35,"&gt;0"),0)</f>
        <v>0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0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0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0</v>
      </c>
      <c r="AG65" s="55">
        <f>AF73-AF65</f>
        <v>5</v>
      </c>
    </row>
    <row r="66" spans="1:49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2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1</v>
      </c>
      <c r="N66" s="55">
        <f>IF(N24=3,SUMIF(N31:N35,"&gt;0"),0)</f>
        <v>1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0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0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4</v>
      </c>
      <c r="AG66" s="55">
        <f>AF74-AF66</f>
        <v>2</v>
      </c>
    </row>
    <row r="67" spans="1:49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1</v>
      </c>
      <c r="H67" s="55">
        <f>IF(H24=4,SUMIF(H31:H35,"&gt;0"),0)</f>
        <v>0</v>
      </c>
      <c r="J67" s="60">
        <f>IF(J24=4,SUMIF(J31:J35,"&gt;0"),0)</f>
        <v>2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1</v>
      </c>
      <c r="Q67" s="55">
        <f>IF(Q24=4,SUMIF(Q31:Q35,"&gt;0"),0)</f>
        <v>0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0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4</v>
      </c>
      <c r="AG67" s="55">
        <f>AF75-AF67</f>
        <v>2</v>
      </c>
    </row>
    <row r="68" spans="1:49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0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0</v>
      </c>
      <c r="AG68" s="55">
        <f>AF76-AF68</f>
        <v>0</v>
      </c>
    </row>
    <row r="69" spans="1:49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</row>
    <row r="70" spans="1:49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</row>
    <row r="71" spans="1:49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1</v>
      </c>
      <c r="S71" s="60"/>
      <c r="U71" s="55">
        <f>SUMIF(T64:V68,"&gt;0")</f>
        <v>0</v>
      </c>
      <c r="V71" s="60"/>
      <c r="X71" s="55">
        <f>SUMIF(W64:Y68,"&gt;0")</f>
        <v>0</v>
      </c>
      <c r="Y71" s="60"/>
      <c r="AA71" s="55">
        <f>SUMIF(Z64:AB68,"&gt;0")</f>
        <v>0</v>
      </c>
      <c r="AB71" s="60"/>
      <c r="AD71" s="55">
        <f>SUMIF(AC64:AE68,"&gt;0")</f>
        <v>0</v>
      </c>
      <c r="AE71" s="60"/>
      <c r="AF71" s="59" t="s">
        <v>113</v>
      </c>
    </row>
    <row r="72" spans="1:49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2</v>
      </c>
      <c r="M72" s="60">
        <f>IF(M24=1,L71,0)</f>
        <v>0</v>
      </c>
      <c r="N72" s="55">
        <f>IF(N24=1,O71,0)</f>
        <v>0</v>
      </c>
      <c r="P72" s="60">
        <f>IF(P24=1,O71,0)</f>
        <v>0</v>
      </c>
      <c r="Q72" s="55">
        <f>IF(Q24=1,R71,0)</f>
        <v>1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0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0</v>
      </c>
      <c r="AE72" s="60">
        <f>IF(AE24=1,AD71,0)</f>
        <v>0</v>
      </c>
      <c r="AF72" s="55">
        <f>SUM(B72:AE72)</f>
        <v>5</v>
      </c>
    </row>
    <row r="73" spans="1:49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2</v>
      </c>
      <c r="J73" s="60">
        <f>IF(J24=2,I71,0)</f>
        <v>0</v>
      </c>
      <c r="K73" s="55">
        <f>IF(K24=2,L71,0)</f>
        <v>0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1</v>
      </c>
      <c r="T73" s="55">
        <f>IF(T24=2,U71,0)</f>
        <v>0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0</v>
      </c>
      <c r="AF73" s="55">
        <f>SUM(B73:AE73)</f>
        <v>5</v>
      </c>
    </row>
    <row r="74" spans="1:49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2</v>
      </c>
      <c r="E74" s="55">
        <f>IF(E24=3,F71,0)</f>
        <v>0</v>
      </c>
      <c r="G74" s="60">
        <f>IF(G24=3,F71,0)</f>
        <v>0</v>
      </c>
      <c r="H74" s="55">
        <f>IF(H24=3,I71,0)</f>
        <v>0</v>
      </c>
      <c r="J74" s="60">
        <f>IF(J24=3,I71,0)</f>
        <v>0</v>
      </c>
      <c r="K74" s="55">
        <f>IF(K24=3,L71,0)</f>
        <v>0</v>
      </c>
      <c r="M74" s="60">
        <f>IF(M24=3,L71,0)</f>
        <v>2</v>
      </c>
      <c r="N74" s="55">
        <f>IF(N24=3,O71,0)</f>
        <v>2</v>
      </c>
      <c r="P74" s="60">
        <f>IF(P24=3,O71,0)</f>
        <v>0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0</v>
      </c>
      <c r="W74" s="55">
        <f>IF(W24=3,X71,0)</f>
        <v>0</v>
      </c>
      <c r="Y74" s="60">
        <f>IF(Y24=3,X71,0)</f>
        <v>0</v>
      </c>
      <c r="Z74" s="55">
        <f>IF(Z24=3,AA71,0)</f>
        <v>0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6</v>
      </c>
    </row>
    <row r="75" spans="1:49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2</v>
      </c>
      <c r="K75" s="55">
        <f>IF(K24=4,L71,0)</f>
        <v>0</v>
      </c>
      <c r="M75" s="60">
        <f>IF(M24=4,L71,0)</f>
        <v>0</v>
      </c>
      <c r="N75" s="55">
        <f>IF(N24=4,O71,0)</f>
        <v>0</v>
      </c>
      <c r="P75" s="60">
        <f>IF(P24=4,O71,0)</f>
        <v>2</v>
      </c>
      <c r="Q75" s="55">
        <f>IF(Q24=4,R71,0)</f>
        <v>0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0</v>
      </c>
      <c r="AC75" s="55">
        <f>IF(AC24=4,AD71,0)</f>
        <v>0</v>
      </c>
      <c r="AE75" s="60">
        <f>IF(AE24=4,AD71,0)</f>
        <v>0</v>
      </c>
      <c r="AF75" s="55">
        <f>SUM(B75:AE75)</f>
        <v>6</v>
      </c>
    </row>
    <row r="76" spans="1:49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0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0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0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0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0</v>
      </c>
    </row>
    <row r="77" spans="1:49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130"/>
    </row>
    <row r="78" spans="1:49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</row>
    <row r="79" spans="1:49" s="63" customFormat="1" hidden="1" x14ac:dyDescent="0.2">
      <c r="A79" s="67">
        <v>1</v>
      </c>
      <c r="B79" s="67" t="str">
        <f>E8</f>
        <v>CSNS 12-1</v>
      </c>
      <c r="C79" s="67">
        <f>VLOOKUP(B79,AU$3:AW$33,3,FALSE)</f>
        <v>1313.3752502473765</v>
      </c>
      <c r="D79" s="67">
        <f>IF(B72,B87,IF(D72,D87,C79))</f>
        <v>1313.3752502473765</v>
      </c>
      <c r="E79" s="67"/>
      <c r="F79" s="67"/>
      <c r="G79" s="67">
        <f>IF(E72,E87,IF(G72,G87,D79))</f>
        <v>1311.0359638479608</v>
      </c>
      <c r="H79" s="67"/>
      <c r="I79" s="67"/>
      <c r="J79" s="67">
        <f>IF(H72,H87,IF(J72,J87,G79))</f>
        <v>1311.0359638479608</v>
      </c>
      <c r="K79" s="67"/>
      <c r="L79" s="67"/>
      <c r="M79" s="67">
        <f>IF(K72,K87,IF(M72,M87,J79))</f>
        <v>1308.2537839596646</v>
      </c>
      <c r="N79" s="67"/>
      <c r="O79" s="67"/>
      <c r="P79" s="67">
        <f>IF(N72,N87,IF(P72,P87,M79))</f>
        <v>1308.2537839596646</v>
      </c>
      <c r="Q79" s="67"/>
      <c r="R79" s="67"/>
      <c r="S79" s="67">
        <f>IF(Q72,Q87,IF(S72,S87,P79))</f>
        <v>1314.5144620222545</v>
      </c>
      <c r="T79" s="67"/>
      <c r="U79" s="67"/>
      <c r="V79" s="67">
        <f>IF(T72,T87,IF(V72,V87,S79))</f>
        <v>1314.5144620222545</v>
      </c>
      <c r="W79" s="67"/>
      <c r="X79" s="67"/>
      <c r="Y79" s="67">
        <f>IF(W72,W87,IF(Y72,Y87,V79))</f>
        <v>1314.5144620222545</v>
      </c>
      <c r="Z79" s="67"/>
      <c r="AA79" s="67"/>
      <c r="AB79" s="67">
        <f>IF(Z72,Z87,IF(AB72,AB87,Y79))</f>
        <v>1314.5144620222545</v>
      </c>
      <c r="AC79" s="67"/>
      <c r="AD79" s="67"/>
      <c r="AE79" s="67">
        <f>IF(AC72,AC87,IF(AE72,AE87,AB79))</f>
        <v>1314.5144620222545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CSNS 12-1</v>
      </c>
      <c r="AU79" s="63">
        <f>AE79</f>
        <v>1314.5144620222545</v>
      </c>
      <c r="AW79" s="66"/>
    </row>
    <row r="80" spans="1:49" s="63" customFormat="1" hidden="1" x14ac:dyDescent="0.2">
      <c r="A80" s="67">
        <v>2</v>
      </c>
      <c r="B80" s="67" t="str">
        <f>E10</f>
        <v>Foothills 12 Rachel</v>
      </c>
      <c r="C80" s="67">
        <f>VLOOKUP(B80,AU$3:AW$33,3,FALSE)</f>
        <v>1264.1177094032755</v>
      </c>
      <c r="D80" s="67">
        <f>IF(B73,B87,IF(D73,D87,C80))</f>
        <v>1246.6680332278961</v>
      </c>
      <c r="E80" s="67"/>
      <c r="F80" s="67"/>
      <c r="G80" s="67">
        <f>IF(E73,E87,IF(G73,G87,D80))</f>
        <v>1246.6680332278961</v>
      </c>
      <c r="H80" s="67"/>
      <c r="I80" s="67"/>
      <c r="J80" s="67">
        <f>IF(H73,H87,IF(J73,J87,G80))</f>
        <v>1231.4908440206461</v>
      </c>
      <c r="K80" s="67"/>
      <c r="L80" s="67"/>
      <c r="M80" s="67">
        <f>IF(K73,K87,IF(M73,M87,J80))</f>
        <v>1231.4908440206461</v>
      </c>
      <c r="N80" s="67"/>
      <c r="O80" s="67"/>
      <c r="P80" s="67">
        <f>IF(N73,N87,IF(P73,P87,M80))</f>
        <v>1231.4908440206461</v>
      </c>
      <c r="Q80" s="67"/>
      <c r="R80" s="67"/>
      <c r="S80" s="67">
        <f>IF(Q73,Q87,IF(S73,S87,P80))</f>
        <v>1225.2301659580562</v>
      </c>
      <c r="T80" s="67"/>
      <c r="U80" s="67"/>
      <c r="V80" s="67">
        <f>IF(T73,T87,IF(V73,V87,S80))</f>
        <v>1225.2301659580562</v>
      </c>
      <c r="W80" s="67"/>
      <c r="X80" s="67"/>
      <c r="Y80" s="67">
        <f>IF(W73,W87,IF(Y73,Y87,V80))</f>
        <v>1225.2301659580562</v>
      </c>
      <c r="Z80" s="67"/>
      <c r="AA80" s="67"/>
      <c r="AB80" s="67">
        <f>IF(Z73,Z87,IF(AB73,AB87,Y80))</f>
        <v>1225.2301659580562</v>
      </c>
      <c r="AC80" s="67"/>
      <c r="AD80" s="67"/>
      <c r="AE80" s="67">
        <f>IF(AC73,AC87,IF(AE73,AE87,AB80))</f>
        <v>1225.2301659580562</v>
      </c>
      <c r="AF80" s="4"/>
      <c r="AG80" s="4"/>
      <c r="AJ80" s="4"/>
      <c r="AL80" s="4"/>
      <c r="AM80" s="4"/>
      <c r="AN80" s="4"/>
      <c r="AO80" s="4"/>
      <c r="AT80" s="63" t="str">
        <f>B80</f>
        <v>Foothills 12 Rachel</v>
      </c>
      <c r="AU80" s="63">
        <f>AE80</f>
        <v>1225.2301659580562</v>
      </c>
      <c r="AW80" s="66"/>
    </row>
    <row r="81" spans="1:49" s="63" customFormat="1" hidden="1" x14ac:dyDescent="0.2">
      <c r="A81" s="67">
        <v>3</v>
      </c>
      <c r="B81" s="67" t="str">
        <f>E12</f>
        <v>Kidz Power Intense col</v>
      </c>
      <c r="C81" s="67">
        <f>VLOOKUP(B81,AU$3:AW$33,3,FALSE)</f>
        <v>1232.5518241924728</v>
      </c>
      <c r="D81" s="67">
        <f>IF(B74,B87,IF(D74,D87,C81))</f>
        <v>1250.0015003678523</v>
      </c>
      <c r="E81" s="67"/>
      <c r="F81" s="67"/>
      <c r="G81" s="67">
        <f>IF(E74,E87,IF(G74,G87,D81))</f>
        <v>1250.0015003678523</v>
      </c>
      <c r="H81" s="67"/>
      <c r="I81" s="67"/>
      <c r="J81" s="67">
        <f>IF(H74,H87,IF(J74,J87,G81))</f>
        <v>1250.0015003678523</v>
      </c>
      <c r="K81" s="67"/>
      <c r="L81" s="67"/>
      <c r="M81" s="67">
        <f>IF(K74,K87,IF(M74,M87,J81))</f>
        <v>1252.7836802561485</v>
      </c>
      <c r="N81" s="67"/>
      <c r="O81" s="67"/>
      <c r="P81" s="67">
        <f>IF(N74,N87,IF(P74,P87,M81))</f>
        <v>1254.0220353337193</v>
      </c>
      <c r="Q81" s="67"/>
      <c r="R81" s="67"/>
      <c r="S81" s="67">
        <f>IF(Q74,Q87,IF(S74,S87,P81))</f>
        <v>1254.0220353337193</v>
      </c>
      <c r="T81" s="67"/>
      <c r="U81" s="67"/>
      <c r="V81" s="67">
        <f>IF(T74,T87,IF(V74,V87,S81))</f>
        <v>1254.0220353337193</v>
      </c>
      <c r="W81" s="67"/>
      <c r="X81" s="67"/>
      <c r="Y81" s="67">
        <f>IF(W74,W87,IF(Y74,Y87,V81))</f>
        <v>1254.0220353337193</v>
      </c>
      <c r="Z81" s="67"/>
      <c r="AA81" s="67"/>
      <c r="AB81" s="67">
        <f>IF(Z74,Z87,IF(AB74,AB87,Y81))</f>
        <v>1254.0220353337193</v>
      </c>
      <c r="AC81" s="67"/>
      <c r="AD81" s="67"/>
      <c r="AE81" s="67">
        <f>IF(AC74,AC87,IF(AE74,AE87,AB81))</f>
        <v>1254.0220353337193</v>
      </c>
      <c r="AF81" s="4"/>
      <c r="AG81" s="4"/>
      <c r="AJ81" s="4"/>
      <c r="AL81" s="4"/>
      <c r="AM81" s="4"/>
      <c r="AN81" s="4"/>
      <c r="AO81" s="4"/>
      <c r="AT81" s="63" t="str">
        <f>B81</f>
        <v>Kidz Power Intense col</v>
      </c>
      <c r="AU81" s="63">
        <f>AE81</f>
        <v>1254.0220353337193</v>
      </c>
      <c r="AW81" s="66"/>
    </row>
    <row r="82" spans="1:49" s="63" customFormat="1" hidden="1" x14ac:dyDescent="0.2">
      <c r="A82" s="67">
        <v>4</v>
      </c>
      <c r="B82" s="67" t="str">
        <f>E14</f>
        <v>Foothills 13 Caitlin</v>
      </c>
      <c r="C82" s="67">
        <f>VLOOKUP(B82,AU$3:AW$33,3,FALSE)</f>
        <v>1262.211631667539</v>
      </c>
      <c r="D82" s="67">
        <f>IF(B75,B87,IF(D75,D87,C82))</f>
        <v>1262.211631667539</v>
      </c>
      <c r="E82" s="67"/>
      <c r="F82" s="67"/>
      <c r="G82" s="67">
        <f>IF(E75,E87,IF(G75,G87,D82))</f>
        <v>1264.5509180669546</v>
      </c>
      <c r="H82" s="67"/>
      <c r="I82" s="67"/>
      <c r="J82" s="67">
        <f>IF(H75,H87,IF(J75,J87,G82))</f>
        <v>1279.7281072742046</v>
      </c>
      <c r="K82" s="67"/>
      <c r="L82" s="67"/>
      <c r="M82" s="67">
        <f>IF(K75,K87,IF(M75,M87,J82))</f>
        <v>1279.7281072742046</v>
      </c>
      <c r="N82" s="67"/>
      <c r="O82" s="67"/>
      <c r="P82" s="67">
        <f>IF(N75,N87,IF(P75,P87,M82))</f>
        <v>1278.4897521966338</v>
      </c>
      <c r="Q82" s="67"/>
      <c r="R82" s="67"/>
      <c r="S82" s="67">
        <f>IF(Q75,Q87,IF(S75,S87,P82))</f>
        <v>1278.4897521966338</v>
      </c>
      <c r="T82" s="67"/>
      <c r="U82" s="67"/>
      <c r="V82" s="67">
        <f>IF(T75,T87,IF(V75,V87,S82))</f>
        <v>1278.4897521966338</v>
      </c>
      <c r="W82" s="67"/>
      <c r="X82" s="67"/>
      <c r="Y82" s="67">
        <f>IF(W75,W87,IF(Y75,Y87,V82))</f>
        <v>1278.4897521966338</v>
      </c>
      <c r="Z82" s="67"/>
      <c r="AA82" s="67"/>
      <c r="AB82" s="67">
        <f>IF(Z75,Z87,IF(AB75,AB87,Y82))</f>
        <v>1278.4897521966338</v>
      </c>
      <c r="AC82" s="67"/>
      <c r="AD82" s="67"/>
      <c r="AE82" s="67">
        <f>IF(AC75,AC87,IF(AE75,AE87,AB82))</f>
        <v>1278.4897521966338</v>
      </c>
      <c r="AF82" s="4"/>
      <c r="AG82" s="4"/>
      <c r="AJ82" s="4"/>
      <c r="AL82" s="4"/>
      <c r="AM82" s="4"/>
      <c r="AN82" s="4"/>
      <c r="AO82" s="4"/>
      <c r="AT82" s="63" t="str">
        <f>B82</f>
        <v>Foothills 13 Caitlin</v>
      </c>
      <c r="AU82" s="63">
        <f>AE82</f>
        <v>1278.4897521966338</v>
      </c>
      <c r="AW82" s="66"/>
    </row>
    <row r="83" spans="1:49" s="63" customFormat="1" hidden="1" x14ac:dyDescent="0.2">
      <c r="A83" s="67">
        <v>5</v>
      </c>
      <c r="B83" s="67" t="e">
        <f>E16</f>
        <v>#REF!</v>
      </c>
      <c r="C83" s="67" t="e">
        <f>VLOOKUP(B83,AU$3:AW$33,3,FALSE)</f>
        <v>#REF!</v>
      </c>
      <c r="D83" s="67" t="e">
        <f>IF(B76,B87,IF(D76,D87,C83))</f>
        <v>#REF!</v>
      </c>
      <c r="E83" s="67"/>
      <c r="F83" s="67"/>
      <c r="G83" s="67" t="e">
        <f>IF(E76,E87,IF(G76,G87,D83))</f>
        <v>#REF!</v>
      </c>
      <c r="H83" s="67"/>
      <c r="I83" s="67"/>
      <c r="J83" s="67" t="e">
        <f>IF(H76,H87,IF(J76,J87,G83))</f>
        <v>#REF!</v>
      </c>
      <c r="K83" s="67"/>
      <c r="L83" s="67"/>
      <c r="M83" s="67" t="e">
        <f>IF(K76,K87,IF(M76,M87,J83))</f>
        <v>#REF!</v>
      </c>
      <c r="N83" s="67"/>
      <c r="O83" s="67"/>
      <c r="P83" s="67" t="e">
        <f>IF(N76,N87,IF(P76,P87,M83))</f>
        <v>#REF!</v>
      </c>
      <c r="Q83" s="67"/>
      <c r="R83" s="67"/>
      <c r="S83" s="67" t="e">
        <f>IF(Q76,Q87,IF(S76,S87,P83))</f>
        <v>#REF!</v>
      </c>
      <c r="T83" s="67"/>
      <c r="U83" s="67"/>
      <c r="V83" s="67" t="e">
        <f>IF(T76,T87,IF(V76,V87,S83))</f>
        <v>#REF!</v>
      </c>
      <c r="W83" s="67"/>
      <c r="X83" s="67"/>
      <c r="Y83" s="67" t="e">
        <f>IF(W76,W87,IF(Y76,Y87,V83))</f>
        <v>#REF!</v>
      </c>
      <c r="Z83" s="67"/>
      <c r="AA83" s="67"/>
      <c r="AB83" s="67" t="e">
        <f>IF(Z76,Z87,IF(AB76,AB87,Y83))</f>
        <v>#REF!</v>
      </c>
      <c r="AC83" s="67"/>
      <c r="AD83" s="67"/>
      <c r="AE83" s="67" t="e">
        <f>IF(AC76,AC87,IF(AE76,AE87,AB83))</f>
        <v>#REF!</v>
      </c>
      <c r="AF83" s="4"/>
      <c r="AG83" s="4"/>
      <c r="AJ83" s="4"/>
      <c r="AL83" s="4"/>
      <c r="AM83" s="4"/>
      <c r="AN83" s="4"/>
      <c r="AO83" s="4"/>
      <c r="AT83" s="63" t="e">
        <f>B83</f>
        <v>#REF!</v>
      </c>
      <c r="AU83" s="63" t="e">
        <f>AE83</f>
        <v>#REF!</v>
      </c>
      <c r="AW83" s="66"/>
    </row>
    <row r="84" spans="1:49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</row>
    <row r="85" spans="1:49" s="63" customFormat="1" hidden="1" x14ac:dyDescent="0.2">
      <c r="A85" s="67" t="s">
        <v>116</v>
      </c>
      <c r="B85" s="67">
        <f>VLOOKUP(B24,$A79:$AE83,3,FALSE)</f>
        <v>1264.1177094032755</v>
      </c>
      <c r="C85" s="67">
        <v>1</v>
      </c>
      <c r="D85" s="67">
        <f>VLOOKUP(D24,$A79:$AE83,3,FALSE)</f>
        <v>1232.5518241924728</v>
      </c>
      <c r="E85" s="67">
        <f>VLOOKUP(E24,$A79:$AE83,4,FALSE)</f>
        <v>1313.3752502473765</v>
      </c>
      <c r="F85" s="67">
        <v>2</v>
      </c>
      <c r="G85" s="67">
        <f>VLOOKUP(G24,$A79:$AE83,4,FALSE)</f>
        <v>1262.211631667539</v>
      </c>
      <c r="H85" s="67">
        <f>VLOOKUP(H24,$A79:$AE83,7,FALSE)</f>
        <v>1246.6680332278961</v>
      </c>
      <c r="I85" s="67">
        <v>3</v>
      </c>
      <c r="J85" s="67">
        <f>VLOOKUP(J24,$A79:$AE83,7,FALSE)</f>
        <v>1264.5509180669546</v>
      </c>
      <c r="K85" s="67">
        <f>VLOOKUP(K24,$A79:$AE83,10,FALSE)</f>
        <v>1311.0359638479608</v>
      </c>
      <c r="L85" s="67">
        <v>4</v>
      </c>
      <c r="M85" s="67">
        <f>VLOOKUP(M24,$A79:$AE83,10,FALSE)</f>
        <v>1250.0015003678523</v>
      </c>
      <c r="N85" s="67">
        <f>VLOOKUP(N24,$A79:$AE83,13,FALSE)</f>
        <v>1252.7836802561485</v>
      </c>
      <c r="O85" s="67">
        <v>5</v>
      </c>
      <c r="P85" s="67">
        <f>VLOOKUP(P24,$A79:$AE83,13,FALSE)</f>
        <v>1279.7281072742046</v>
      </c>
      <c r="Q85" s="67">
        <f>VLOOKUP(Q24,$A79:$AE83,16,FALSE)</f>
        <v>1308.2537839596646</v>
      </c>
      <c r="R85" s="67">
        <v>6</v>
      </c>
      <c r="S85" s="67">
        <f>VLOOKUP(S24,$A79:$AE83,16,FALSE)</f>
        <v>1231.4908440206461</v>
      </c>
      <c r="T85" s="67" t="e">
        <f>VLOOKUP(T24,$A79:$AE83,19,FALSE)</f>
        <v>#N/A</v>
      </c>
      <c r="U85" s="67">
        <v>7</v>
      </c>
      <c r="V85" s="67" t="e">
        <f>VLOOKUP(V24,$A79:$AE83,19,FALSE)</f>
        <v>#N/A</v>
      </c>
      <c r="W85" s="67" t="e">
        <f>VLOOKUP(W24,$A79:$AE83,22,FALSE)</f>
        <v>#N/A</v>
      </c>
      <c r="X85" s="67">
        <v>8</v>
      </c>
      <c r="Y85" s="67" t="e">
        <f>VLOOKUP(Y24,$A79:$AE83,22,FALSE)</f>
        <v>#N/A</v>
      </c>
      <c r="Z85" s="67" t="e">
        <f>VLOOKUP(Z24,$A79:$AE83,25,FALSE)</f>
        <v>#N/A</v>
      </c>
      <c r="AA85" s="67">
        <v>9</v>
      </c>
      <c r="AB85" s="67" t="e">
        <f>VLOOKUP(AB24,$A79:$AE83,25,FALSE)</f>
        <v>#N/A</v>
      </c>
      <c r="AC85" s="67" t="e">
        <f>VLOOKUP(AC24,$A79:$AE83,28,FALSE)</f>
        <v>#N/A</v>
      </c>
      <c r="AD85" s="67">
        <v>10</v>
      </c>
      <c r="AE85" s="67" t="e">
        <f>VLOOKUP(AE24,$A79:$AE83,28,FALSE)</f>
        <v>#N/A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</row>
    <row r="86" spans="1:49" s="72" customFormat="1" hidden="1" x14ac:dyDescent="0.2">
      <c r="A86" s="68" t="s">
        <v>117</v>
      </c>
      <c r="B86" s="68">
        <f>1/(1+(10^-((B85-D85)/400)))*(B36+D36)</f>
        <v>1.0906047609612126</v>
      </c>
      <c r="C86" s="68"/>
      <c r="D86" s="68">
        <f>1/(1+(10^-((D85-B85)/400)))*(B36+D36)</f>
        <v>0.90939523903878761</v>
      </c>
      <c r="E86" s="68">
        <f>1/(1+(10^-((E85-G85)/400)))*(E36+G36)</f>
        <v>1.1462053999634769</v>
      </c>
      <c r="F86" s="68"/>
      <c r="G86" s="68">
        <f>1/(1+(10^-((G85-E85)/400)))*(E36+G36)</f>
        <v>0.85379460003652297</v>
      </c>
      <c r="H86" s="68">
        <f>1/(1+(10^-((H85-J85)/400)))*(H36+J36)</f>
        <v>0.94857432545312659</v>
      </c>
      <c r="I86" s="68"/>
      <c r="J86" s="68">
        <f>1/(1+(10^-((J85-H85)/400)))*(H36+J36)</f>
        <v>1.0514256745468735</v>
      </c>
      <c r="K86" s="68">
        <f>1/(1+(10^-((K85-M85)/400)))*(K36+M36)</f>
        <v>1.1738862430185149</v>
      </c>
      <c r="L86" s="68"/>
      <c r="M86" s="68">
        <f>1/(1+(10^-((M85-K85)/400)))*(K36+M36)</f>
        <v>0.82611375698148504</v>
      </c>
      <c r="N86" s="68">
        <f>1/(1+(10^-((N85-P85)/400)))*(N36+P36)</f>
        <v>0.92260280765183178</v>
      </c>
      <c r="O86" s="68"/>
      <c r="P86" s="68">
        <f>1/(1+(10^-((P85-N85)/400)))*(N36+P36)</f>
        <v>1.0773971923481682</v>
      </c>
      <c r="Q86" s="68">
        <f>1/(1+(10^-((Q85-S85)/400)))*(Q36+S36)</f>
        <v>0.6087076210881297</v>
      </c>
      <c r="R86" s="68"/>
      <c r="S86" s="68">
        <f>1/(1+(10^-((S85-Q85)/400)))*(Q36+S36)</f>
        <v>0.3912923789118703</v>
      </c>
      <c r="T86" s="68" t="e">
        <f>1/(1+(10^-((T85-V85)/400)))*(T36+V36)</f>
        <v>#N/A</v>
      </c>
      <c r="U86" s="68"/>
      <c r="V86" s="68" t="e">
        <f>1/(1+(10^-((V85-T85)/400)))*(T36+V36)</f>
        <v>#N/A</v>
      </c>
      <c r="W86" s="68" t="e">
        <f>1/(1+(10^-((W85-Y85)/400)))*(W36+Y36)</f>
        <v>#N/A</v>
      </c>
      <c r="X86" s="68"/>
      <c r="Y86" s="68" t="e">
        <f>1/(1+(10^-((Y85-W85)/400)))*(W36+Y36)</f>
        <v>#N/A</v>
      </c>
      <c r="Z86" s="68" t="e">
        <f>1/(1+(10^-((Z85-AB85)/400)))*(Z36+AB36)</f>
        <v>#N/A</v>
      </c>
      <c r="AA86" s="68"/>
      <c r="AB86" s="68" t="e">
        <f>1/(1+(10^-((AB85-Z85)/400)))*(Z36+AB36)</f>
        <v>#N/A</v>
      </c>
      <c r="AC86" s="68" t="e">
        <f>1/(1+(10^-((AC85-AE85)/400)))*(AC36+AE36)</f>
        <v>#N/A</v>
      </c>
      <c r="AD86" s="68"/>
      <c r="AE86" s="68" t="e">
        <f>1/(1+(10^-((AE85-AC85)/400)))*(AC36+AE36)</f>
        <v>#N/A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</row>
    <row r="87" spans="1:49" s="78" customFormat="1" hidden="1" x14ac:dyDescent="0.2">
      <c r="A87" s="74" t="s">
        <v>118</v>
      </c>
      <c r="B87" s="74">
        <f>B85+(B36-B86)*$BA$1</f>
        <v>1246.6680332278961</v>
      </c>
      <c r="C87" s="74"/>
      <c r="D87" s="74">
        <f>D85+(D36-D86)*$BA$1</f>
        <v>1250.0015003678523</v>
      </c>
      <c r="E87" s="74">
        <f>E85+(E36-E86)*$BA$1</f>
        <v>1311.0359638479608</v>
      </c>
      <c r="F87" s="74"/>
      <c r="G87" s="74">
        <f>G85+(G36-G86)*$BA$1</f>
        <v>1264.5509180669546</v>
      </c>
      <c r="H87" s="74">
        <f>H85+(H36-H86)*$BA$1</f>
        <v>1231.4908440206461</v>
      </c>
      <c r="I87" s="74"/>
      <c r="J87" s="74">
        <f>J85+(J36-J86)*$BA$1</f>
        <v>1279.7281072742046</v>
      </c>
      <c r="K87" s="74">
        <f>K85+(K36-K86)*$BA$1</f>
        <v>1308.2537839596646</v>
      </c>
      <c r="L87" s="74"/>
      <c r="M87" s="74">
        <f>M85+(M36-M86)*$BA$1</f>
        <v>1252.7836802561485</v>
      </c>
      <c r="N87" s="74">
        <f>N85+(N36-N86)*$BA$1</f>
        <v>1254.0220353337193</v>
      </c>
      <c r="O87" s="74"/>
      <c r="P87" s="74">
        <f>P85+(P36-P86)*$BA$1</f>
        <v>1278.4897521966338</v>
      </c>
      <c r="Q87" s="74">
        <f>Q85+(Q36-Q86)*$BA$1</f>
        <v>1314.5144620222545</v>
      </c>
      <c r="R87" s="74"/>
      <c r="S87" s="74">
        <f>S85+(S36-S86)*$BA$1</f>
        <v>1225.2301659580562</v>
      </c>
      <c r="T87" s="74" t="e">
        <f>T85+(T36-T86)*$BA$1</f>
        <v>#N/A</v>
      </c>
      <c r="U87" s="74"/>
      <c r="V87" s="74" t="e">
        <f>V85+(V36-V86)*$BA$1</f>
        <v>#N/A</v>
      </c>
      <c r="W87" s="74" t="e">
        <f>W85+(W36-W86)*$BA$1</f>
        <v>#N/A</v>
      </c>
      <c r="X87" s="74"/>
      <c r="Y87" s="74" t="e">
        <f>Y85+(Y36-Y86)*$BA$1</f>
        <v>#N/A</v>
      </c>
      <c r="Z87" s="74" t="e">
        <f>Z85+(Z36-Z86)*$BA$1</f>
        <v>#N/A</v>
      </c>
      <c r="AA87" s="74"/>
      <c r="AB87" s="74" t="e">
        <f>AB85+(AB36-AB86)*$BA$1</f>
        <v>#N/A</v>
      </c>
      <c r="AC87" s="74" t="e">
        <f>AC85+(AC36-AC86)*$BA$1</f>
        <v>#N/A</v>
      </c>
      <c r="AD87" s="74"/>
      <c r="AE87" s="74" t="e">
        <f>AE85+(AE36-AE86)*$BA$1</f>
        <v>#N/A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</row>
    <row r="88" spans="1:49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T88" s="79"/>
    </row>
    <row r="89" spans="1:49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</row>
    <row r="90" spans="1:49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</row>
    <row r="91" spans="1:49" ht="24" customHeight="1" thickBot="1" x14ac:dyDescent="0.25">
      <c r="A91" s="22" t="s">
        <v>35</v>
      </c>
      <c r="B91" s="23" t="s">
        <v>1015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332" t="str">
        <f>"Pool "&amp;B91&amp;" - Round 1 - Court "&amp;I91</f>
        <v>Pool BB - Round 1 - Court 2</v>
      </c>
      <c r="L91" s="333"/>
      <c r="M91" s="333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  <c r="AA91" s="333"/>
      <c r="AB91" s="333"/>
      <c r="AC91" s="333"/>
      <c r="AD91" s="333"/>
      <c r="AE91" s="333"/>
      <c r="AF91" s="333"/>
      <c r="AG91" s="333"/>
      <c r="AH91" s="333"/>
      <c r="AI91" s="334"/>
      <c r="AJ91" s="182"/>
      <c r="AK91" s="182"/>
      <c r="AL91" s="182"/>
      <c r="AM91" s="182"/>
      <c r="AN91" s="182"/>
      <c r="AO91" s="182"/>
      <c r="AP91" s="182"/>
      <c r="AQ91" s="182"/>
    </row>
    <row r="92" spans="1:49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Matches Won</v>
      </c>
      <c r="M92" s="255"/>
      <c r="N92" s="255"/>
      <c r="O92" s="255"/>
      <c r="P92" s="255"/>
      <c r="Q92" s="256"/>
      <c r="R92" s="254" t="str">
        <f>IF($AK95=0,"Games Lost","Matches Lost")</f>
        <v>Matches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49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Excell Dev. 11 2017</v>
      </c>
      <c r="F93" s="233"/>
      <c r="G93" s="233"/>
      <c r="H93" s="233"/>
      <c r="I93" s="233"/>
      <c r="J93" s="233"/>
      <c r="K93" s="234"/>
      <c r="L93" s="235">
        <f>IF($AK95=0,AF149,AF131)</f>
        <v>2</v>
      </c>
      <c r="M93" s="236"/>
      <c r="N93" s="236"/>
      <c r="O93" s="236"/>
      <c r="P93" s="236"/>
      <c r="Q93" s="256"/>
      <c r="R93" s="235">
        <f>IF($AK95=0,AG149,AG131)</f>
        <v>0</v>
      </c>
      <c r="S93" s="236"/>
      <c r="T93" s="236"/>
      <c r="U93" s="236"/>
      <c r="V93" s="236"/>
      <c r="W93" s="235">
        <f>AQ109</f>
        <v>25</v>
      </c>
      <c r="X93" s="236"/>
      <c r="Y93" s="236"/>
      <c r="Z93" s="239">
        <f>IF(AF143&gt;0,(AQ109/AF143),0)</f>
        <v>0.16778523489932887</v>
      </c>
      <c r="AA93" s="240"/>
      <c r="AB93" s="240"/>
      <c r="AC93" s="262">
        <f>IF(AF157=0,0,(AF149/AF157))</f>
        <v>0.7142857142857143</v>
      </c>
      <c r="AD93" s="263"/>
      <c r="AE93" s="264"/>
      <c r="AF93" s="268">
        <v>2</v>
      </c>
      <c r="AG93" s="268">
        <v>1</v>
      </c>
      <c r="AH93" s="270">
        <v>6</v>
      </c>
      <c r="AI93" s="271"/>
      <c r="AJ93" s="27"/>
      <c r="AK93" s="28">
        <v>6</v>
      </c>
      <c r="AL93" s="29" t="s">
        <v>49</v>
      </c>
      <c r="AM93" s="29"/>
      <c r="AN93" s="29"/>
      <c r="AO93" s="29"/>
      <c r="AP93" s="29"/>
      <c r="AQ93" s="29"/>
      <c r="AR93" s="30"/>
    </row>
    <row r="94" spans="1:49" ht="18.75" customHeight="1" thickBot="1" x14ac:dyDescent="0.25">
      <c r="A94" s="228"/>
      <c r="B94" s="274" t="s">
        <v>11</v>
      </c>
      <c r="C94" s="275"/>
      <c r="D94" s="276"/>
      <c r="E94" s="277" t="str">
        <f>AV4</f>
        <v>fj1excel3pm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3</v>
      </c>
      <c r="AL94" s="29" t="s">
        <v>52</v>
      </c>
      <c r="AM94" s="27"/>
      <c r="AN94" s="27"/>
      <c r="AO94" s="27"/>
      <c r="AP94" s="27"/>
      <c r="AQ94" s="27"/>
      <c r="AR94" s="3"/>
    </row>
    <row r="95" spans="1:49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columbia sc starlings 13</v>
      </c>
      <c r="F95" s="233"/>
      <c r="G95" s="233"/>
      <c r="H95" s="233"/>
      <c r="I95" s="233"/>
      <c r="J95" s="233"/>
      <c r="K95" s="234"/>
      <c r="L95" s="235">
        <f>IF($AK95=0,AF150,AF132)</f>
        <v>0</v>
      </c>
      <c r="M95" s="236"/>
      <c r="N95" s="236"/>
      <c r="O95" s="236"/>
      <c r="P95" s="236"/>
      <c r="Q95" s="256"/>
      <c r="R95" s="235">
        <f>IF($AK95=0,AG150,AG132)</f>
        <v>1</v>
      </c>
      <c r="S95" s="236"/>
      <c r="T95" s="236"/>
      <c r="U95" s="236"/>
      <c r="V95" s="236"/>
      <c r="W95" s="235">
        <f>AQ110</f>
        <v>-24</v>
      </c>
      <c r="X95" s="236"/>
      <c r="Y95" s="236"/>
      <c r="Z95" s="239">
        <f>IF(AF144&gt;0,(AQ110/AF144),0)</f>
        <v>-0.16901408450704225</v>
      </c>
      <c r="AA95" s="240"/>
      <c r="AB95" s="240"/>
      <c r="AC95" s="262">
        <f>IF(AF158=0,0,(AF150/AF158))</f>
        <v>0.42857142857142855</v>
      </c>
      <c r="AD95" s="263"/>
      <c r="AE95" s="264"/>
      <c r="AF95" s="268">
        <v>3</v>
      </c>
      <c r="AG95" s="268">
        <v>1</v>
      </c>
      <c r="AH95" s="270">
        <v>4</v>
      </c>
      <c r="AI95" s="271"/>
      <c r="AJ95" s="27"/>
      <c r="AK95" s="28">
        <v>1</v>
      </c>
      <c r="AL95" s="29" t="s">
        <v>55</v>
      </c>
      <c r="AM95" s="29"/>
      <c r="AN95" s="29"/>
      <c r="AO95" s="29"/>
      <c r="AP95" s="29"/>
      <c r="AQ95" s="29"/>
      <c r="AR95" s="30"/>
    </row>
    <row r="96" spans="1:49" ht="18.75" customHeight="1" thickBot="1" x14ac:dyDescent="0.25">
      <c r="A96" s="228"/>
      <c r="B96" s="284" t="s">
        <v>11</v>
      </c>
      <c r="C96" s="285"/>
      <c r="D96" s="285"/>
      <c r="E96" s="277" t="str">
        <f>AV5</f>
        <v>fj3starl1pm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SC Midlands KP Black</v>
      </c>
      <c r="F97" s="233"/>
      <c r="G97" s="233"/>
      <c r="H97" s="233"/>
      <c r="I97" s="233"/>
      <c r="J97" s="233"/>
      <c r="K97" s="234"/>
      <c r="L97" s="235">
        <f>IF($AK95=0,AF151,AF133)</f>
        <v>0</v>
      </c>
      <c r="M97" s="236"/>
      <c r="N97" s="236"/>
      <c r="O97" s="236"/>
      <c r="P97" s="236"/>
      <c r="Q97" s="256"/>
      <c r="R97" s="235">
        <f>IF($AK95=0,AG151,AG133)</f>
        <v>1</v>
      </c>
      <c r="S97" s="236"/>
      <c r="T97" s="236"/>
      <c r="U97" s="236"/>
      <c r="V97" s="236"/>
      <c r="W97" s="235">
        <f>AQ111</f>
        <v>-1</v>
      </c>
      <c r="X97" s="236"/>
      <c r="Y97" s="236"/>
      <c r="Z97" s="239">
        <f>IF(AF145&gt;0,(AQ111/AF145),0)</f>
        <v>-6.0606060606060606E-3</v>
      </c>
      <c r="AA97" s="240"/>
      <c r="AB97" s="240"/>
      <c r="AC97" s="262">
        <f>IF(AF159=0,0,(AF151/AF159))</f>
        <v>0.375</v>
      </c>
      <c r="AD97" s="263"/>
      <c r="AE97" s="264"/>
      <c r="AF97" s="268">
        <v>1</v>
      </c>
      <c r="AG97" s="268">
        <v>1</v>
      </c>
      <c r="AH97" s="270">
        <v>5</v>
      </c>
      <c r="AI97" s="271"/>
      <c r="AJ97" s="31"/>
      <c r="AK97" s="28">
        <v>4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fj2scmid4pm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/>
      </c>
      <c r="B99" s="286" t="s">
        <v>10</v>
      </c>
      <c r="C99" s="287"/>
      <c r="D99" s="287"/>
      <c r="E99" s="232" t="e">
        <f>#REF!</f>
        <v>#REF!</v>
      </c>
      <c r="F99" s="233"/>
      <c r="G99" s="233"/>
      <c r="H99" s="233"/>
      <c r="I99" s="233"/>
      <c r="J99" s="233"/>
      <c r="K99" s="234"/>
      <c r="L99" s="235">
        <f>IF($AK95=0,AF152,AF134)</f>
        <v>0</v>
      </c>
      <c r="M99" s="236"/>
      <c r="N99" s="236"/>
      <c r="O99" s="236"/>
      <c r="P99" s="236"/>
      <c r="Q99" s="256"/>
      <c r="R99" s="235">
        <f>IF($AK95=0,AG152,AG134)</f>
        <v>0</v>
      </c>
      <c r="S99" s="236"/>
      <c r="T99" s="236"/>
      <c r="U99" s="236"/>
      <c r="V99" s="236"/>
      <c r="W99" s="235">
        <f>AQ112</f>
        <v>0</v>
      </c>
      <c r="X99" s="236"/>
      <c r="Y99" s="236"/>
      <c r="Z99" s="239">
        <f>IF(AF146&gt;0,(AQ112/AF146),0)</f>
        <v>0</v>
      </c>
      <c r="AA99" s="240"/>
      <c r="AB99" s="240"/>
      <c r="AC99" s="262">
        <f>IF(AF160=0,0,(AF152/AF160))</f>
        <v>0</v>
      </c>
      <c r="AD99" s="263"/>
      <c r="AE99" s="264"/>
      <c r="AF99" s="268"/>
      <c r="AG99" s="268"/>
      <c r="AH99" s="270"/>
      <c r="AI99" s="271"/>
      <c r="AJ99" s="182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e">
        <f>#REF!</f>
        <v>#REF!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182"/>
      <c r="AK100" s="37"/>
      <c r="AL100" s="37"/>
      <c r="AM100" s="37"/>
      <c r="AN100" s="37"/>
      <c r="AO100" s="37"/>
      <c r="AP100" s="37"/>
      <c r="AQ100" s="182"/>
      <c r="AR100" s="3"/>
    </row>
    <row r="101" spans="1:44" ht="18.75" customHeight="1" x14ac:dyDescent="0.2">
      <c r="A101" s="227" t="str">
        <f>IF($AK94&gt;4,"5","")</f>
        <v/>
      </c>
      <c r="B101" s="286" t="s">
        <v>10</v>
      </c>
      <c r="C101" s="287"/>
      <c r="D101" s="287"/>
      <c r="E101" s="300" t="e">
        <f>#REF!</f>
        <v>#REF!</v>
      </c>
      <c r="F101" s="301"/>
      <c r="G101" s="301"/>
      <c r="H101" s="301"/>
      <c r="I101" s="301"/>
      <c r="J101" s="301"/>
      <c r="K101" s="302"/>
      <c r="L101" s="235">
        <f>IF($AK95=0,AF153,AF135)</f>
        <v>0</v>
      </c>
      <c r="M101" s="236"/>
      <c r="N101" s="236"/>
      <c r="O101" s="236"/>
      <c r="P101" s="236"/>
      <c r="Q101" s="256"/>
      <c r="R101" s="235">
        <f>IF($AK95=0,AG153,AG135)</f>
        <v>0</v>
      </c>
      <c r="S101" s="236"/>
      <c r="T101" s="236"/>
      <c r="U101" s="236"/>
      <c r="V101" s="236"/>
      <c r="W101" s="235">
        <f>AQ113</f>
        <v>0</v>
      </c>
      <c r="X101" s="236"/>
      <c r="Y101" s="236"/>
      <c r="Z101" s="239">
        <f>IF(AF147&gt;0,(AQ113/AF147),0)</f>
        <v>0</v>
      </c>
      <c r="AA101" s="240"/>
      <c r="AB101" s="240"/>
      <c r="AC101" s="262">
        <f>IF(AF161=0,0,(AF153/AF161))</f>
        <v>0</v>
      </c>
      <c r="AD101" s="263"/>
      <c r="AE101" s="264"/>
      <c r="AF101" s="268"/>
      <c r="AG101" s="268"/>
      <c r="AH101" s="270"/>
      <c r="AI101" s="271"/>
      <c r="AJ101" s="182"/>
      <c r="AK101" s="37"/>
      <c r="AL101" s="37"/>
      <c r="AM101" s="37"/>
      <c r="AN101" s="37"/>
      <c r="AO101" s="37"/>
      <c r="AP101" s="37"/>
      <c r="AQ101" s="182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298" t="e">
        <f>#REF!</f>
        <v>#REF!</v>
      </c>
      <c r="F102" s="299"/>
      <c r="G102" s="299"/>
      <c r="H102" s="299"/>
      <c r="I102" s="299"/>
      <c r="J102" s="299"/>
      <c r="K102" s="299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182"/>
      <c r="AK102" s="37"/>
      <c r="AL102" s="37"/>
      <c r="AM102" s="37"/>
      <c r="AN102" s="37"/>
      <c r="AO102" s="37"/>
      <c r="AP102" s="37"/>
      <c r="AQ102" s="182"/>
      <c r="AR102" s="3"/>
    </row>
    <row r="103" spans="1:44" ht="21" customHeight="1" thickTop="1" thickBot="1" x14ac:dyDescent="0.25">
      <c r="A103" s="40"/>
      <c r="B103" s="305" t="s">
        <v>1020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182"/>
      <c r="AK103" s="37"/>
      <c r="AL103" s="37"/>
      <c r="AM103" s="37"/>
      <c r="AN103" s="37"/>
      <c r="AO103" s="37"/>
      <c r="AP103" s="37"/>
      <c r="AQ103" s="182"/>
      <c r="AR103" s="3"/>
    </row>
    <row r="104" spans="1:44" ht="13.5" thickTop="1" x14ac:dyDescent="0.2">
      <c r="A104" s="4" t="s">
        <v>66</v>
      </c>
      <c r="B104" s="308">
        <v>0.13541666666666666</v>
      </c>
      <c r="C104" s="309"/>
      <c r="D104" s="310"/>
      <c r="E104" s="308">
        <v>0.16666666666666666</v>
      </c>
      <c r="F104" s="309"/>
      <c r="G104" s="310"/>
      <c r="H104" s="308">
        <v>0.19791666666666666</v>
      </c>
      <c r="I104" s="309"/>
      <c r="J104" s="310"/>
      <c r="K104" s="308"/>
      <c r="L104" s="309"/>
      <c r="M104" s="310"/>
      <c r="N104" s="308"/>
      <c r="O104" s="309"/>
      <c r="P104" s="310"/>
      <c r="Q104" s="308"/>
      <c r="R104" s="309"/>
      <c r="S104" s="310"/>
      <c r="T104" s="308"/>
      <c r="U104" s="309"/>
      <c r="V104" s="310"/>
      <c r="W104" s="308"/>
      <c r="X104" s="309"/>
      <c r="Y104" s="310"/>
      <c r="Z104" s="308"/>
      <c r="AA104" s="309"/>
      <c r="AB104" s="310"/>
      <c r="AC104" s="308"/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/>
      <c r="C105" s="320"/>
      <c r="D105" s="321"/>
      <c r="E105" s="319"/>
      <c r="F105" s="320"/>
      <c r="G105" s="321"/>
      <c r="H105" s="319"/>
      <c r="I105" s="320"/>
      <c r="J105" s="321"/>
      <c r="K105" s="319"/>
      <c r="L105" s="320"/>
      <c r="M105" s="321"/>
      <c r="N105" s="319"/>
      <c r="O105" s="320"/>
      <c r="P105" s="321"/>
      <c r="Q105" s="319"/>
      <c r="R105" s="320"/>
      <c r="S105" s="321"/>
      <c r="T105" s="319"/>
      <c r="U105" s="320"/>
      <c r="V105" s="321"/>
      <c r="W105" s="319"/>
      <c r="X105" s="320"/>
      <c r="Y105" s="321"/>
      <c r="Z105" s="319"/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/>
      <c r="C106" s="320"/>
      <c r="D106" s="321"/>
      <c r="E106" s="319"/>
      <c r="F106" s="320"/>
      <c r="G106" s="321"/>
      <c r="H106" s="319"/>
      <c r="I106" s="320"/>
      <c r="J106" s="321"/>
      <c r="K106" s="319"/>
      <c r="L106" s="320"/>
      <c r="M106" s="321"/>
      <c r="N106" s="319"/>
      <c r="O106" s="320"/>
      <c r="P106" s="321"/>
      <c r="Q106" s="319"/>
      <c r="R106" s="320"/>
      <c r="S106" s="321"/>
      <c r="T106" s="319"/>
      <c r="U106" s="320"/>
      <c r="V106" s="321"/>
      <c r="W106" s="319"/>
      <c r="X106" s="320"/>
      <c r="Y106" s="321"/>
      <c r="Z106" s="319"/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182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/>
      </c>
      <c r="U107" s="323"/>
      <c r="V107" s="324"/>
      <c r="W107" s="322" t="str">
        <f>IF(AK93&gt;7,"Match 8","")</f>
        <v/>
      </c>
      <c r="X107" s="323"/>
      <c r="Y107" s="324"/>
      <c r="Z107" s="322" t="str">
        <f>IF(AK93&gt;8,"Match 9","")</f>
        <v/>
      </c>
      <c r="AA107" s="323"/>
      <c r="AB107" s="324"/>
      <c r="AC107" s="322" t="str">
        <f>IF(AK93&gt;9,"Match 10","")</f>
        <v/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182"/>
      <c r="B108" s="325" t="s">
        <v>75</v>
      </c>
      <c r="C108" s="326"/>
      <c r="D108" s="327"/>
      <c r="E108" s="325" t="s">
        <v>73</v>
      </c>
      <c r="F108" s="326"/>
      <c r="G108" s="327"/>
      <c r="H108" s="325" t="s">
        <v>72</v>
      </c>
      <c r="I108" s="326"/>
      <c r="J108" s="327"/>
      <c r="K108" s="325" t="s">
        <v>75</v>
      </c>
      <c r="L108" s="326"/>
      <c r="M108" s="327"/>
      <c r="N108" s="325" t="s">
        <v>73</v>
      </c>
      <c r="O108" s="326"/>
      <c r="P108" s="327"/>
      <c r="Q108" s="325" t="s">
        <v>72</v>
      </c>
      <c r="R108" s="326"/>
      <c r="S108" s="327"/>
      <c r="T108" s="325"/>
      <c r="U108" s="326"/>
      <c r="V108" s="327"/>
      <c r="W108" s="325"/>
      <c r="X108" s="326"/>
      <c r="Y108" s="327"/>
      <c r="Z108" s="325"/>
      <c r="AA108" s="326"/>
      <c r="AB108" s="327"/>
      <c r="AC108" s="325"/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182"/>
      <c r="B109" s="45">
        <v>1</v>
      </c>
      <c r="C109" s="46" t="s">
        <v>78</v>
      </c>
      <c r="D109" s="47">
        <v>3</v>
      </c>
      <c r="E109" s="45">
        <v>2</v>
      </c>
      <c r="F109" s="46" t="str">
        <f>IF(AK93&gt;1,"v","")</f>
        <v>v</v>
      </c>
      <c r="G109" s="47">
        <v>3</v>
      </c>
      <c r="H109" s="45">
        <v>1</v>
      </c>
      <c r="I109" s="46" t="str">
        <f>IF(AK93&gt;2,"v","")</f>
        <v>v</v>
      </c>
      <c r="J109" s="47">
        <v>2</v>
      </c>
      <c r="K109" s="45">
        <v>1</v>
      </c>
      <c r="L109" s="46" t="str">
        <f>IF(AK93&gt;3,"v","")</f>
        <v>v</v>
      </c>
      <c r="M109" s="47">
        <v>3</v>
      </c>
      <c r="N109" s="45">
        <v>2</v>
      </c>
      <c r="O109" s="46" t="str">
        <f>IF(AK93&gt;4,"v","")</f>
        <v>v</v>
      </c>
      <c r="P109" s="47">
        <v>3</v>
      </c>
      <c r="Q109" s="45">
        <v>1</v>
      </c>
      <c r="R109" s="46" t="str">
        <f>IF(AK93&gt;5,"v","")</f>
        <v>v</v>
      </c>
      <c r="S109" s="47">
        <v>2</v>
      </c>
      <c r="T109" s="45"/>
      <c r="U109" s="46" t="str">
        <f>IF(AK93&gt;6,"v","")</f>
        <v/>
      </c>
      <c r="V109" s="47"/>
      <c r="W109" s="45"/>
      <c r="X109" s="46" t="str">
        <f>IF(AK93&gt;7,"v","")</f>
        <v/>
      </c>
      <c r="Y109" s="47"/>
      <c r="Z109" s="45"/>
      <c r="AA109" s="46" t="str">
        <f>IF(AK93&gt;8,"v","")</f>
        <v/>
      </c>
      <c r="AB109" s="47"/>
      <c r="AC109" s="45"/>
      <c r="AD109" s="46" t="str">
        <f>IF(AK93&gt;9,"v","")</f>
        <v/>
      </c>
      <c r="AE109" s="47"/>
      <c r="AF109" s="42" t="str">
        <f>IF(AK94&gt;0,"Team 1","")</f>
        <v>Team 1</v>
      </c>
      <c r="AG109" s="48">
        <f>IF(AK94&lt;1,"",IF(AK93&lt;1,"",IF(B109=1,B115-D115,IF(D109=1,D115-B115,""))))</f>
        <v>14</v>
      </c>
      <c r="AH109" s="48" t="str">
        <f>IF(AK94&lt;1,"",IF(AK93&lt;2,"",IF(E109=1,E115-G115,IF(G109=1,G115-E115,""))))</f>
        <v/>
      </c>
      <c r="AI109" s="48">
        <f>IF(AK94&lt;1,"",IF(AK93&lt;3,"",IF(H109=1,H115-J115,IF(J109=1,J115-H115,""))))</f>
        <v>11</v>
      </c>
      <c r="AJ109" s="48">
        <f>IF(AK94&lt;1,"",IF(AK93&lt;4,"",IF(K109=1,K115-M115,IF(M109=1,M115-K115,""))))</f>
        <v>-4</v>
      </c>
      <c r="AK109" s="48" t="str">
        <f>IF(AK94&lt;1,"",IF(AK93&lt;5,"",IF(N109=1,N115-P115,IF(P109=1,P115-N115,""))))</f>
        <v/>
      </c>
      <c r="AL109" s="48">
        <f>IF(AK94&lt;1,"",IF(AK93&lt;6,"",IF(Q109=1,Q115-S115,IF(S109=1,S115-Q115,""))))</f>
        <v>4</v>
      </c>
      <c r="AM109" s="48" t="str">
        <f>IF(AK94&lt;1,"",IF(AK93&lt;7,"",IF(T109=1,T115-V115,IF(V109=1,V115-T115,""))))</f>
        <v/>
      </c>
      <c r="AN109" s="48" t="str">
        <f>IF(AK94&lt;1,"",IF(AK93&lt;8,"",IF(W109=1,W115-Y115,IF(Y109=1,Y115-W115,""))))</f>
        <v/>
      </c>
      <c r="AO109" s="48" t="str">
        <f>IF(AK94&lt;1,"",IF(AK93&lt;9,"",IF(Z109=1,Z115-AB115,IF(AB109=1,AB115-Z115,""))))</f>
        <v/>
      </c>
      <c r="AP109" s="48" t="str">
        <f>IF(AK94&lt;1,"",IF(AK93&lt;10,"",IF(AC109=1,AC115-AE115,IF(AE109=1,AE115-AC115,""))))</f>
        <v/>
      </c>
      <c r="AQ109" s="44">
        <f>SUM(AG109:AP109)</f>
        <v>25</v>
      </c>
    </row>
    <row r="110" spans="1:44" ht="15" x14ac:dyDescent="0.2">
      <c r="A110" s="4" t="s">
        <v>79</v>
      </c>
      <c r="B110" s="49">
        <v>30</v>
      </c>
      <c r="C110" s="50" t="s">
        <v>80</v>
      </c>
      <c r="D110" s="51">
        <v>17</v>
      </c>
      <c r="E110" s="49">
        <v>12</v>
      </c>
      <c r="F110" s="50" t="str">
        <f>IF(AK93&gt;1,"/","")</f>
        <v>/</v>
      </c>
      <c r="G110" s="51">
        <v>30</v>
      </c>
      <c r="H110" s="49">
        <v>11</v>
      </c>
      <c r="I110" s="50" t="str">
        <f>IF(AK93&gt;2,"/","")</f>
        <v>/</v>
      </c>
      <c r="J110" s="51">
        <v>17</v>
      </c>
      <c r="K110" s="49">
        <v>10</v>
      </c>
      <c r="L110" s="50" t="str">
        <f>IF(AK93&gt;3,"/","")</f>
        <v>/</v>
      </c>
      <c r="M110" s="51">
        <v>16</v>
      </c>
      <c r="N110" s="49">
        <v>14</v>
      </c>
      <c r="O110" s="50" t="str">
        <f>IF(AK93&gt;4,"/","")</f>
        <v>/</v>
      </c>
      <c r="P110" s="51">
        <v>11</v>
      </c>
      <c r="Q110" s="49">
        <v>22</v>
      </c>
      <c r="R110" s="50" t="str">
        <f>IF(AK93&gt;5,"/","")</f>
        <v>/</v>
      </c>
      <c r="S110" s="51">
        <v>18</v>
      </c>
      <c r="T110" s="49"/>
      <c r="U110" s="50" t="str">
        <f>IF(AK93&gt;6,"/","")</f>
        <v/>
      </c>
      <c r="V110" s="51"/>
      <c r="W110" s="49"/>
      <c r="X110" s="50" t="str">
        <f>IF(AK93&gt;7,"/","")</f>
        <v/>
      </c>
      <c r="Y110" s="51"/>
      <c r="Z110" s="49"/>
      <c r="AA110" s="50" t="str">
        <f>IF(AK93&gt;8,"/","")</f>
        <v/>
      </c>
      <c r="AB110" s="51"/>
      <c r="AC110" s="49"/>
      <c r="AD110" s="50" t="str">
        <f>IF(AK93&gt;9,"/","")</f>
        <v/>
      </c>
      <c r="AE110" s="51"/>
      <c r="AF110" s="42" t="str">
        <f>IF(AK94&gt;1,"Team 2","")</f>
        <v>Team 2</v>
      </c>
      <c r="AG110" s="48" t="str">
        <f>IF(AK94&lt;2,"",IF(AK93&lt;1,"",IF(B109=2,B115-D115,IF(D109=2,D115-B115,""))))</f>
        <v/>
      </c>
      <c r="AH110" s="48">
        <f>IF(AK94&lt;2,"",IF(AK93&lt;2,"",IF(E109=2,E115-G115,IF(G109=2,G115-E115,""))))</f>
        <v>-9</v>
      </c>
      <c r="AI110" s="48">
        <f>IF(AK94&lt;2,"",IF(AK93&lt;3,"",IF(H109=2,H115-J115,IF(J109=2,J115-H115,""))))</f>
        <v>-11</v>
      </c>
      <c r="AJ110" s="48" t="str">
        <f>IF(AK94&lt;2,"",IF(AK93&lt;4,"",IF(K109=2,K115-M115,IF(M109=2,M115-K115,""))))</f>
        <v/>
      </c>
      <c r="AK110" s="48">
        <f>IF(AK94&lt;2,"",IF(AK93&lt;5,"",IF(N109=2,N115-P115,IF(P109=2,P115-N115,""))))</f>
        <v>0</v>
      </c>
      <c r="AL110" s="48">
        <f>IF(AK94&lt;2,"",IF(AK93&lt;6,"",IF(Q109=2,Q115-S115,IF(S109=2,S115-Q115,""))))</f>
        <v>-4</v>
      </c>
      <c r="AM110" s="48" t="str">
        <f>IF(AK94&lt;2,"",IF(AK93&lt;7,"",IF(T109=2,T115-V115,IF(V109=2,V115-T115,""))))</f>
        <v/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 t="str">
        <f>IF(AK94&lt;2,"",IF(AK93&lt;10,"",IF(AC109=2,AC115-AE115,IF(AE109=2,AE115-AC115,""))))</f>
        <v/>
      </c>
      <c r="AQ110" s="44">
        <f>SUM(AG110:AP110)</f>
        <v>-24</v>
      </c>
    </row>
    <row r="111" spans="1:44" ht="15" x14ac:dyDescent="0.2">
      <c r="A111" s="3" t="str">
        <f>IF(AK92&gt;1,"Game 2","")</f>
        <v>Game 2</v>
      </c>
      <c r="B111" s="49">
        <v>22</v>
      </c>
      <c r="C111" s="50" t="s">
        <v>80</v>
      </c>
      <c r="D111" s="51">
        <v>21</v>
      </c>
      <c r="E111" s="49">
        <v>20</v>
      </c>
      <c r="F111" s="50" t="str">
        <f>IF(AK93&gt;1,IF(AK92&gt;1,"/",""),"")</f>
        <v>/</v>
      </c>
      <c r="G111" s="51">
        <v>11</v>
      </c>
      <c r="H111" s="49">
        <v>24</v>
      </c>
      <c r="I111" s="50" t="str">
        <f>IF(AK93&gt;2,IF(AK92&gt;1,"/",""),"")</f>
        <v>/</v>
      </c>
      <c r="J111" s="51">
        <v>7</v>
      </c>
      <c r="K111" s="49">
        <v>18</v>
      </c>
      <c r="L111" s="50" t="str">
        <f>IF(AK93&gt;3,IF(AK92&gt;1,"/",""),"")</f>
        <v>/</v>
      </c>
      <c r="M111" s="51">
        <v>16</v>
      </c>
      <c r="N111" s="49">
        <v>12</v>
      </c>
      <c r="O111" s="50" t="str">
        <f>IF(AK93&gt;4,IF(AK92&gt;1,"/",""),"")</f>
        <v>/</v>
      </c>
      <c r="P111" s="51">
        <v>15</v>
      </c>
      <c r="Q111" s="49">
        <v>22</v>
      </c>
      <c r="R111" s="50" t="str">
        <f>IF(AK93&gt;5,IF(AK92&gt;1,"/",""),"")</f>
        <v>/</v>
      </c>
      <c r="S111" s="51">
        <v>22</v>
      </c>
      <c r="T111" s="49"/>
      <c r="U111" s="50" t="str">
        <f>IF(AK93&gt;6,IF(AK92&gt;1,"/",""),"")</f>
        <v/>
      </c>
      <c r="V111" s="51"/>
      <c r="W111" s="49"/>
      <c r="X111" s="50" t="str">
        <f>IF(AK93&gt;7,IF(AK92&gt;1,"/",""),"")</f>
        <v/>
      </c>
      <c r="Y111" s="51"/>
      <c r="Z111" s="49"/>
      <c r="AA111" s="50" t="str">
        <f>IF(AK93&gt;8,IF(AK92&gt;1,"/",""),"")</f>
        <v/>
      </c>
      <c r="AB111" s="51"/>
      <c r="AC111" s="49"/>
      <c r="AD111" s="50" t="str">
        <f>IF(AK93&gt;9,IF(AK92&gt;1,"/",""),"")</f>
        <v/>
      </c>
      <c r="AE111" s="51"/>
      <c r="AF111" s="42" t="str">
        <f>IF(AK94&gt;2,"Team 3","")</f>
        <v>Team 3</v>
      </c>
      <c r="AG111" s="48">
        <f>IF(AK94&lt;3,"",IF(AK93&lt;1,"",IF(B109=3,B115-D115,IF(D109=3,D115-B115,""))))</f>
        <v>-14</v>
      </c>
      <c r="AH111" s="48">
        <f>IF(AK94&lt;3,"",IF(AK93&lt;2,"",IF(E109=3,E115-G115,IF(G109=3,G115-E115,""))))</f>
        <v>9</v>
      </c>
      <c r="AI111" s="48" t="str">
        <f>IF(AK94&lt;3,"",IF(AK93&lt;3,"",IF(H109=3,H115-J115,IF(J109=3,J115-H115,""))))</f>
        <v/>
      </c>
      <c r="AJ111" s="48">
        <f>IF(AK94&lt;3,"",IF(AK93&lt;4,"",IF(K109=3,K115-M115,IF(M109=3,M115-K115,""))))</f>
        <v>4</v>
      </c>
      <c r="AK111" s="48">
        <f>IF(AK94&lt;3,"",IF(AK93&lt;5,"",IF(N109=3,N115-P115,IF(P109=3,P115-N115,""))))</f>
        <v>0</v>
      </c>
      <c r="AL111" s="48" t="str">
        <f>IF(AK94&lt;3,"",IF(AK93&lt;6,"",IF(Q109=3,Q115-S115,IF(S109=3,S115-Q115,""))))</f>
        <v/>
      </c>
      <c r="AM111" s="48" t="str">
        <f>IF(AK94&lt;3,"",IF(AK93&lt;7,"",IF(T109=3,T115-V115,IF(V109=3,V115-T115,""))))</f>
        <v/>
      </c>
      <c r="AN111" s="48" t="str">
        <f>IF(AK94&lt;3,"",IF(AK93&lt;8,"",IF(W109=3,W115-Y115,IF(Y109=3,Y115-W115,""))))</f>
        <v/>
      </c>
      <c r="AO111" s="48" t="str">
        <f>IF(AK94&lt;3,"",IF(AK93&lt;9,"",IF(Z109=3,Z115-AB115,IF(AB109=3,AB115-Z115,""))))</f>
        <v/>
      </c>
      <c r="AP111" s="48" t="str">
        <f>IF(AK94&lt;3,"",IF(AK93&lt;9,"",IF(AC109=3,AC115-AE115,IF(AE109=3,AE115-AC115,""))))</f>
        <v/>
      </c>
      <c r="AQ111" s="44">
        <f>SUM(AG111:AP111)</f>
        <v>-1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/>
      </c>
      <c r="AG112" s="48" t="str">
        <f>IF(AK94&lt;4,"",IF(AK93&lt;1,"",IF(B109=4,B115-D115,IF(D109=4,D115-B115,""))))</f>
        <v/>
      </c>
      <c r="AH112" s="48" t="str">
        <f>IF(AK94&lt;4,"",IF(AK93&lt;2,"",IF(E109=4,E115-G115,IF(G109=4,G115-E115,""))))</f>
        <v/>
      </c>
      <c r="AI112" s="48" t="str">
        <f>IF(AK94&lt;4,"",IF(AK93&lt;3,"",IF(H109=4,H115-J115,IF(J109=4,J115-H115,""))))</f>
        <v/>
      </c>
      <c r="AJ112" s="48" t="str">
        <f>IF(AK94&lt;4,"",IF(AK93&lt;4,"",IF(K109=4,K115-M115,IF(M109=4,M115-K115,""))))</f>
        <v/>
      </c>
      <c r="AK112" s="48" t="str">
        <f>IF(AK94&lt;4,"",IF(AK93&lt;5,"",IF(N109=4,N115-P115,IF(P109=4,P115-N115,""))))</f>
        <v/>
      </c>
      <c r="AL112" s="48" t="str">
        <f>IF(AK94&lt;4,"",IF(AK93&lt;6,"",IF(Q109=4,Q115-S115,IF(S109=4,S115-Q115,""))))</f>
        <v/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 t="str">
        <f>IF(AK94&lt;4,"",IF(AK93&lt;9,"",IF(Z109=4,Z115-AB115,IF(AB109=4,AB115-Z115,""))))</f>
        <v/>
      </c>
      <c r="AP112" s="48" t="str">
        <f>IF(AK94&lt;4,"",IF(AK93&lt;10,"",IF(AC109=4,AC115-AE115,IF(AE109=4,AE115-AC115,""))))</f>
        <v/>
      </c>
      <c r="AQ112" s="44">
        <f>SUM(AG112:AP112)</f>
        <v>0</v>
      </c>
    </row>
    <row r="113" spans="1:43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/>
      </c>
      <c r="AG113" s="52" t="str">
        <f>IF(AK94&lt;5,"",IF(AK93&lt;1,"",IF(B109=5,B115-D115,IF(D109=5,D115-B115,""))))</f>
        <v/>
      </c>
      <c r="AH113" s="48" t="str">
        <f>IF(AK94&lt;5,"",IF(AK93&lt;2,"",IF(E109=5,E115-G115,IF(G109=5,G115-E115,""))))</f>
        <v/>
      </c>
      <c r="AI113" s="48" t="str">
        <f>IF(AK94&lt;5,"",IF(AK93&lt;3,"",IF(H109=5,H115-J115,IF(J109=5,J115-H115,""))))</f>
        <v/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 t="str">
        <f>IF(AK94&lt;5,"",IF(AK93&lt;6,"",IF(Q109=5,Q115-S115,IF(S109=5,S115-Q115,""))))</f>
        <v/>
      </c>
      <c r="AM113" s="48" t="str">
        <f>IF(AK94&lt;5,"",IF(AK93&lt;7,"",IF(T109=5,T115-V115,IF(V109=5,V115-T115,""))))</f>
        <v/>
      </c>
      <c r="AN113" s="48" t="str">
        <f>IF(AK94&lt;5,"",IF(AK93&lt;8,"",IF(W109=5,W115-Y115,IF(Y109=5,Y115-W115,""))))</f>
        <v/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0</v>
      </c>
    </row>
    <row r="114" spans="1:43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</row>
    <row r="115" spans="1:43" hidden="1" x14ac:dyDescent="0.2">
      <c r="A115" s="53"/>
      <c r="B115" s="53">
        <f>IF($AK92=5,SUM(B110:B114),IF($AK92=4,SUM(B110:B113),IF($AK92=3,SUM(B110:B112),IF($AK92=2,SUM(B110:B111),B110))))</f>
        <v>52</v>
      </c>
      <c r="C115" s="53"/>
      <c r="D115" s="53">
        <f>IF($AK92=5,SUM(D110:D114),IF($AK92=4,SUM(D110:D113),IF($AK92=3,SUM(D110:D112),IF($AK92=2,SUM(D110:D111),D110))))</f>
        <v>38</v>
      </c>
      <c r="E115" s="53">
        <f>IF($AK92=5,SUM(E110:E114),IF($AK92=4,SUM(E110:E113),IF($AK92=3,SUM(E110:E112),IF($AK92=2,SUM(E110:E111),E110))))</f>
        <v>32</v>
      </c>
      <c r="F115" s="53"/>
      <c r="G115" s="53">
        <f>IF($AK92=5,SUM(G110:G114),IF($AK92=4,SUM(G110:G113),IF($AK92=3,SUM(G110:G112),IF($AK92=2,SUM(G110:G111),G110))))</f>
        <v>41</v>
      </c>
      <c r="H115" s="53">
        <f>IF($AK92=5,SUM(H110:H114),IF($AK92=4,SUM(H110:H113),IF($AK92=3,SUM(H110:H112),IF($AK92=2,SUM(H110:H111),H110))))</f>
        <v>35</v>
      </c>
      <c r="I115" s="53"/>
      <c r="J115" s="53">
        <f>IF($AK92=5,SUM(J110:J114),IF($AK92=4,SUM(J110:J113),IF($AK92=3,SUM(J110:J112),IF($AK92=2,SUM(J110:J111),J110))))</f>
        <v>24</v>
      </c>
      <c r="K115" s="53">
        <f>IF($AK92=5,SUM(K110:K114),IF($AK92=4,SUM(K110:K113),IF($AK92=3,SUM(K110:K112),IF($AK92=2,SUM(K110:K111),K110))))</f>
        <v>28</v>
      </c>
      <c r="L115" s="53"/>
      <c r="M115" s="53">
        <f>IF($AK92=5,SUM(M110:M114),IF($AK92=4,SUM(M110:M113),IF($AK92=3,SUM(M110:M112),IF($AK92=2,SUM(M110:M111),M110))))</f>
        <v>32</v>
      </c>
      <c r="N115" s="53">
        <f>IF($AK92=5,SUM(N110:N114),IF($AK92=4,SUM(N110:N113),IF($AK92=3,SUM(N110:N112),IF($AK92=2,SUM(N110:N111),N110))))</f>
        <v>26</v>
      </c>
      <c r="O115" s="53"/>
      <c r="P115" s="53">
        <f>IF($AK92=5,SUM(P110:P114),IF($AK92=4,SUM(P110:P113),IF($AK92=3,SUM(P110:P112),IF($AK92=2,SUM(P110:P111),P110))))</f>
        <v>26</v>
      </c>
      <c r="Q115" s="53">
        <f>IF($AK92=5,SUM(Q110:Q114),IF($AK92=4,SUM(Q110:Q113),IF($AK92=3,SUM(Q110:Q112),IF($AK92=2,SUM(Q110:Q111),Q110))))</f>
        <v>44</v>
      </c>
      <c r="R115" s="53"/>
      <c r="S115" s="53">
        <f>IF($AK92=5,SUM(S110:S114),IF($AK92=4,SUM(S110:S113),IF($AK92=3,SUM(S110:S112),IF($AK92=2,SUM(S110:S111),S110))))</f>
        <v>40</v>
      </c>
      <c r="T115" s="53">
        <f>IF($AK92=5,SUM(T110:T114),IF($AK92=4,SUM(T110:T113),IF($AK92=3,SUM(T110:T112),IF($AK92=2,SUM(T110:T111),T110))))</f>
        <v>0</v>
      </c>
      <c r="U115" s="53"/>
      <c r="V115" s="53">
        <f>IF($AK92=5,SUM(V110:V114),IF($AK92=4,SUM(V110:V113),IF($AK92=3,SUM(V110:V112),IF($AK92=2,SUM(V110:V111),V110))))</f>
        <v>0</v>
      </c>
      <c r="W115" s="53">
        <f>IF($AK92=5,SUM(W110:W114),IF($AK92=4,SUM(W110:W113),IF($AK92=3,SUM(W110:W112),IF($AK92=2,SUM(W110:W111),W110))))</f>
        <v>0</v>
      </c>
      <c r="X115" s="53"/>
      <c r="Y115" s="53">
        <f>IF($AK92=5,SUM(Y110:Y114),IF($AK92=4,SUM(Y110:Y113),IF($AK92=3,SUM(Y110:Y112),IF($AK92=2,SUM(Y110:Y111),Y110))))</f>
        <v>0</v>
      </c>
      <c r="Z115" s="53">
        <f>IF($AK92=5,SUM(Z110:Z114),IF($AK92=4,SUM(Z110:Z113),IF($AK92=3,SUM(Z110:Z112),IF($AK92=2,SUM(Z110:Z111),Z110))))</f>
        <v>0</v>
      </c>
      <c r="AA115" s="53"/>
      <c r="AB115" s="53">
        <f>IF($AK92=5,SUM(AB110:AB114),IF($AK92=4,SUM(AB110:AB113),IF($AK92=3,SUM(AB110:AB112),IF($AK92=2,SUM(AB110:AB111),AB110))))</f>
        <v>0</v>
      </c>
      <c r="AC115" s="53">
        <f>IF($AK92=5,SUM(AC110:AC114),IF($AK92=4,SUM(AC110:AC113),IF($AK92=3,SUM(AC110:AC112),IF($AK92=2,SUM(AC110:AC111),AC110))))</f>
        <v>0</v>
      </c>
      <c r="AD115" s="53"/>
      <c r="AE115" s="53">
        <f>IF($AK92=5,SUM(AE110:AE114),IF($AK92=4,SUM(AE110:AE113),IF($AK92=3,SUM(AE110:AE112),IF($AK92=2,SUM(AE110:AE111),AE110))))</f>
        <v>0</v>
      </c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</row>
    <row r="116" spans="1:43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0</v>
      </c>
      <c r="F116" s="56"/>
      <c r="G116" s="57">
        <f>IF(AND(G110&gt;E110,$AK93&gt;1,ISNUMBER(E110),ISNUMBER(G110)),1,0)</f>
        <v>1</v>
      </c>
      <c r="H116" s="56">
        <f>IF(AND(H110&gt;J110,$AK93&gt;2,ISNUMBER(H110),ISNUMBER(J110)),1,0)</f>
        <v>0</v>
      </c>
      <c r="I116" s="56"/>
      <c r="J116" s="57">
        <f>IF(AND(J110&gt;H110,$AK93&gt;2,ISNUMBER(H110),ISNUMBER(J110)),1,0)</f>
        <v>1</v>
      </c>
      <c r="K116" s="56">
        <f>IF(AND(K110&gt;M110,$AK93&gt;3,ISNUMBER(K110),ISNUMBER(M110)),1,0)</f>
        <v>0</v>
      </c>
      <c r="L116" s="56"/>
      <c r="M116" s="57">
        <f>IF(AND(M110&gt;K110,$AK93&gt;3,ISNUMBER(K110),ISNUMBER(M110)),1,0)</f>
        <v>1</v>
      </c>
      <c r="N116" s="56">
        <f>IF(AND(N110&gt;P110,$AK93&gt;4,ISNUMBER(N110),ISNUMBER(P110)),1,0)</f>
        <v>1</v>
      </c>
      <c r="O116" s="56"/>
      <c r="P116" s="57">
        <f>IF(AND(P110&gt;N110,$AK93&gt;4,ISNUMBER(N110),ISNUMBER(P110)),1,0)</f>
        <v>0</v>
      </c>
      <c r="Q116" s="56">
        <f>IF(AND(Q110&gt;S110,$AK93&gt;5,ISNUMBER(Q110),ISNUMBER(S110)),1,0)</f>
        <v>1</v>
      </c>
      <c r="R116" s="56"/>
      <c r="S116" s="57">
        <f>IF(AND(S110&gt;Q110,$AK93&gt;5,ISNUMBER(Q110),ISNUMBER(S110)),1,0)</f>
        <v>0</v>
      </c>
      <c r="T116" s="56">
        <f>IF(AND(T110&gt;V110,$AK93&gt;6,ISNUMBER(T110),ISNUMBER(V110)),1,0)</f>
        <v>0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0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0</v>
      </c>
      <c r="AD116" s="56"/>
      <c r="AE116" s="57">
        <f>IF(AND(AE110&gt;AC110,$AK93&gt;9,ISNUMBER(AC110),ISNUMBER(AE110)),1,0)</f>
        <v>0</v>
      </c>
    </row>
    <row r="117" spans="1:43" s="55" customFormat="1" ht="12.75" hidden="1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1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1</v>
      </c>
      <c r="I117" s="56"/>
      <c r="J117" s="57">
        <f>IF(AND(J111&gt;H111,$AK93&gt;2,$AK92&gt;1,ISNUMBER(H111),ISNUMBER(J111)),1,0)</f>
        <v>0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0</v>
      </c>
      <c r="O117" s="56"/>
      <c r="P117" s="57">
        <f>IF(AND(P111&gt;N111,$AK93&gt;4,$AK92&gt;1,ISNUMBER(N111),ISNUMBER(P111)),1,0)</f>
        <v>1</v>
      </c>
      <c r="Q117" s="56">
        <f>IF(AND(Q111&gt;S111,$AK93&gt;5,$AK92&gt;1,ISNUMBER(Q111),ISNUMBER(S111)),1,0)</f>
        <v>0</v>
      </c>
      <c r="R117" s="56"/>
      <c r="S117" s="57">
        <f>IF(AND(S111&gt;Q111,$AK93&gt;5,$AK92&gt;1,ISNUMBER(Q111),ISNUMBER(S111)),1,0)</f>
        <v>0</v>
      </c>
      <c r="T117" s="56">
        <f>IF(AND(T111&gt;V111,$AK93&gt;6,$AK92&gt;1,ISNUMBER(T111),ISNUMBER(V111)),1,0)</f>
        <v>0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0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0</v>
      </c>
      <c r="AD117" s="56"/>
      <c r="AE117" s="57">
        <f>IF(AND(AE111&gt;AC111,$AK93&gt;9,$AK92&gt;1,ISNUMBER(AC111),ISNUMBER(AE111)),1,0)</f>
        <v>0</v>
      </c>
    </row>
    <row r="118" spans="1:43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</row>
    <row r="119" spans="1:43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</row>
    <row r="120" spans="1:43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</row>
    <row r="121" spans="1:43" s="55" customFormat="1" ht="38.25" hidden="1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1</v>
      </c>
      <c r="G121" s="60">
        <f>SUM(G116:G120)</f>
        <v>1</v>
      </c>
      <c r="H121" s="55">
        <f>SUM(H116:H120)</f>
        <v>1</v>
      </c>
      <c r="J121" s="60">
        <f>SUM(J116:J120)</f>
        <v>1</v>
      </c>
      <c r="K121" s="55">
        <f>SUM(K116:K120)</f>
        <v>1</v>
      </c>
      <c r="M121" s="60">
        <f>SUM(M116:M120)</f>
        <v>1</v>
      </c>
      <c r="N121" s="55">
        <f>SUM(N116:N120)</f>
        <v>1</v>
      </c>
      <c r="P121" s="60">
        <f>SUM(P116:P120)</f>
        <v>1</v>
      </c>
      <c r="Q121" s="55">
        <f>SUM(Q116:Q120)</f>
        <v>1</v>
      </c>
      <c r="S121" s="60">
        <f>SUM(S116:S120)</f>
        <v>0</v>
      </c>
      <c r="T121" s="55">
        <f>SUM(T116:T120)</f>
        <v>0</v>
      </c>
      <c r="V121" s="60">
        <f>SUM(V116:V120)</f>
        <v>0</v>
      </c>
      <c r="W121" s="55">
        <f>SUM(W116:W120)</f>
        <v>0</v>
      </c>
      <c r="Y121" s="60">
        <f>SUM(Y116:Y120)</f>
        <v>0</v>
      </c>
      <c r="Z121" s="55">
        <f>SUM(Z116:Z120)</f>
        <v>0</v>
      </c>
      <c r="AB121" s="60">
        <f>SUM(AB116:AB120)</f>
        <v>0</v>
      </c>
      <c r="AC121" s="55">
        <f>SUM(AC116:AC120)</f>
        <v>0</v>
      </c>
      <c r="AE121" s="60">
        <f>SUM(AE116:AE120)</f>
        <v>0</v>
      </c>
    </row>
    <row r="122" spans="1:43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0</v>
      </c>
      <c r="F122" s="55">
        <f>E122+G122</f>
        <v>0</v>
      </c>
      <c r="G122" s="60">
        <f>IF(G121&gt;E121,IF(F156=AK92,1,IF(F156=AK92-1,1,0)),0)</f>
        <v>0</v>
      </c>
      <c r="H122" s="55">
        <f>IF(H121&gt;J121,IF(I156=AK92,1,IF(I156=AK92-1,1,0)),0)</f>
        <v>0</v>
      </c>
      <c r="I122" s="55">
        <f>H122+J122</f>
        <v>0</v>
      </c>
      <c r="J122" s="60">
        <f>IF(J121&gt;H121,IF(I156=AK92,1,IF(I156=AK92-1,1,0)),0)</f>
        <v>0</v>
      </c>
      <c r="K122" s="55">
        <f>IF(K121&gt;M121,IF(L156=AK92,1,IF(L156=AK92-1,1,0)),0)</f>
        <v>0</v>
      </c>
      <c r="L122" s="55">
        <f>K122+M122</f>
        <v>0</v>
      </c>
      <c r="M122" s="60">
        <f>IF(M121&gt;K121,IF(L156=AK92,1,IF(L156=AK92-1,1,0)),0)</f>
        <v>0</v>
      </c>
      <c r="N122" s="55">
        <f>IF(N121&gt;P121,IF(O156=AK92,1,IF(O156=AK92-1,1,0)),0)</f>
        <v>0</v>
      </c>
      <c r="O122" s="55">
        <f>N122+P122</f>
        <v>0</v>
      </c>
      <c r="P122" s="60">
        <f>IF(P121&gt;N121,IF(O156=AK92,1,IF(O156=AK92-1,1,0)),0)</f>
        <v>0</v>
      </c>
      <c r="Q122" s="55">
        <f>IF(Q121&gt;S121,IF(R156=AK92,1,IF(R156=AK92-1,1,0)),0)</f>
        <v>1</v>
      </c>
      <c r="R122" s="55">
        <f>Q122+S122</f>
        <v>1</v>
      </c>
      <c r="S122" s="60">
        <f>IF(S121&gt;Q121,IF(R156=AK92,1,IF(R156=AK92-1,1,0)),0)</f>
        <v>0</v>
      </c>
      <c r="T122" s="55">
        <f>IF(T121&gt;V121,IF(U156=AK92,1,IF(U156=AK92-1,1,0)),0)</f>
        <v>0</v>
      </c>
      <c r="U122" s="55">
        <f>T122+V122</f>
        <v>0</v>
      </c>
      <c r="V122" s="60">
        <f>IF(V121&gt;T121,IF(U156=AK92,1,IF(U156=AK92-1,1,0)),0)</f>
        <v>0</v>
      </c>
      <c r="W122" s="55">
        <f>IF(W121&gt;Y121,IF(X156=AK92,1,IF(X156=AK92-1,1,0)),0)</f>
        <v>0</v>
      </c>
      <c r="X122" s="55">
        <f>W122+Y122</f>
        <v>0</v>
      </c>
      <c r="Y122" s="60">
        <f>IF(Y121&gt;W121,IF(X156=AK92,1,IF(X156=AK92-1,1,0)),0)</f>
        <v>0</v>
      </c>
      <c r="Z122" s="55">
        <f>IF(Z121&gt;AB121,IF(AA156=AK92,1,IF(AA156=AK92-1,1,0)),0)</f>
        <v>0</v>
      </c>
      <c r="AA122" s="55">
        <f>Z122+AB122</f>
        <v>0</v>
      </c>
      <c r="AB122" s="60">
        <f>IF(AB121&gt;Z121,IF(AA156=AK92,1,IF(AA156=AK92-1,1,0)),0)</f>
        <v>0</v>
      </c>
      <c r="AC122" s="55">
        <f>IF(AC121&gt;AE121,IF(AD156=AK92,1,IF(AD156=AK92-1,1,0)),0)</f>
        <v>0</v>
      </c>
      <c r="AD122" s="55">
        <f>AC122+AE122</f>
        <v>0</v>
      </c>
      <c r="AE122" s="60">
        <f>IF(AE121&gt;AC121,IF(AD156=AK92,1,IF(AD156=AK92-1,1,0)),0)</f>
        <v>0</v>
      </c>
    </row>
    <row r="123" spans="1:43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</row>
    <row r="124" spans="1:43" s="55" customFormat="1" ht="12.75" hidden="1" customHeight="1" x14ac:dyDescent="0.2">
      <c r="A124" s="55" t="s">
        <v>88</v>
      </c>
      <c r="B124" s="55">
        <f>IF(B116=1,B110,0)</f>
        <v>30</v>
      </c>
      <c r="D124" s="60">
        <f t="shared" ref="D124:E128" si="11">IF(D116=1,D110,0)</f>
        <v>0</v>
      </c>
      <c r="E124" s="55">
        <f t="shared" si="11"/>
        <v>0</v>
      </c>
      <c r="G124" s="60">
        <f t="shared" ref="G124:H128" si="12">IF(G116=1,G110,0)</f>
        <v>30</v>
      </c>
      <c r="H124" s="55">
        <f t="shared" si="12"/>
        <v>0</v>
      </c>
      <c r="J124" s="60">
        <f t="shared" ref="J124:K128" si="13">IF(J116=1,J110,0)</f>
        <v>17</v>
      </c>
      <c r="K124" s="55">
        <f t="shared" si="13"/>
        <v>0</v>
      </c>
      <c r="M124" s="60">
        <f t="shared" ref="M124:N128" si="14">IF(M116=1,M110,0)</f>
        <v>16</v>
      </c>
      <c r="N124" s="55">
        <f t="shared" si="14"/>
        <v>14</v>
      </c>
      <c r="P124" s="60">
        <f t="shared" ref="P124:Q128" si="15">IF(P116=1,P110,0)</f>
        <v>0</v>
      </c>
      <c r="Q124" s="55">
        <f t="shared" si="15"/>
        <v>22</v>
      </c>
      <c r="S124" s="60">
        <f t="shared" ref="S124:T128" si="16">IF(S116=1,S110,0)</f>
        <v>0</v>
      </c>
      <c r="T124" s="55">
        <f t="shared" si="16"/>
        <v>0</v>
      </c>
      <c r="V124" s="60">
        <f t="shared" ref="V124:W128" si="17">IF(V116=1,V110,0)</f>
        <v>0</v>
      </c>
      <c r="W124" s="55">
        <f t="shared" si="17"/>
        <v>0</v>
      </c>
      <c r="Y124" s="60">
        <f t="shared" ref="Y124:Z128" si="18">IF(Y116=1,Y110,0)</f>
        <v>0</v>
      </c>
      <c r="Z124" s="55">
        <f t="shared" si="18"/>
        <v>0</v>
      </c>
      <c r="AB124" s="60">
        <f t="shared" ref="AB124:AC128" si="19">IF(AB116=1,AB110,0)</f>
        <v>0</v>
      </c>
      <c r="AC124" s="55">
        <f t="shared" si="19"/>
        <v>0</v>
      </c>
      <c r="AE124" s="60">
        <f>IF(AE116=1,AE110,0)</f>
        <v>0</v>
      </c>
    </row>
    <row r="125" spans="1:43" s="55" customFormat="1" ht="12.75" hidden="1" customHeight="1" x14ac:dyDescent="0.2">
      <c r="A125" s="55" t="s">
        <v>89</v>
      </c>
      <c r="B125" s="55">
        <f>IF(B117=1,B111,0)</f>
        <v>22</v>
      </c>
      <c r="D125" s="60">
        <f t="shared" si="11"/>
        <v>0</v>
      </c>
      <c r="E125" s="55">
        <f t="shared" si="11"/>
        <v>20</v>
      </c>
      <c r="G125" s="60">
        <f t="shared" si="12"/>
        <v>0</v>
      </c>
      <c r="H125" s="55">
        <f t="shared" si="12"/>
        <v>24</v>
      </c>
      <c r="J125" s="60">
        <f t="shared" si="13"/>
        <v>0</v>
      </c>
      <c r="K125" s="55">
        <f t="shared" si="13"/>
        <v>18</v>
      </c>
      <c r="M125" s="60">
        <f t="shared" si="14"/>
        <v>0</v>
      </c>
      <c r="N125" s="55">
        <f t="shared" si="14"/>
        <v>0</v>
      </c>
      <c r="P125" s="60">
        <f t="shared" si="15"/>
        <v>15</v>
      </c>
      <c r="Q125" s="55">
        <f t="shared" si="15"/>
        <v>0</v>
      </c>
      <c r="S125" s="60">
        <f t="shared" si="16"/>
        <v>0</v>
      </c>
      <c r="T125" s="55">
        <f t="shared" si="16"/>
        <v>0</v>
      </c>
      <c r="V125" s="60">
        <f t="shared" si="17"/>
        <v>0</v>
      </c>
      <c r="W125" s="55">
        <f t="shared" si="17"/>
        <v>0</v>
      </c>
      <c r="Y125" s="60">
        <f t="shared" si="18"/>
        <v>0</v>
      </c>
      <c r="Z125" s="55">
        <f t="shared" si="18"/>
        <v>0</v>
      </c>
      <c r="AB125" s="60">
        <f t="shared" si="19"/>
        <v>0</v>
      </c>
      <c r="AC125" s="55">
        <f t="shared" si="19"/>
        <v>0</v>
      </c>
      <c r="AE125" s="60">
        <f>IF(AE117=1,AE111,0)</f>
        <v>0</v>
      </c>
    </row>
    <row r="126" spans="1:43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</row>
    <row r="127" spans="1:43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</row>
    <row r="128" spans="1:43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</row>
    <row r="129" spans="1:37" s="55" customFormat="1" ht="38.25" hidden="1" customHeight="1" x14ac:dyDescent="0.2">
      <c r="A129" s="59" t="s">
        <v>93</v>
      </c>
      <c r="B129" s="55">
        <f>SUM(B124:D128)</f>
        <v>52</v>
      </c>
      <c r="D129" s="60"/>
      <c r="E129" s="55">
        <f>SUM(E124:G128)</f>
        <v>50</v>
      </c>
      <c r="G129" s="60"/>
      <c r="H129" s="55">
        <f>SUM(H124:J128)</f>
        <v>41</v>
      </c>
      <c r="J129" s="60"/>
      <c r="K129" s="55">
        <f>SUM(K124:M128)</f>
        <v>34</v>
      </c>
      <c r="M129" s="60"/>
      <c r="N129" s="55">
        <f>SUM(N124:P128)</f>
        <v>29</v>
      </c>
      <c r="P129" s="60"/>
      <c r="Q129" s="55">
        <f>SUM(Q124:S128)</f>
        <v>22</v>
      </c>
      <c r="S129" s="60"/>
      <c r="T129" s="55">
        <f>SUM(T124:V128)</f>
        <v>0</v>
      </c>
      <c r="V129" s="60"/>
      <c r="W129" s="55">
        <f>SUM(W124:Y128)</f>
        <v>0</v>
      </c>
      <c r="Y129" s="60"/>
      <c r="Z129" s="55">
        <f>SUM(Z124:AB128)</f>
        <v>0</v>
      </c>
      <c r="AB129" s="60"/>
      <c r="AC129" s="55">
        <f>SUM(AC124:AE128)</f>
        <v>0</v>
      </c>
      <c r="AE129" s="60"/>
    </row>
    <row r="130" spans="1:37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</row>
    <row r="131" spans="1:37" s="55" customFormat="1" ht="12.75" hidden="1" customHeight="1" x14ac:dyDescent="0.2">
      <c r="A131" s="55" t="s">
        <v>97</v>
      </c>
      <c r="B131" s="55">
        <f>IF(B109=1,IF(B122=1,1,0),0)</f>
        <v>1</v>
      </c>
      <c r="D131" s="60">
        <f>IF(D109=1,IF(D122=1,1,0),0)</f>
        <v>0</v>
      </c>
      <c r="E131" s="55">
        <f>IF(E109=1,IF(E122=1,1,0),0)</f>
        <v>0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0</v>
      </c>
      <c r="P131" s="60">
        <f>IF(P109=1,IF(P122=1,1,0),0)</f>
        <v>0</v>
      </c>
      <c r="Q131" s="55">
        <f>IF(Q109=1,IF(Q122=1,1,0),0)</f>
        <v>1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0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2</v>
      </c>
      <c r="AG131" s="55">
        <f>AF137-AF131</f>
        <v>0</v>
      </c>
    </row>
    <row r="132" spans="1:37" s="55" customFormat="1" ht="12.75" hidden="1" customHeight="1" x14ac:dyDescent="0.2">
      <c r="A132" s="55" t="s">
        <v>98</v>
      </c>
      <c r="B132" s="55">
        <f>IF(B109=2,IF(B122=1,1,0),0)</f>
        <v>0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0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0</v>
      </c>
      <c r="AG132" s="55">
        <f>AF138-AF132</f>
        <v>1</v>
      </c>
    </row>
    <row r="133" spans="1:37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0</v>
      </c>
      <c r="AG133" s="55">
        <f>AF139-AF133</f>
        <v>1</v>
      </c>
    </row>
    <row r="134" spans="1:37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0</v>
      </c>
      <c r="AG134" s="55">
        <f>AF140-AF134</f>
        <v>0</v>
      </c>
    </row>
    <row r="135" spans="1:37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0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0</v>
      </c>
      <c r="AG135" s="55">
        <f>AF141-AF135</f>
        <v>0</v>
      </c>
    </row>
    <row r="136" spans="1:37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</row>
    <row r="137" spans="1:37" s="55" customFormat="1" ht="12.75" hidden="1" customHeight="1" x14ac:dyDescent="0.2">
      <c r="A137" s="55" t="s">
        <v>103</v>
      </c>
      <c r="B137" s="55">
        <f>IF(B109=1,IF(C122=1,1,0),0)</f>
        <v>1</v>
      </c>
      <c r="D137" s="60">
        <f>IF(D109=1,IF(C122=1,1,0),0)</f>
        <v>0</v>
      </c>
      <c r="E137" s="55">
        <f>IF(E109=1,IF(F122=1,1,0),0)</f>
        <v>0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0</v>
      </c>
      <c r="M137" s="60">
        <f>IF(M109=1,IF(L122=1,1,0),0)</f>
        <v>0</v>
      </c>
      <c r="N137" s="55">
        <f>IF(N109=1,IF(O122=1,1,0),0)</f>
        <v>0</v>
      </c>
      <c r="P137" s="60">
        <f>IF(P109=1,IF(O122=1,1,0),0)</f>
        <v>0</v>
      </c>
      <c r="Q137" s="55">
        <f>IF(Q109=1,IF(R122=1,1,0),0)</f>
        <v>1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0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0</v>
      </c>
      <c r="AE137" s="60">
        <f>IF(AE109=1,IF(AD122=1,1,0),0)</f>
        <v>0</v>
      </c>
      <c r="AF137" s="55">
        <f>SUM(B137:AE137)</f>
        <v>2</v>
      </c>
    </row>
    <row r="138" spans="1:37" s="55" customFormat="1" ht="12.75" hidden="1" customHeight="1" x14ac:dyDescent="0.2">
      <c r="A138" s="55" t="s">
        <v>104</v>
      </c>
      <c r="B138" s="55">
        <f>IF(B109=2,IF(C122=1,1,0),0)</f>
        <v>0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0</v>
      </c>
      <c r="K138" s="55">
        <f>IF(K109=2,IF(L122=1,1,0),0)</f>
        <v>0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1</v>
      </c>
      <c r="T138" s="55">
        <f>IF(T109=2,IF(U122=1,1,0),0)</f>
        <v>0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0</v>
      </c>
      <c r="AF138" s="55">
        <f>SUM(B138:AE138)</f>
        <v>1</v>
      </c>
    </row>
    <row r="139" spans="1:37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1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0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0</v>
      </c>
      <c r="N139" s="55">
        <f>IF(N109=3,IF(O122=1,1,0),0)</f>
        <v>0</v>
      </c>
      <c r="P139" s="60">
        <f>IF(P109=3,IF(O122=1,1,0),0)</f>
        <v>0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0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0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1</v>
      </c>
    </row>
    <row r="140" spans="1:37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0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0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0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0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0</v>
      </c>
    </row>
    <row r="141" spans="1:37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0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0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0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0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0</v>
      </c>
    </row>
    <row r="142" spans="1:37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</row>
    <row r="143" spans="1:37" s="55" customFormat="1" ht="12.75" hidden="1" customHeight="1" x14ac:dyDescent="0.2">
      <c r="A143" s="55" t="s">
        <v>103</v>
      </c>
      <c r="B143" s="55">
        <f>IF(B109=1,B129,0)</f>
        <v>52</v>
      </c>
      <c r="D143" s="60">
        <f>IF(D109=1,B129,0)</f>
        <v>0</v>
      </c>
      <c r="E143" s="55">
        <f>IF(E109=1,E129,0)</f>
        <v>0</v>
      </c>
      <c r="G143" s="60">
        <f>IF(G109=1,E129,0)</f>
        <v>0</v>
      </c>
      <c r="H143" s="55">
        <f>IF(H109=1,H129,0)</f>
        <v>41</v>
      </c>
      <c r="J143" s="60">
        <f>IF(J109=1,H129,0)</f>
        <v>0</v>
      </c>
      <c r="K143" s="55">
        <f>IF(K109=1,K129,0)</f>
        <v>34</v>
      </c>
      <c r="M143" s="60">
        <f>IF(M109=1,K129,0)</f>
        <v>0</v>
      </c>
      <c r="N143" s="55">
        <f>IF(N109=1,N129,0)</f>
        <v>0</v>
      </c>
      <c r="P143" s="60">
        <f>IF(P109=1,N129,0)</f>
        <v>0</v>
      </c>
      <c r="Q143" s="55">
        <f>IF(Q109=1,Q129,0)</f>
        <v>22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0</v>
      </c>
      <c r="AE143" s="60">
        <f>IF(AE109=1,AC129,0)</f>
        <v>0</v>
      </c>
      <c r="AF143" s="55">
        <f>SUM(B143:AE143)</f>
        <v>149</v>
      </c>
    </row>
    <row r="144" spans="1:37" s="55" customFormat="1" ht="12.75" hidden="1" customHeight="1" x14ac:dyDescent="0.2">
      <c r="A144" s="55" t="s">
        <v>104</v>
      </c>
      <c r="B144" s="55">
        <f>IF(B109=2,B129,0)</f>
        <v>0</v>
      </c>
      <c r="D144" s="60">
        <f>IF(D109=2,B129,0)</f>
        <v>0</v>
      </c>
      <c r="E144" s="55">
        <f>IF(E109=2,E129,0)</f>
        <v>50</v>
      </c>
      <c r="G144" s="60">
        <f>IF(G109=2,E129,0)</f>
        <v>0</v>
      </c>
      <c r="H144" s="55">
        <f>IF(H109=2,H129,0)</f>
        <v>0</v>
      </c>
      <c r="J144" s="60">
        <f>IF(J109=2,H129,0)</f>
        <v>41</v>
      </c>
      <c r="K144" s="55">
        <f>IF(K109=2,K129,0)</f>
        <v>0</v>
      </c>
      <c r="M144" s="60">
        <f>IF(M109=2,K129,0)</f>
        <v>0</v>
      </c>
      <c r="N144" s="55">
        <f>IF(N109=2,N129,0)</f>
        <v>29</v>
      </c>
      <c r="P144" s="60">
        <f>IF(P109=2,N129,0)</f>
        <v>0</v>
      </c>
      <c r="Q144" s="55">
        <f>IF(Q109=2,Q129,0)</f>
        <v>0</v>
      </c>
      <c r="S144" s="60">
        <f>IF(S109=2,Q129,0)</f>
        <v>22</v>
      </c>
      <c r="T144" s="55">
        <f>IF(T109=2,T129,0)</f>
        <v>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0</v>
      </c>
      <c r="AF144" s="55">
        <f>SUM(B144:AE144)</f>
        <v>142</v>
      </c>
    </row>
    <row r="145" spans="1:33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52</v>
      </c>
      <c r="E145" s="55">
        <f>IF(E109=3,E129,0)</f>
        <v>0</v>
      </c>
      <c r="G145" s="60">
        <f>IF(G109=3,E129,0)</f>
        <v>50</v>
      </c>
      <c r="H145" s="55">
        <f>IF(H109=3,H129,0)</f>
        <v>0</v>
      </c>
      <c r="J145" s="60">
        <f>IF(J109=3,H129,0)</f>
        <v>0</v>
      </c>
      <c r="K145" s="55">
        <f>IF(K109=3,K129,0)</f>
        <v>0</v>
      </c>
      <c r="M145" s="60">
        <f>IF(M109=3,K129,0)</f>
        <v>34</v>
      </c>
      <c r="N145" s="55">
        <f>IF(N109=3,N129,0)</f>
        <v>0</v>
      </c>
      <c r="P145" s="60">
        <f>IF(P109=3,N129,0)</f>
        <v>29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0</v>
      </c>
      <c r="W145" s="55">
        <f>IF(W109=3,W129,0)</f>
        <v>0</v>
      </c>
      <c r="Y145" s="60">
        <f>IF(Y109=3,W129,0)</f>
        <v>0</v>
      </c>
      <c r="Z145" s="55">
        <f>IF(Z109=3,Z129,0)</f>
        <v>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165</v>
      </c>
    </row>
    <row r="146" spans="1:33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0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0</v>
      </c>
      <c r="N146" s="55">
        <f>IF(N109=4,N129,0)</f>
        <v>0</v>
      </c>
      <c r="P146" s="60">
        <f>IF(P109=4,N129,0)</f>
        <v>0</v>
      </c>
      <c r="Q146" s="55">
        <f>IF(Q109=4,Q129,0)</f>
        <v>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0</v>
      </c>
      <c r="AC146" s="55">
        <f>IF(AC109=4,AC129,0)</f>
        <v>0</v>
      </c>
      <c r="AE146" s="60">
        <f>IF(AE109=4,AC129,0)</f>
        <v>0</v>
      </c>
      <c r="AF146" s="55">
        <f>SUM(B146:AE146)</f>
        <v>0</v>
      </c>
    </row>
    <row r="147" spans="1:33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0</v>
      </c>
    </row>
    <row r="148" spans="1:33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</row>
    <row r="149" spans="1:33" s="55" customFormat="1" ht="12.75" hidden="1" customHeight="1" x14ac:dyDescent="0.2">
      <c r="A149" s="55" t="s">
        <v>97</v>
      </c>
      <c r="B149" s="55">
        <f>IF(B109=1,SUMIF(B116:B120,"&gt;0"),0)</f>
        <v>2</v>
      </c>
      <c r="D149" s="60">
        <f>IF(D109=1,SUMIF(D116:D120,"&gt;0"),0)</f>
        <v>0</v>
      </c>
      <c r="E149" s="55">
        <f>IF(E109=1,SUMIF(E116:E120,"&gt;0"),0)</f>
        <v>0</v>
      </c>
      <c r="G149" s="60">
        <f>IF(G109=1,SUMIF(G116:G120,"&gt;0"),0)</f>
        <v>0</v>
      </c>
      <c r="H149" s="55">
        <f>IF(H109=1,SUMIF(H116:H120,"&gt;0"),0)</f>
        <v>1</v>
      </c>
      <c r="J149" s="60">
        <f>IF(J109=1,SUMIF(J116:J120,"&gt;0"),0)</f>
        <v>0</v>
      </c>
      <c r="K149" s="55">
        <f>IF(K109=1,SUMIF(K116:K120,"&gt;0"),0)</f>
        <v>1</v>
      </c>
      <c r="M149" s="60">
        <f>IF(M109=1,SUMIF(M116:M120,"&gt;0"),0)</f>
        <v>0</v>
      </c>
      <c r="N149" s="55">
        <f>IF(N109=1,SUMIF(N116:N120,"&gt;0"),0)</f>
        <v>0</v>
      </c>
      <c r="P149" s="60">
        <f>IF(P109=1,SUMIF(P116:P120,"&gt;0"),0)</f>
        <v>0</v>
      </c>
      <c r="Q149" s="55">
        <f>IF(Q109=1,SUMIF(Q116:Q120,"&gt;0"),0)</f>
        <v>1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0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0</v>
      </c>
      <c r="AE149" s="60">
        <f>IF(AE109=1,SUMIF(AE116:AE120,"&gt;0"),0)</f>
        <v>0</v>
      </c>
      <c r="AF149" s="55">
        <f>SUM(B149:AE149)</f>
        <v>5</v>
      </c>
      <c r="AG149" s="55">
        <f>AF157-AF149</f>
        <v>2</v>
      </c>
    </row>
    <row r="150" spans="1:33" s="55" customFormat="1" ht="12.75" hidden="1" customHeight="1" x14ac:dyDescent="0.2">
      <c r="A150" s="55" t="s">
        <v>98</v>
      </c>
      <c r="B150" s="55">
        <f>IF(B109=2,SUMIF(B116:B120,"&gt;0"),0)</f>
        <v>0</v>
      </c>
      <c r="D150" s="60">
        <f>IF(D109=2,SUMIF(D116:D120,"&gt;0"),0)</f>
        <v>0</v>
      </c>
      <c r="E150" s="55">
        <f>IF(E109=2,SUMIF(E116:E120,"&gt;0"),0)</f>
        <v>1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1</v>
      </c>
      <c r="K150" s="55">
        <f>IF(K109=2,SUMIF(K116:K120,"&gt;0"),0)</f>
        <v>0</v>
      </c>
      <c r="M150" s="60">
        <f>IF(M109=2,SUMIF(M116:M120,"&gt;0"),0)</f>
        <v>0</v>
      </c>
      <c r="N150" s="55">
        <f>IF(N109=2,SUMIF(N116:N120,"&gt;0"),0)</f>
        <v>1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0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3</v>
      </c>
      <c r="AG150" s="55">
        <f>AF158-AF150</f>
        <v>4</v>
      </c>
    </row>
    <row r="151" spans="1:33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1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1</v>
      </c>
      <c r="N151" s="55">
        <f>IF(N109=3,SUMIF(N116:N120,"&gt;0"),0)</f>
        <v>0</v>
      </c>
      <c r="P151" s="60">
        <f>IF(P109=3,SUMIF(P116:P120,"&gt;0"),0)</f>
        <v>1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0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3</v>
      </c>
      <c r="AG151" s="55">
        <f>AF159-AF151</f>
        <v>5</v>
      </c>
    </row>
    <row r="152" spans="1:33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0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0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0</v>
      </c>
      <c r="AG152" s="55">
        <f>AF160-AF152</f>
        <v>0</v>
      </c>
    </row>
    <row r="153" spans="1:33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0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0</v>
      </c>
      <c r="AG153" s="55">
        <f>AF161-AF153</f>
        <v>0</v>
      </c>
    </row>
    <row r="154" spans="1:33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</row>
    <row r="155" spans="1:33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</row>
    <row r="156" spans="1:33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1</v>
      </c>
      <c r="S156" s="60"/>
      <c r="U156" s="55">
        <f>SUMIF(T149:V153,"&gt;0")</f>
        <v>0</v>
      </c>
      <c r="V156" s="60"/>
      <c r="X156" s="55">
        <f>SUMIF(W149:Y153,"&gt;0")</f>
        <v>0</v>
      </c>
      <c r="Y156" s="60"/>
      <c r="AA156" s="55">
        <f>SUMIF(Z149:AB153,"&gt;0")</f>
        <v>0</v>
      </c>
      <c r="AB156" s="60"/>
      <c r="AD156" s="55">
        <f>SUMIF(AC149:AE153,"&gt;0")</f>
        <v>0</v>
      </c>
      <c r="AE156" s="60"/>
      <c r="AF156" s="59" t="s">
        <v>113</v>
      </c>
    </row>
    <row r="157" spans="1:33" s="55" customFormat="1" ht="12.75" hidden="1" customHeight="1" x14ac:dyDescent="0.2">
      <c r="A157" s="55" t="s">
        <v>103</v>
      </c>
      <c r="B157" s="55">
        <f>IF(B109=1,C156,0)</f>
        <v>2</v>
      </c>
      <c r="D157" s="60">
        <f>IF(D109=1,C156,0)</f>
        <v>0</v>
      </c>
      <c r="E157" s="55">
        <f>IF(E109=1,F156,0)</f>
        <v>0</v>
      </c>
      <c r="G157" s="60">
        <f>IF(G109=1,F156,0)</f>
        <v>0</v>
      </c>
      <c r="H157" s="55">
        <f>IF(H109=1,I156,0)</f>
        <v>2</v>
      </c>
      <c r="J157" s="60">
        <f>IF(J109=1,I156,0)</f>
        <v>0</v>
      </c>
      <c r="K157" s="55">
        <f>IF(K109=1,L156,0)</f>
        <v>2</v>
      </c>
      <c r="M157" s="60">
        <f>IF(M109=1,L156,0)</f>
        <v>0</v>
      </c>
      <c r="N157" s="55">
        <f>IF(N109=1,O156,0)</f>
        <v>0</v>
      </c>
      <c r="P157" s="60">
        <f>IF(P109=1,O156,0)</f>
        <v>0</v>
      </c>
      <c r="Q157" s="55">
        <f>IF(Q109=1,R156,0)</f>
        <v>1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0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0</v>
      </c>
      <c r="AE157" s="60">
        <f>IF(AE109=1,AD156,0)</f>
        <v>0</v>
      </c>
      <c r="AF157" s="55">
        <f>SUM(B157:AE157)</f>
        <v>7</v>
      </c>
    </row>
    <row r="158" spans="1:33" s="55" customFormat="1" ht="12.75" hidden="1" customHeight="1" x14ac:dyDescent="0.2">
      <c r="A158" s="55" t="s">
        <v>104</v>
      </c>
      <c r="B158" s="55">
        <f>IF(B109=2,C156,0)</f>
        <v>0</v>
      </c>
      <c r="D158" s="60">
        <f>IF(D109=2,C156,0)</f>
        <v>0</v>
      </c>
      <c r="E158" s="55">
        <f>IF(E109=2,F156,0)</f>
        <v>2</v>
      </c>
      <c r="G158" s="60">
        <f>IF(G109=2,F156,0)</f>
        <v>0</v>
      </c>
      <c r="H158" s="55">
        <f>IF(H109=2,I156,0)</f>
        <v>0</v>
      </c>
      <c r="J158" s="60">
        <f>IF(J109=2,I156,0)</f>
        <v>2</v>
      </c>
      <c r="K158" s="55">
        <f>IF(K109=2,L156,0)</f>
        <v>0</v>
      </c>
      <c r="M158" s="60">
        <f>IF(M109=2,L156,0)</f>
        <v>0</v>
      </c>
      <c r="N158" s="55">
        <f>IF(N109=2,O156,0)</f>
        <v>2</v>
      </c>
      <c r="P158" s="60">
        <f>IF(P109=2,O156,0)</f>
        <v>0</v>
      </c>
      <c r="Q158" s="55">
        <f>IF(Q109=2,R156,0)</f>
        <v>0</v>
      </c>
      <c r="S158" s="60">
        <f>IF(S109=2,R156,0)</f>
        <v>1</v>
      </c>
      <c r="T158" s="55">
        <f>IF(T109=2,U156,0)</f>
        <v>0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0</v>
      </c>
      <c r="AF158" s="55">
        <f>SUM(B158:AE158)</f>
        <v>7</v>
      </c>
    </row>
    <row r="159" spans="1:33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2</v>
      </c>
      <c r="E159" s="55">
        <f>IF(E109=3,F156,0)</f>
        <v>0</v>
      </c>
      <c r="G159" s="60">
        <f>IF(G109=3,F156,0)</f>
        <v>2</v>
      </c>
      <c r="H159" s="55">
        <f>IF(H109=3,I156,0)</f>
        <v>0</v>
      </c>
      <c r="J159" s="60">
        <f>IF(J109=3,I156,0)</f>
        <v>0</v>
      </c>
      <c r="K159" s="55">
        <f>IF(K109=3,L156,0)</f>
        <v>0</v>
      </c>
      <c r="M159" s="60">
        <f>IF(M109=3,L156,0)</f>
        <v>2</v>
      </c>
      <c r="N159" s="55">
        <f>IF(N109=3,O156,0)</f>
        <v>0</v>
      </c>
      <c r="P159" s="60">
        <f>IF(P109=3,O156,0)</f>
        <v>2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0</v>
      </c>
      <c r="W159" s="55">
        <f>IF(W109=3,X156,0)</f>
        <v>0</v>
      </c>
      <c r="Y159" s="60">
        <f>IF(Y109=3,X156,0)</f>
        <v>0</v>
      </c>
      <c r="Z159" s="55">
        <f>IF(Z109=3,AA156,0)</f>
        <v>0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8</v>
      </c>
    </row>
    <row r="160" spans="1:33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0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0</v>
      </c>
      <c r="N160" s="55">
        <f>IF(N109=4,O156,0)</f>
        <v>0</v>
      </c>
      <c r="P160" s="60">
        <f>IF(P109=4,O156,0)</f>
        <v>0</v>
      </c>
      <c r="Q160" s="55">
        <f>IF(Q109=4,R156,0)</f>
        <v>0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0</v>
      </c>
      <c r="AC160" s="55">
        <f>IF(AC109=4,AD156,0)</f>
        <v>0</v>
      </c>
      <c r="AE160" s="60">
        <f>IF(AE109=4,AD156,0)</f>
        <v>0</v>
      </c>
      <c r="AF160" s="55">
        <f>SUM(B160:AE160)</f>
        <v>0</v>
      </c>
    </row>
    <row r="161" spans="1:49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0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0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0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0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0</v>
      </c>
    </row>
    <row r="162" spans="1:49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130"/>
    </row>
    <row r="163" spans="1:49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</row>
    <row r="164" spans="1:49" s="63" customFormat="1" hidden="1" x14ac:dyDescent="0.2">
      <c r="A164" s="67">
        <v>1</v>
      </c>
      <c r="B164" s="67" t="str">
        <f>E93</f>
        <v>Excell Dev. 11 2017</v>
      </c>
      <c r="C164" s="67">
        <f>VLOOKUP(B164,AU$3:AW$33,3,FALSE)</f>
        <v>1204.7223046644847</v>
      </c>
      <c r="D164" s="67">
        <f>IF(B157,B172,IF(D157,D172,C164))</f>
        <v>1217.3365040588028</v>
      </c>
      <c r="E164" s="67"/>
      <c r="F164" s="67"/>
      <c r="G164" s="67">
        <f>IF(E157,E172,IF(G157,G172,D164))</f>
        <v>1217.3365040588028</v>
      </c>
      <c r="H164" s="67"/>
      <c r="I164" s="67"/>
      <c r="J164" s="67">
        <f>IF(H157,H172,IF(J157,J172,G164))</f>
        <v>1213.9994452257217</v>
      </c>
      <c r="K164" s="67"/>
      <c r="L164" s="67"/>
      <c r="M164" s="67">
        <f>IF(K157,K172,IF(M157,M172,J164))</f>
        <v>1209.7187495817177</v>
      </c>
      <c r="N164" s="67"/>
      <c r="O164" s="67"/>
      <c r="P164" s="67">
        <f>IF(N157,N172,IF(P157,P172,M164))</f>
        <v>1209.7187495817177</v>
      </c>
      <c r="Q164" s="67"/>
      <c r="R164" s="67"/>
      <c r="S164" s="67">
        <f>IF(Q157,Q172,IF(S157,S172,P164))</f>
        <v>1216.2682939252052</v>
      </c>
      <c r="T164" s="67"/>
      <c r="U164" s="67"/>
      <c r="V164" s="67">
        <f>IF(T157,T172,IF(V157,V172,S164))</f>
        <v>1216.2682939252052</v>
      </c>
      <c r="W164" s="67"/>
      <c r="X164" s="67"/>
      <c r="Y164" s="67">
        <f>IF(W157,W172,IF(Y157,Y172,V164))</f>
        <v>1216.2682939252052</v>
      </c>
      <c r="Z164" s="67"/>
      <c r="AA164" s="67"/>
      <c r="AB164" s="67">
        <f>IF(Z157,Z172,IF(AB157,AB172,Y164))</f>
        <v>1216.2682939252052</v>
      </c>
      <c r="AC164" s="67"/>
      <c r="AD164" s="67"/>
      <c r="AE164" s="67">
        <f>IF(AC157,AC172,IF(AE157,AE172,AB164))</f>
        <v>1216.2682939252052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Excell Dev. 11 2017</v>
      </c>
      <c r="AU164" s="63">
        <f>AE164</f>
        <v>1216.2682939252052</v>
      </c>
      <c r="AW164" s="66"/>
    </row>
    <row r="165" spans="1:49" s="63" customFormat="1" hidden="1" x14ac:dyDescent="0.2">
      <c r="A165" s="67">
        <v>2</v>
      </c>
      <c r="B165" s="67" t="str">
        <f>E95</f>
        <v>columbia sc starlings 13</v>
      </c>
      <c r="C165" s="67">
        <f>VLOOKUP(B165,AU$3:AW$33,3,FALSE)</f>
        <v>1145.0627264163368</v>
      </c>
      <c r="D165" s="67">
        <f>IF(B158,B172,IF(D158,D172,C165))</f>
        <v>1145.0627264163368</v>
      </c>
      <c r="E165" s="67"/>
      <c r="F165" s="67"/>
      <c r="G165" s="67">
        <f>IF(E158,E172,IF(G158,G172,D165))</f>
        <v>1143.7941722736368</v>
      </c>
      <c r="H165" s="67"/>
      <c r="I165" s="67"/>
      <c r="J165" s="67">
        <f>IF(H158,H172,IF(J158,J172,G165))</f>
        <v>1147.1312311067179</v>
      </c>
      <c r="K165" s="67"/>
      <c r="L165" s="67"/>
      <c r="M165" s="67">
        <f>IF(K158,K172,IF(M158,M172,J165))</f>
        <v>1147.1312311067179</v>
      </c>
      <c r="N165" s="67"/>
      <c r="O165" s="67"/>
      <c r="P165" s="67">
        <f>IF(N158,N172,IF(P158,P172,M165))</f>
        <v>1146.0220848666265</v>
      </c>
      <c r="Q165" s="67"/>
      <c r="R165" s="67"/>
      <c r="S165" s="67">
        <f>IF(Q158,Q172,IF(S158,S172,P165))</f>
        <v>1139.4725405231391</v>
      </c>
      <c r="T165" s="67"/>
      <c r="U165" s="67"/>
      <c r="V165" s="67">
        <f>IF(T158,T172,IF(V158,V172,S165))</f>
        <v>1139.4725405231391</v>
      </c>
      <c r="W165" s="67"/>
      <c r="X165" s="67"/>
      <c r="Y165" s="67">
        <f>IF(W158,W172,IF(Y158,Y172,V165))</f>
        <v>1139.4725405231391</v>
      </c>
      <c r="Z165" s="67"/>
      <c r="AA165" s="67"/>
      <c r="AB165" s="67">
        <f>IF(Z158,Z172,IF(AB158,AB172,Y165))</f>
        <v>1139.4725405231391</v>
      </c>
      <c r="AC165" s="67"/>
      <c r="AD165" s="67"/>
      <c r="AE165" s="67">
        <f>IF(AC158,AC172,IF(AE158,AE172,AB165))</f>
        <v>1139.4725405231391</v>
      </c>
      <c r="AF165" s="4"/>
      <c r="AG165" s="4"/>
      <c r="AJ165" s="4"/>
      <c r="AL165" s="4"/>
      <c r="AM165" s="4"/>
      <c r="AN165" s="4"/>
      <c r="AO165" s="4"/>
      <c r="AT165" s="63" t="str">
        <f>B165</f>
        <v>columbia sc starlings 13</v>
      </c>
      <c r="AU165" s="63">
        <f>AE165</f>
        <v>1139.4725405231391</v>
      </c>
      <c r="AW165" s="66"/>
    </row>
    <row r="166" spans="1:49" s="63" customFormat="1" hidden="1" x14ac:dyDescent="0.2">
      <c r="A166" s="67">
        <v>3</v>
      </c>
      <c r="B166" s="67" t="str">
        <f>E97</f>
        <v>SC Midlands KP Black</v>
      </c>
      <c r="C166" s="67">
        <f>VLOOKUP(B166,AU$3:AW$33,3,FALSE)</f>
        <v>1130.0726847488152</v>
      </c>
      <c r="D166" s="67">
        <f>IF(B159,B172,IF(D159,D172,C166))</f>
        <v>1117.458485354497</v>
      </c>
      <c r="E166" s="67"/>
      <c r="F166" s="67"/>
      <c r="G166" s="67">
        <f>IF(E159,E172,IF(G159,G172,D166))</f>
        <v>1118.727039497197</v>
      </c>
      <c r="H166" s="67"/>
      <c r="I166" s="67"/>
      <c r="J166" s="67">
        <f>IF(H159,H172,IF(J159,J172,G166))</f>
        <v>1118.727039497197</v>
      </c>
      <c r="K166" s="67"/>
      <c r="L166" s="67"/>
      <c r="M166" s="67">
        <f>IF(K159,K172,IF(M159,M172,J166))</f>
        <v>1123.007735141201</v>
      </c>
      <c r="N166" s="67"/>
      <c r="O166" s="67"/>
      <c r="P166" s="67">
        <f>IF(N159,N172,IF(P159,P172,M166))</f>
        <v>1124.1168813812924</v>
      </c>
      <c r="Q166" s="67"/>
      <c r="R166" s="67"/>
      <c r="S166" s="67">
        <f>IF(Q159,Q172,IF(S159,S172,P166))</f>
        <v>1124.1168813812924</v>
      </c>
      <c r="T166" s="67"/>
      <c r="U166" s="67"/>
      <c r="V166" s="67">
        <f>IF(T159,T172,IF(V159,V172,S166))</f>
        <v>1124.1168813812924</v>
      </c>
      <c r="W166" s="67"/>
      <c r="X166" s="67"/>
      <c r="Y166" s="67">
        <f>IF(W159,W172,IF(Y159,Y172,V166))</f>
        <v>1124.1168813812924</v>
      </c>
      <c r="Z166" s="67"/>
      <c r="AA166" s="67"/>
      <c r="AB166" s="67">
        <f>IF(Z159,Z172,IF(AB159,AB172,Y166))</f>
        <v>1124.1168813812924</v>
      </c>
      <c r="AC166" s="67"/>
      <c r="AD166" s="67"/>
      <c r="AE166" s="67">
        <f>IF(AC159,AC172,IF(AE159,AE172,AB166))</f>
        <v>1124.1168813812924</v>
      </c>
      <c r="AF166" s="4"/>
      <c r="AG166" s="4"/>
      <c r="AJ166" s="4"/>
      <c r="AL166" s="4"/>
      <c r="AM166" s="4"/>
      <c r="AN166" s="4"/>
      <c r="AO166" s="4"/>
      <c r="AT166" s="63" t="str">
        <f>B166</f>
        <v>SC Midlands KP Black</v>
      </c>
      <c r="AU166" s="63">
        <f>AE166</f>
        <v>1124.1168813812924</v>
      </c>
      <c r="AW166" s="66"/>
    </row>
    <row r="167" spans="1:49" s="63" customFormat="1" hidden="1" x14ac:dyDescent="0.2">
      <c r="A167" s="67">
        <v>4</v>
      </c>
      <c r="B167" s="67" t="e">
        <f>E99</f>
        <v>#REF!</v>
      </c>
      <c r="C167" s="67" t="e">
        <f>VLOOKUP(B167,AU$3:AW$33,3,FALSE)</f>
        <v>#REF!</v>
      </c>
      <c r="D167" s="67" t="e">
        <f>IF(B160,B172,IF(D160,D172,C167))</f>
        <v>#REF!</v>
      </c>
      <c r="E167" s="67"/>
      <c r="F167" s="67"/>
      <c r="G167" s="67" t="e">
        <f>IF(E160,E172,IF(G160,G172,D167))</f>
        <v>#REF!</v>
      </c>
      <c r="H167" s="67"/>
      <c r="I167" s="67"/>
      <c r="J167" s="67" t="e">
        <f>IF(H160,H172,IF(J160,J172,G167))</f>
        <v>#REF!</v>
      </c>
      <c r="K167" s="67"/>
      <c r="L167" s="67"/>
      <c r="M167" s="67" t="e">
        <f>IF(K160,K172,IF(M160,M172,J167))</f>
        <v>#REF!</v>
      </c>
      <c r="N167" s="67"/>
      <c r="O167" s="67"/>
      <c r="P167" s="67" t="e">
        <f>IF(N160,N172,IF(P160,P172,M167))</f>
        <v>#REF!</v>
      </c>
      <c r="Q167" s="67"/>
      <c r="R167" s="67"/>
      <c r="S167" s="67" t="e">
        <f>IF(Q160,Q172,IF(S160,S172,P167))</f>
        <v>#REF!</v>
      </c>
      <c r="T167" s="67"/>
      <c r="U167" s="67"/>
      <c r="V167" s="67" t="e">
        <f>IF(T160,T172,IF(V160,V172,S167))</f>
        <v>#REF!</v>
      </c>
      <c r="W167" s="67"/>
      <c r="X167" s="67"/>
      <c r="Y167" s="67" t="e">
        <f>IF(W160,W172,IF(Y160,Y172,V167))</f>
        <v>#REF!</v>
      </c>
      <c r="Z167" s="67"/>
      <c r="AA167" s="67"/>
      <c r="AB167" s="67" t="e">
        <f>IF(Z160,Z172,IF(AB160,AB172,Y167))</f>
        <v>#REF!</v>
      </c>
      <c r="AC167" s="67"/>
      <c r="AD167" s="67"/>
      <c r="AE167" s="67" t="e">
        <f>IF(AC160,AC172,IF(AE160,AE172,AB167))</f>
        <v>#REF!</v>
      </c>
      <c r="AF167" s="4"/>
      <c r="AG167" s="4"/>
      <c r="AJ167" s="4"/>
      <c r="AL167" s="4"/>
      <c r="AM167" s="4"/>
      <c r="AN167" s="4"/>
      <c r="AO167" s="4"/>
      <c r="AT167" s="63" t="e">
        <f>B167</f>
        <v>#REF!</v>
      </c>
      <c r="AU167" s="63" t="e">
        <f>AE167</f>
        <v>#REF!</v>
      </c>
      <c r="AW167" s="66"/>
    </row>
    <row r="168" spans="1:49" s="63" customFormat="1" hidden="1" x14ac:dyDescent="0.2">
      <c r="A168" s="67">
        <v>5</v>
      </c>
      <c r="B168" s="67" t="e">
        <f>E101</f>
        <v>#REF!</v>
      </c>
      <c r="C168" s="67" t="e">
        <f>VLOOKUP(B168,AU$3:AW$33,3,FALSE)</f>
        <v>#REF!</v>
      </c>
      <c r="D168" s="67" t="e">
        <f>IF(B161,B172,IF(D161,D172,C168))</f>
        <v>#REF!</v>
      </c>
      <c r="E168" s="67"/>
      <c r="F168" s="67"/>
      <c r="G168" s="67" t="e">
        <f>IF(E161,E172,IF(G161,G172,D168))</f>
        <v>#REF!</v>
      </c>
      <c r="H168" s="67"/>
      <c r="I168" s="67"/>
      <c r="J168" s="67" t="e">
        <f>IF(H161,H172,IF(J161,J172,G168))</f>
        <v>#REF!</v>
      </c>
      <c r="K168" s="67"/>
      <c r="L168" s="67"/>
      <c r="M168" s="67" t="e">
        <f>IF(K161,K172,IF(M161,M172,J168))</f>
        <v>#REF!</v>
      </c>
      <c r="N168" s="67"/>
      <c r="O168" s="67"/>
      <c r="P168" s="67" t="e">
        <f>IF(N161,N172,IF(P161,P172,M168))</f>
        <v>#REF!</v>
      </c>
      <c r="Q168" s="67"/>
      <c r="R168" s="67"/>
      <c r="S168" s="67" t="e">
        <f>IF(Q161,Q172,IF(S161,S172,P168))</f>
        <v>#REF!</v>
      </c>
      <c r="T168" s="67"/>
      <c r="U168" s="67"/>
      <c r="V168" s="67" t="e">
        <f>IF(T161,T172,IF(V161,V172,S168))</f>
        <v>#REF!</v>
      </c>
      <c r="W168" s="67"/>
      <c r="X168" s="67"/>
      <c r="Y168" s="67" t="e">
        <f>IF(W161,W172,IF(Y161,Y172,V168))</f>
        <v>#REF!</v>
      </c>
      <c r="Z168" s="67"/>
      <c r="AA168" s="67"/>
      <c r="AB168" s="67" t="e">
        <f>IF(Z161,Z172,IF(AB161,AB172,Y168))</f>
        <v>#REF!</v>
      </c>
      <c r="AC168" s="67"/>
      <c r="AD168" s="67"/>
      <c r="AE168" s="67" t="e">
        <f>IF(AC161,AC172,IF(AE161,AE172,AB168))</f>
        <v>#REF!</v>
      </c>
      <c r="AF168" s="4"/>
      <c r="AG168" s="4"/>
      <c r="AJ168" s="4"/>
      <c r="AL168" s="4"/>
      <c r="AM168" s="4"/>
      <c r="AN168" s="4"/>
      <c r="AO168" s="4"/>
      <c r="AT168" s="63" t="e">
        <f>B168</f>
        <v>#REF!</v>
      </c>
      <c r="AU168" s="63" t="e">
        <f>AE168</f>
        <v>#REF!</v>
      </c>
      <c r="AW168" s="66"/>
    </row>
    <row r="169" spans="1:49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</row>
    <row r="170" spans="1:49" s="63" customFormat="1" hidden="1" x14ac:dyDescent="0.2">
      <c r="A170" s="67" t="s">
        <v>116</v>
      </c>
      <c r="B170" s="67">
        <f>VLOOKUP(B109,$A164:$AE168,3,FALSE)</f>
        <v>1204.7223046644847</v>
      </c>
      <c r="C170" s="67">
        <v>1</v>
      </c>
      <c r="D170" s="67">
        <f>VLOOKUP(D109,$A164:$AE168,3,FALSE)</f>
        <v>1130.0726847488152</v>
      </c>
      <c r="E170" s="67">
        <f>VLOOKUP(E109,$A164:$AE168,4,FALSE)</f>
        <v>1145.0627264163368</v>
      </c>
      <c r="F170" s="67">
        <v>2</v>
      </c>
      <c r="G170" s="67">
        <f>VLOOKUP(G109,$A164:$AE168,4,FALSE)</f>
        <v>1117.458485354497</v>
      </c>
      <c r="H170" s="67">
        <f>VLOOKUP(H109,$A164:$AE168,7,FALSE)</f>
        <v>1217.3365040588028</v>
      </c>
      <c r="I170" s="67">
        <v>3</v>
      </c>
      <c r="J170" s="67">
        <f>VLOOKUP(J109,$A164:$AE168,7,FALSE)</f>
        <v>1143.7941722736368</v>
      </c>
      <c r="K170" s="67">
        <f>VLOOKUP(K109,$A164:$AE168,10,FALSE)</f>
        <v>1213.9994452257217</v>
      </c>
      <c r="L170" s="67">
        <v>4</v>
      </c>
      <c r="M170" s="67">
        <f>VLOOKUP(M109,$A164:$AE168,10,FALSE)</f>
        <v>1118.727039497197</v>
      </c>
      <c r="N170" s="67">
        <f>VLOOKUP(N109,$A164:$AE168,13,FALSE)</f>
        <v>1147.1312311067179</v>
      </c>
      <c r="O170" s="67">
        <v>5</v>
      </c>
      <c r="P170" s="67">
        <f>VLOOKUP(P109,$A164:$AE168,13,FALSE)</f>
        <v>1123.007735141201</v>
      </c>
      <c r="Q170" s="67">
        <f>VLOOKUP(Q109,$A164:$AE168,16,FALSE)</f>
        <v>1209.7187495817177</v>
      </c>
      <c r="R170" s="67">
        <v>6</v>
      </c>
      <c r="S170" s="67">
        <f>VLOOKUP(S109,$A164:$AE168,16,FALSE)</f>
        <v>1146.0220848666265</v>
      </c>
      <c r="T170" s="67" t="e">
        <f>VLOOKUP(T109,$A164:$AE168,19,FALSE)</f>
        <v>#N/A</v>
      </c>
      <c r="U170" s="67">
        <v>7</v>
      </c>
      <c r="V170" s="67" t="e">
        <f>VLOOKUP(V109,$A164:$AE168,19,FALSE)</f>
        <v>#N/A</v>
      </c>
      <c r="W170" s="67" t="e">
        <f>VLOOKUP(W109,$A164:$AE168,22,FALSE)</f>
        <v>#N/A</v>
      </c>
      <c r="X170" s="67">
        <v>8</v>
      </c>
      <c r="Y170" s="67" t="e">
        <f>VLOOKUP(Y109,$A164:$AE168,22,FALSE)</f>
        <v>#N/A</v>
      </c>
      <c r="Z170" s="67" t="e">
        <f>VLOOKUP(Z109,$A164:$AE168,25,FALSE)</f>
        <v>#N/A</v>
      </c>
      <c r="AA170" s="67">
        <v>9</v>
      </c>
      <c r="AB170" s="67" t="e">
        <f>VLOOKUP(AB109,$A164:$AE168,25,FALSE)</f>
        <v>#N/A</v>
      </c>
      <c r="AC170" s="67" t="e">
        <f>VLOOKUP(AC109,$A164:$AE168,28,FALSE)</f>
        <v>#N/A</v>
      </c>
      <c r="AD170" s="67">
        <v>10</v>
      </c>
      <c r="AE170" s="67" t="e">
        <f>VLOOKUP(AE109,$A164:$AE168,28,FALSE)</f>
        <v>#N/A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</row>
    <row r="171" spans="1:49" s="72" customFormat="1" hidden="1" x14ac:dyDescent="0.2">
      <c r="A171" s="68" t="s">
        <v>117</v>
      </c>
      <c r="B171" s="68">
        <f>1/(1+(10^-((B170-D170)/400)))*(B121+D121)</f>
        <v>1.2116125378551199</v>
      </c>
      <c r="C171" s="68"/>
      <c r="D171" s="68">
        <f>1/(1+(10^-((D170-B170)/400)))*(B121+D121)</f>
        <v>0.78838746214487998</v>
      </c>
      <c r="E171" s="68">
        <f>1/(1+(10^-((E170-G170)/400)))*(E121+G121)</f>
        <v>1.0792846339187441</v>
      </c>
      <c r="F171" s="68"/>
      <c r="G171" s="68">
        <f>1/(1+(10^-((G170-E170)/400)))*(E121+G121)</f>
        <v>0.92071536608125581</v>
      </c>
      <c r="H171" s="68">
        <f>1/(1+(10^-((H170-J170)/400)))*(H121+J121)</f>
        <v>1.2085661770675689</v>
      </c>
      <c r="I171" s="68"/>
      <c r="J171" s="68">
        <f>1/(1+(10^-((J170-H170)/400)))*(H121+J121)</f>
        <v>0.79143382293243103</v>
      </c>
      <c r="K171" s="68">
        <f>1/(1+(10^-((K170-M170)/400)))*(K121+M121)</f>
        <v>1.2675434777502568</v>
      </c>
      <c r="L171" s="68"/>
      <c r="M171" s="68">
        <f>1/(1+(10^-((M170-K170)/400)))*(K121+M121)</f>
        <v>0.732456522249743</v>
      </c>
      <c r="N171" s="68">
        <f>1/(1+(10^-((N170-P170)/400)))*(N121+P121)</f>
        <v>1.0693216400057108</v>
      </c>
      <c r="O171" s="68"/>
      <c r="P171" s="68">
        <f>1/(1+(10^-((P170-N170)/400)))*(N121+P121)</f>
        <v>0.93067835999428905</v>
      </c>
      <c r="Q171" s="68">
        <f>1/(1+(10^-((Q170-S170)/400)))*(Q121+S121)</f>
        <v>0.59065347853203221</v>
      </c>
      <c r="R171" s="68"/>
      <c r="S171" s="68">
        <f>1/(1+(10^-((S170-Q170)/400)))*(Q121+S121)</f>
        <v>0.40934652146796785</v>
      </c>
      <c r="T171" s="68" t="e">
        <f>1/(1+(10^-((T170-V170)/400)))*(T121+V121)</f>
        <v>#N/A</v>
      </c>
      <c r="U171" s="68"/>
      <c r="V171" s="68" t="e">
        <f>1/(1+(10^-((V170-T170)/400)))*(T121+V121)</f>
        <v>#N/A</v>
      </c>
      <c r="W171" s="68" t="e">
        <f>1/(1+(10^-((W170-Y170)/400)))*(W121+Y121)</f>
        <v>#N/A</v>
      </c>
      <c r="X171" s="68"/>
      <c r="Y171" s="68" t="e">
        <f>1/(1+(10^-((Y170-W170)/400)))*(W121+Y121)</f>
        <v>#N/A</v>
      </c>
      <c r="Z171" s="68" t="e">
        <f>1/(1+(10^-((Z170-AB170)/400)))*(Z121+AB121)</f>
        <v>#N/A</v>
      </c>
      <c r="AA171" s="68"/>
      <c r="AB171" s="68" t="e">
        <f>1/(1+(10^-((AB170-Z170)/400)))*(Z121+AB121)</f>
        <v>#N/A</v>
      </c>
      <c r="AC171" s="68" t="e">
        <f>1/(1+(10^-((AC170-AE170)/400)))*(AC121+AE121)</f>
        <v>#N/A</v>
      </c>
      <c r="AD171" s="68"/>
      <c r="AE171" s="68" t="e">
        <f>1/(1+(10^-((AE170-AC170)/400)))*(AC121+AE121)</f>
        <v>#N/A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</row>
    <row r="172" spans="1:49" s="78" customFormat="1" hidden="1" x14ac:dyDescent="0.2">
      <c r="A172" s="74" t="s">
        <v>118</v>
      </c>
      <c r="B172" s="74">
        <f>B170+(B121-B171)*$BA$1</f>
        <v>1217.3365040588028</v>
      </c>
      <c r="C172" s="74"/>
      <c r="D172" s="74">
        <f>D170+(D121-D171)*$BA$1</f>
        <v>1117.458485354497</v>
      </c>
      <c r="E172" s="74">
        <f>E170+(E121-E171)*$BA$1</f>
        <v>1143.7941722736368</v>
      </c>
      <c r="F172" s="74"/>
      <c r="G172" s="74">
        <f>G170+(G121-G171)*$BA$1</f>
        <v>1118.727039497197</v>
      </c>
      <c r="H172" s="74">
        <f>H170+(H121-H171)*$BA$1</f>
        <v>1213.9994452257217</v>
      </c>
      <c r="I172" s="74"/>
      <c r="J172" s="74">
        <f>J170+(J121-J171)*$BA$1</f>
        <v>1147.1312311067179</v>
      </c>
      <c r="K172" s="74">
        <f>K170+(K121-K171)*$BA$1</f>
        <v>1209.7187495817177</v>
      </c>
      <c r="L172" s="74"/>
      <c r="M172" s="74">
        <f>M170+(M121-M171)*$BA$1</f>
        <v>1123.007735141201</v>
      </c>
      <c r="N172" s="74">
        <f>N170+(N121-N171)*$BA$1</f>
        <v>1146.0220848666265</v>
      </c>
      <c r="O172" s="74"/>
      <c r="P172" s="74">
        <f>P170+(P121-P171)*$BA$1</f>
        <v>1124.1168813812924</v>
      </c>
      <c r="Q172" s="74">
        <f>Q170+(Q121-Q171)*$BA$1</f>
        <v>1216.2682939252052</v>
      </c>
      <c r="R172" s="74"/>
      <c r="S172" s="74">
        <f>S170+(S121-S171)*$BA$1</f>
        <v>1139.4725405231391</v>
      </c>
      <c r="T172" s="74" t="e">
        <f>T170+(T121-T171)*$BA$1</f>
        <v>#N/A</v>
      </c>
      <c r="U172" s="74"/>
      <c r="V172" s="74" t="e">
        <f>V170+(V121-V171)*$BA$1</f>
        <v>#N/A</v>
      </c>
      <c r="W172" s="74" t="e">
        <f>W170+(W121-W171)*$BA$1</f>
        <v>#N/A</v>
      </c>
      <c r="X172" s="74"/>
      <c r="Y172" s="74" t="e">
        <f>Y170+(Y121-Y171)*$BA$1</f>
        <v>#N/A</v>
      </c>
      <c r="Z172" s="74" t="e">
        <f>Z170+(Z121-Z171)*$BA$1</f>
        <v>#N/A</v>
      </c>
      <c r="AA172" s="74"/>
      <c r="AB172" s="74" t="e">
        <f>AB170+(AB121-AB171)*$BA$1</f>
        <v>#N/A</v>
      </c>
      <c r="AC172" s="74" t="e">
        <f>AC170+(AC121-AC171)*$BA$1</f>
        <v>#N/A</v>
      </c>
      <c r="AD172" s="74"/>
      <c r="AE172" s="74" t="e">
        <f>AE170+(AE121-AE171)*$BA$1</f>
        <v>#N/A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</row>
    <row r="173" spans="1:49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T173" s="79"/>
    </row>
    <row r="174" spans="1:49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</row>
    <row r="175" spans="1:49" s="63" customFormat="1" ht="13.5" thickBot="1" x14ac:dyDescent="0.25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</row>
    <row r="176" spans="1:49" ht="24" customHeight="1" thickBot="1" x14ac:dyDescent="0.25">
      <c r="A176" s="22" t="s">
        <v>35</v>
      </c>
      <c r="B176" s="23" t="s">
        <v>1021</v>
      </c>
      <c r="C176" s="246" t="s">
        <v>37</v>
      </c>
      <c r="D176" s="247"/>
      <c r="E176" s="247"/>
      <c r="F176" s="247"/>
      <c r="G176" s="247"/>
      <c r="H176" s="248"/>
      <c r="I176" s="249">
        <v>3</v>
      </c>
      <c r="J176" s="250"/>
      <c r="K176" s="335" t="str">
        <f>"Pool "&amp;B176&amp;" - Round 1 - Court "&amp;I176</f>
        <v>Pool CC - Round 1 - Court 3</v>
      </c>
      <c r="L176" s="336"/>
      <c r="M176" s="336"/>
      <c r="N176" s="336"/>
      <c r="O176" s="336"/>
      <c r="P176" s="336"/>
      <c r="Q176" s="336"/>
      <c r="R176" s="336"/>
      <c r="S176" s="336"/>
      <c r="T176" s="336"/>
      <c r="U176" s="336"/>
      <c r="V176" s="336"/>
      <c r="W176" s="336"/>
      <c r="X176" s="336"/>
      <c r="Y176" s="336"/>
      <c r="Z176" s="336"/>
      <c r="AA176" s="336"/>
      <c r="AB176" s="336"/>
      <c r="AC176" s="336"/>
      <c r="AD176" s="336"/>
      <c r="AE176" s="336"/>
      <c r="AF176" s="336"/>
      <c r="AG176" s="336"/>
      <c r="AH176" s="336"/>
      <c r="AI176" s="337"/>
      <c r="AJ176" s="182"/>
      <c r="AK176" s="182"/>
      <c r="AL176" s="182"/>
      <c r="AM176" s="182"/>
      <c r="AN176" s="182"/>
      <c r="AO176" s="182"/>
      <c r="AP176" s="182"/>
      <c r="AQ176" s="182"/>
    </row>
    <row r="177" spans="1:44" ht="27" customHeight="1" thickBot="1" x14ac:dyDescent="0.25">
      <c r="A177" s="24" t="s">
        <v>40</v>
      </c>
      <c r="B177" s="254" t="s">
        <v>10</v>
      </c>
      <c r="C177" s="255"/>
      <c r="D177" s="255"/>
      <c r="E177" s="255"/>
      <c r="F177" s="255"/>
      <c r="G177" s="255"/>
      <c r="H177" s="255"/>
      <c r="I177" s="255"/>
      <c r="J177" s="255"/>
      <c r="K177" s="255"/>
      <c r="L177" s="254" t="str">
        <f>IF($AK180=0,"Games Won","Matches Won")</f>
        <v>Games Won</v>
      </c>
      <c r="M177" s="255"/>
      <c r="N177" s="255"/>
      <c r="O177" s="255"/>
      <c r="P177" s="255"/>
      <c r="Q177" s="256"/>
      <c r="R177" s="254" t="str">
        <f>IF($AK180=0,"Games Lost","Matches Lost")</f>
        <v>Games Lost</v>
      </c>
      <c r="S177" s="257"/>
      <c r="T177" s="257"/>
      <c r="U177" s="257"/>
      <c r="V177" s="258"/>
      <c r="W177" s="259" t="s">
        <v>41</v>
      </c>
      <c r="X177" s="260"/>
      <c r="Y177" s="261"/>
      <c r="Z177" s="259" t="s">
        <v>42</v>
      </c>
      <c r="AA177" s="260"/>
      <c r="AB177" s="261"/>
      <c r="AC177" s="279" t="s">
        <v>43</v>
      </c>
      <c r="AD177" s="280"/>
      <c r="AE177" s="281"/>
      <c r="AF177" s="25" t="s">
        <v>44</v>
      </c>
      <c r="AG177" s="26" t="s">
        <v>9</v>
      </c>
      <c r="AH177" s="282" t="s">
        <v>45</v>
      </c>
      <c r="AI177" s="283"/>
      <c r="AJ177" s="27"/>
      <c r="AK177" s="28">
        <v>2</v>
      </c>
      <c r="AL177" s="29" t="s">
        <v>46</v>
      </c>
      <c r="AM177" s="29"/>
      <c r="AN177" s="29"/>
      <c r="AO177" s="29"/>
      <c r="AP177" s="29"/>
      <c r="AQ177" s="29"/>
      <c r="AR177" s="30"/>
    </row>
    <row r="178" spans="1:44" ht="18.75" customHeight="1" x14ac:dyDescent="0.2">
      <c r="A178" s="227" t="str">
        <f>IF($AK179&gt;0,"1","")</f>
        <v>1</v>
      </c>
      <c r="B178" s="229" t="s">
        <v>10</v>
      </c>
      <c r="C178" s="230"/>
      <c r="D178" s="231"/>
      <c r="E178" s="232" t="str">
        <f>'New AM wave 7 tms'!V264</f>
        <v>CSNS 12-1</v>
      </c>
      <c r="F178" s="233"/>
      <c r="G178" s="233"/>
      <c r="H178" s="233"/>
      <c r="I178" s="233"/>
      <c r="J178" s="233"/>
      <c r="K178" s="234"/>
      <c r="L178" s="235">
        <f>IF($AK180=0,AF234,AF216)</f>
        <v>3</v>
      </c>
      <c r="M178" s="236"/>
      <c r="N178" s="236"/>
      <c r="O178" s="236"/>
      <c r="P178" s="236"/>
      <c r="Q178" s="256"/>
      <c r="R178" s="235">
        <f>IF($AK180=0,AG234,AG216)</f>
        <v>1</v>
      </c>
      <c r="S178" s="236"/>
      <c r="T178" s="236"/>
      <c r="U178" s="236"/>
      <c r="V178" s="236"/>
      <c r="W178" s="235">
        <f>AQ194</f>
        <v>16</v>
      </c>
      <c r="X178" s="236"/>
      <c r="Y178" s="236"/>
      <c r="Z178" s="239">
        <f>IF(AF228&gt;0,(AQ194/AF228),0)</f>
        <v>0.15841584158415842</v>
      </c>
      <c r="AA178" s="240"/>
      <c r="AB178" s="240"/>
      <c r="AC178" s="262">
        <f>IF(AF242=0,0,(AF234/AF242))</f>
        <v>0.75</v>
      </c>
      <c r="AD178" s="263"/>
      <c r="AE178" s="264"/>
      <c r="AF178" s="268">
        <v>1</v>
      </c>
      <c r="AG178" s="268">
        <v>1</v>
      </c>
      <c r="AH178" s="270">
        <v>7</v>
      </c>
      <c r="AI178" s="271"/>
      <c r="AJ178" s="27"/>
      <c r="AK178" s="28">
        <v>3</v>
      </c>
      <c r="AL178" s="29" t="s">
        <v>49</v>
      </c>
      <c r="AM178" s="29"/>
      <c r="AN178" s="29"/>
      <c r="AO178" s="29"/>
      <c r="AP178" s="29"/>
      <c r="AQ178" s="29"/>
      <c r="AR178" s="30"/>
    </row>
    <row r="179" spans="1:44" ht="18.75" customHeight="1" thickBot="1" x14ac:dyDescent="0.25">
      <c r="A179" s="228"/>
      <c r="B179" s="274" t="s">
        <v>11</v>
      </c>
      <c r="C179" s="275"/>
      <c r="D179" s="276"/>
      <c r="E179" s="277" t="str">
        <f>'New AM wave 7 tms'!AB264</f>
        <v>fj2csout1pm</v>
      </c>
      <c r="F179" s="278"/>
      <c r="G179" s="278"/>
      <c r="H179" s="278"/>
      <c r="I179" s="278"/>
      <c r="J179" s="278"/>
      <c r="K179" s="278"/>
      <c r="L179" s="237"/>
      <c r="M179" s="238"/>
      <c r="N179" s="238"/>
      <c r="O179" s="238"/>
      <c r="P179" s="238"/>
      <c r="Q179" s="256"/>
      <c r="R179" s="237"/>
      <c r="S179" s="238"/>
      <c r="T179" s="238"/>
      <c r="U179" s="238"/>
      <c r="V179" s="238"/>
      <c r="W179" s="237"/>
      <c r="X179" s="238"/>
      <c r="Y179" s="238"/>
      <c r="Z179" s="241"/>
      <c r="AA179" s="242"/>
      <c r="AB179" s="242"/>
      <c r="AC179" s="265"/>
      <c r="AD179" s="266"/>
      <c r="AE179" s="267"/>
      <c r="AF179" s="269"/>
      <c r="AG179" s="269"/>
      <c r="AH179" s="272"/>
      <c r="AI179" s="273"/>
      <c r="AJ179" s="27"/>
      <c r="AK179" s="28">
        <v>3</v>
      </c>
      <c r="AL179" s="29" t="s">
        <v>52</v>
      </c>
      <c r="AM179" s="27"/>
      <c r="AN179" s="27"/>
      <c r="AO179" s="27"/>
      <c r="AP179" s="27"/>
      <c r="AQ179" s="27"/>
      <c r="AR179" s="3"/>
    </row>
    <row r="180" spans="1:44" ht="18.75" customHeight="1" x14ac:dyDescent="0.2">
      <c r="A180" s="227" t="str">
        <f>IF($AK179&gt;1,"2","")</f>
        <v>2</v>
      </c>
      <c r="B180" s="229" t="s">
        <v>10</v>
      </c>
      <c r="C180" s="230"/>
      <c r="D180" s="231"/>
      <c r="E180" s="232" t="str">
        <f>'New AM wave 7 tms'!V265</f>
        <v>columbia sc starlings 13</v>
      </c>
      <c r="F180" s="233"/>
      <c r="G180" s="233"/>
      <c r="H180" s="233"/>
      <c r="I180" s="233"/>
      <c r="J180" s="233"/>
      <c r="K180" s="234"/>
      <c r="L180" s="235">
        <f>IF($AK180=0,AF235,AF217)</f>
        <v>1</v>
      </c>
      <c r="M180" s="236"/>
      <c r="N180" s="236"/>
      <c r="O180" s="236"/>
      <c r="P180" s="236"/>
      <c r="Q180" s="256"/>
      <c r="R180" s="235">
        <f>IF($AK180=0,AG235,AG217)</f>
        <v>3</v>
      </c>
      <c r="S180" s="236"/>
      <c r="T180" s="236"/>
      <c r="U180" s="236"/>
      <c r="V180" s="236"/>
      <c r="W180" s="235">
        <f>AQ195</f>
        <v>-12</v>
      </c>
      <c r="X180" s="236"/>
      <c r="Y180" s="236"/>
      <c r="Z180" s="239">
        <f>IF(AF229&gt;0,(AQ195/AF229),0)</f>
        <v>-0.13333333333333333</v>
      </c>
      <c r="AA180" s="240"/>
      <c r="AB180" s="240"/>
      <c r="AC180" s="262">
        <f>IF(AF243=0,0,(AF235/AF243))</f>
        <v>0.25</v>
      </c>
      <c r="AD180" s="263"/>
      <c r="AE180" s="264"/>
      <c r="AF180" s="268">
        <v>3</v>
      </c>
      <c r="AG180" s="268">
        <v>1</v>
      </c>
      <c r="AH180" s="270">
        <v>9</v>
      </c>
      <c r="AI180" s="271"/>
      <c r="AJ180" s="27"/>
      <c r="AK180" s="28">
        <v>0</v>
      </c>
      <c r="AL180" s="29" t="s">
        <v>55</v>
      </c>
      <c r="AM180" s="29"/>
      <c r="AN180" s="29"/>
      <c r="AO180" s="29"/>
      <c r="AP180" s="29"/>
      <c r="AQ180" s="29"/>
      <c r="AR180" s="30"/>
    </row>
    <row r="181" spans="1:44" ht="18.75" customHeight="1" thickBot="1" x14ac:dyDescent="0.25">
      <c r="A181" s="228"/>
      <c r="B181" s="284" t="s">
        <v>11</v>
      </c>
      <c r="C181" s="285"/>
      <c r="D181" s="285"/>
      <c r="E181" s="277" t="str">
        <f>'New AM wave 7 tms'!AB265</f>
        <v>fj3starl1pm</v>
      </c>
      <c r="F181" s="278"/>
      <c r="G181" s="278"/>
      <c r="H181" s="278"/>
      <c r="I181" s="278"/>
      <c r="J181" s="278"/>
      <c r="K181" s="278"/>
      <c r="L181" s="237"/>
      <c r="M181" s="238"/>
      <c r="N181" s="238"/>
      <c r="O181" s="238"/>
      <c r="P181" s="238"/>
      <c r="Q181" s="256"/>
      <c r="R181" s="237"/>
      <c r="S181" s="238"/>
      <c r="T181" s="238"/>
      <c r="U181" s="238"/>
      <c r="V181" s="238"/>
      <c r="W181" s="237"/>
      <c r="X181" s="238"/>
      <c r="Y181" s="238"/>
      <c r="Z181" s="241"/>
      <c r="AA181" s="242"/>
      <c r="AB181" s="242"/>
      <c r="AC181" s="265"/>
      <c r="AD181" s="266"/>
      <c r="AE181" s="267"/>
      <c r="AF181" s="269"/>
      <c r="AG181" s="269"/>
      <c r="AH181" s="272"/>
      <c r="AI181" s="273"/>
      <c r="AJ181" s="27"/>
      <c r="AK181" s="28">
        <v>1</v>
      </c>
      <c r="AL181" s="29" t="s">
        <v>58</v>
      </c>
      <c r="AM181" s="27"/>
      <c r="AN181" s="27"/>
      <c r="AO181" s="27"/>
      <c r="AP181" s="27"/>
      <c r="AQ181" s="27"/>
      <c r="AR181" s="3"/>
    </row>
    <row r="182" spans="1:44" ht="18.75" customHeight="1" x14ac:dyDescent="0.2">
      <c r="A182" s="227" t="str">
        <f>IF($AK179&gt;2,"3","")</f>
        <v>3</v>
      </c>
      <c r="B182" s="286" t="s">
        <v>10</v>
      </c>
      <c r="C182" s="287"/>
      <c r="D182" s="287"/>
      <c r="E182" s="232" t="str">
        <f>'New AM wave 7 tms'!V266</f>
        <v>Foothills 13 Caitlin</v>
      </c>
      <c r="F182" s="233"/>
      <c r="G182" s="233"/>
      <c r="H182" s="233"/>
      <c r="I182" s="233"/>
      <c r="J182" s="233"/>
      <c r="K182" s="234"/>
      <c r="L182" s="235">
        <f>IF($AK180=0,AF236,AF218)</f>
        <v>2</v>
      </c>
      <c r="M182" s="236"/>
      <c r="N182" s="236"/>
      <c r="O182" s="236"/>
      <c r="P182" s="236"/>
      <c r="Q182" s="256"/>
      <c r="R182" s="235">
        <f>IF($AK180=0,AG236,AG218)</f>
        <v>2</v>
      </c>
      <c r="S182" s="236"/>
      <c r="T182" s="236"/>
      <c r="U182" s="236"/>
      <c r="V182" s="236"/>
      <c r="W182" s="235">
        <f>AQ196</f>
        <v>-4</v>
      </c>
      <c r="X182" s="236"/>
      <c r="Y182" s="236"/>
      <c r="Z182" s="239">
        <f>IF(AF230&gt;0,(AQ196/AF230),0)</f>
        <v>-4.2105263157894736E-2</v>
      </c>
      <c r="AA182" s="240"/>
      <c r="AB182" s="240"/>
      <c r="AC182" s="262">
        <f>IF(AF244=0,0,(AF236/AF244))</f>
        <v>0.5</v>
      </c>
      <c r="AD182" s="263"/>
      <c r="AE182" s="264"/>
      <c r="AF182" s="268">
        <v>2</v>
      </c>
      <c r="AG182" s="268">
        <v>1</v>
      </c>
      <c r="AH182" s="270">
        <v>8</v>
      </c>
      <c r="AI182" s="271"/>
      <c r="AJ182" s="31"/>
      <c r="AK182" s="28">
        <v>4</v>
      </c>
      <c r="AL182" s="32" t="s">
        <v>61</v>
      </c>
      <c r="AM182" s="29"/>
      <c r="AN182" s="29"/>
      <c r="AO182" s="29"/>
      <c r="AP182" s="29"/>
      <c r="AQ182" s="29"/>
      <c r="AR182" s="30"/>
    </row>
    <row r="183" spans="1:44" ht="18.75" customHeight="1" thickBot="1" x14ac:dyDescent="0.25">
      <c r="A183" s="228"/>
      <c r="B183" s="284" t="s">
        <v>11</v>
      </c>
      <c r="C183" s="285"/>
      <c r="D183" s="285"/>
      <c r="E183" s="277" t="str">
        <f>'New AM wave 7 tms'!AB266</f>
        <v>fj3footh2pm</v>
      </c>
      <c r="F183" s="278"/>
      <c r="G183" s="278"/>
      <c r="H183" s="278"/>
      <c r="I183" s="278"/>
      <c r="J183" s="278"/>
      <c r="K183" s="278"/>
      <c r="L183" s="237"/>
      <c r="M183" s="238"/>
      <c r="N183" s="238"/>
      <c r="O183" s="238"/>
      <c r="P183" s="238"/>
      <c r="Q183" s="256"/>
      <c r="R183" s="237"/>
      <c r="S183" s="238"/>
      <c r="T183" s="238"/>
      <c r="U183" s="238"/>
      <c r="V183" s="238"/>
      <c r="W183" s="237"/>
      <c r="X183" s="238"/>
      <c r="Y183" s="238"/>
      <c r="Z183" s="241"/>
      <c r="AA183" s="242"/>
      <c r="AB183" s="242"/>
      <c r="AC183" s="265"/>
      <c r="AD183" s="266"/>
      <c r="AE183" s="267"/>
      <c r="AF183" s="269"/>
      <c r="AG183" s="269"/>
      <c r="AH183" s="272"/>
      <c r="AI183" s="273"/>
      <c r="AJ183" s="31"/>
      <c r="AK183" s="36"/>
      <c r="AL183" s="37"/>
      <c r="AM183" s="37"/>
      <c r="AN183" s="37"/>
      <c r="AO183" s="37"/>
      <c r="AP183" s="37"/>
      <c r="AQ183" s="27"/>
      <c r="AR183" s="3"/>
    </row>
    <row r="184" spans="1:44" ht="18.75" customHeight="1" x14ac:dyDescent="0.2">
      <c r="A184" s="227" t="str">
        <f>IF($AK179&gt;3,"4","")</f>
        <v/>
      </c>
      <c r="B184" s="286" t="s">
        <v>10</v>
      </c>
      <c r="C184" s="287"/>
      <c r="D184" s="287"/>
      <c r="E184" s="232" t="e">
        <f>#REF!</f>
        <v>#REF!</v>
      </c>
      <c r="F184" s="233"/>
      <c r="G184" s="233"/>
      <c r="H184" s="233"/>
      <c r="I184" s="233"/>
      <c r="J184" s="233"/>
      <c r="K184" s="234"/>
      <c r="L184" s="235">
        <f>IF($AK180=0,AF237,AF219)</f>
        <v>0</v>
      </c>
      <c r="M184" s="236"/>
      <c r="N184" s="236"/>
      <c r="O184" s="236"/>
      <c r="P184" s="236"/>
      <c r="Q184" s="256"/>
      <c r="R184" s="235">
        <f>IF($AK180=0,AG237,AG219)</f>
        <v>0</v>
      </c>
      <c r="S184" s="236"/>
      <c r="T184" s="236"/>
      <c r="U184" s="236"/>
      <c r="V184" s="236"/>
      <c r="W184" s="235">
        <f>AQ197</f>
        <v>0</v>
      </c>
      <c r="X184" s="236"/>
      <c r="Y184" s="236"/>
      <c r="Z184" s="239">
        <f>IF(AF231&gt;0,(AQ197/AF231),0)</f>
        <v>0</v>
      </c>
      <c r="AA184" s="240"/>
      <c r="AB184" s="240"/>
      <c r="AC184" s="262">
        <f>IF(AF245=0,0,(AF237/AF245))</f>
        <v>0</v>
      </c>
      <c r="AD184" s="263"/>
      <c r="AE184" s="264"/>
      <c r="AF184" s="268"/>
      <c r="AG184" s="268"/>
      <c r="AH184" s="270"/>
      <c r="AI184" s="271"/>
      <c r="AJ184" s="182"/>
      <c r="AK184" s="37"/>
      <c r="AL184" s="37"/>
      <c r="AM184" s="37"/>
      <c r="AN184" s="37"/>
      <c r="AO184" s="37"/>
      <c r="AP184" s="37"/>
      <c r="AQ184" s="29"/>
      <c r="AR184" s="30"/>
    </row>
    <row r="185" spans="1:44" ht="18.75" customHeight="1" thickBot="1" x14ac:dyDescent="0.25">
      <c r="A185" s="228"/>
      <c r="B185" s="284" t="s">
        <v>11</v>
      </c>
      <c r="C185" s="285"/>
      <c r="D185" s="285"/>
      <c r="E185" s="277" t="e">
        <f>#REF!</f>
        <v>#REF!</v>
      </c>
      <c r="F185" s="278"/>
      <c r="G185" s="278"/>
      <c r="H185" s="278"/>
      <c r="I185" s="278"/>
      <c r="J185" s="278"/>
      <c r="K185" s="278"/>
      <c r="L185" s="237"/>
      <c r="M185" s="238"/>
      <c r="N185" s="238"/>
      <c r="O185" s="238"/>
      <c r="P185" s="238"/>
      <c r="Q185" s="256"/>
      <c r="R185" s="237"/>
      <c r="S185" s="238"/>
      <c r="T185" s="238"/>
      <c r="U185" s="238"/>
      <c r="V185" s="238"/>
      <c r="W185" s="237"/>
      <c r="X185" s="238"/>
      <c r="Y185" s="238"/>
      <c r="Z185" s="241"/>
      <c r="AA185" s="242"/>
      <c r="AB185" s="242"/>
      <c r="AC185" s="265"/>
      <c r="AD185" s="266"/>
      <c r="AE185" s="267"/>
      <c r="AF185" s="269"/>
      <c r="AG185" s="269"/>
      <c r="AH185" s="272"/>
      <c r="AI185" s="273"/>
      <c r="AJ185" s="182"/>
      <c r="AK185" s="37"/>
      <c r="AL185" s="37"/>
      <c r="AM185" s="37"/>
      <c r="AN185" s="37"/>
      <c r="AO185" s="37"/>
      <c r="AP185" s="37"/>
      <c r="AQ185" s="182"/>
      <c r="AR185" s="3"/>
    </row>
    <row r="186" spans="1:44" ht="18.75" customHeight="1" x14ac:dyDescent="0.2">
      <c r="A186" s="227" t="str">
        <f>IF($AK179&gt;4,"5","")</f>
        <v/>
      </c>
      <c r="B186" s="286" t="s">
        <v>10</v>
      </c>
      <c r="C186" s="287"/>
      <c r="D186" s="287"/>
      <c r="E186" s="300" t="e">
        <f>#REF!</f>
        <v>#REF!</v>
      </c>
      <c r="F186" s="301"/>
      <c r="G186" s="301"/>
      <c r="H186" s="301"/>
      <c r="I186" s="301"/>
      <c r="J186" s="301"/>
      <c r="K186" s="302"/>
      <c r="L186" s="235">
        <f>IF($AK180=0,AF238,AF220)</f>
        <v>0</v>
      </c>
      <c r="M186" s="236"/>
      <c r="N186" s="236"/>
      <c r="O186" s="236"/>
      <c r="P186" s="236"/>
      <c r="Q186" s="256"/>
      <c r="R186" s="235">
        <f>IF($AK180=0,AG238,AG220)</f>
        <v>0</v>
      </c>
      <c r="S186" s="236"/>
      <c r="T186" s="236"/>
      <c r="U186" s="236"/>
      <c r="V186" s="236"/>
      <c r="W186" s="235">
        <f>AQ198</f>
        <v>0</v>
      </c>
      <c r="X186" s="236"/>
      <c r="Y186" s="236"/>
      <c r="Z186" s="239">
        <f>IF(AF232&gt;0,(AQ198/AF232),0)</f>
        <v>0</v>
      </c>
      <c r="AA186" s="240"/>
      <c r="AB186" s="240"/>
      <c r="AC186" s="262">
        <f>IF(AF246=0,0,(AF238/AF246))</f>
        <v>0</v>
      </c>
      <c r="AD186" s="263"/>
      <c r="AE186" s="264"/>
      <c r="AF186" s="268"/>
      <c r="AG186" s="268"/>
      <c r="AH186" s="270"/>
      <c r="AI186" s="271"/>
      <c r="AJ186" s="182"/>
      <c r="AK186" s="37"/>
      <c r="AL186" s="37"/>
      <c r="AM186" s="37"/>
      <c r="AN186" s="37"/>
      <c r="AO186" s="37"/>
      <c r="AP186" s="37"/>
      <c r="AQ186" s="182"/>
      <c r="AR186" s="3"/>
    </row>
    <row r="187" spans="1:44" ht="18.75" customHeight="1" thickBot="1" x14ac:dyDescent="0.25">
      <c r="A187" s="228"/>
      <c r="B187" s="296" t="s">
        <v>11</v>
      </c>
      <c r="C187" s="297"/>
      <c r="D187" s="297"/>
      <c r="E187" s="298" t="e">
        <f>#REF!</f>
        <v>#REF!</v>
      </c>
      <c r="F187" s="299"/>
      <c r="G187" s="299"/>
      <c r="H187" s="299"/>
      <c r="I187" s="299"/>
      <c r="J187" s="299"/>
      <c r="K187" s="299"/>
      <c r="L187" s="303"/>
      <c r="M187" s="304"/>
      <c r="N187" s="304"/>
      <c r="O187" s="304"/>
      <c r="P187" s="304"/>
      <c r="Q187" s="256"/>
      <c r="R187" s="303"/>
      <c r="S187" s="304"/>
      <c r="T187" s="304"/>
      <c r="U187" s="304"/>
      <c r="V187" s="304"/>
      <c r="W187" s="303"/>
      <c r="X187" s="304"/>
      <c r="Y187" s="304"/>
      <c r="Z187" s="288"/>
      <c r="AA187" s="289"/>
      <c r="AB187" s="289"/>
      <c r="AC187" s="290"/>
      <c r="AD187" s="291"/>
      <c r="AE187" s="292"/>
      <c r="AF187" s="293"/>
      <c r="AG187" s="293"/>
      <c r="AH187" s="294"/>
      <c r="AI187" s="295"/>
      <c r="AJ187" s="182"/>
      <c r="AK187" s="37"/>
      <c r="AL187" s="37"/>
      <c r="AM187" s="37"/>
      <c r="AN187" s="37"/>
      <c r="AO187" s="37"/>
      <c r="AP187" s="37"/>
      <c r="AQ187" s="182"/>
      <c r="AR187" s="3"/>
    </row>
    <row r="188" spans="1:44" ht="21" customHeight="1" thickTop="1" thickBot="1" x14ac:dyDescent="0.25">
      <c r="A188" s="40"/>
      <c r="B188" s="305" t="s">
        <v>1020</v>
      </c>
      <c r="C188" s="306"/>
      <c r="D188" s="306"/>
      <c r="E188" s="306"/>
      <c r="F188" s="306"/>
      <c r="G188" s="306"/>
      <c r="H188" s="306"/>
      <c r="I188" s="306"/>
      <c r="J188" s="306"/>
      <c r="K188" s="306"/>
      <c r="L188" s="306"/>
      <c r="M188" s="306"/>
      <c r="N188" s="306"/>
      <c r="O188" s="306"/>
      <c r="P188" s="306"/>
      <c r="Q188" s="306"/>
      <c r="R188" s="306"/>
      <c r="S188" s="306"/>
      <c r="T188" s="306"/>
      <c r="U188" s="306"/>
      <c r="V188" s="306"/>
      <c r="W188" s="306"/>
      <c r="X188" s="306"/>
      <c r="Y188" s="306"/>
      <c r="Z188" s="306"/>
      <c r="AA188" s="306"/>
      <c r="AB188" s="306"/>
      <c r="AC188" s="306"/>
      <c r="AD188" s="306"/>
      <c r="AE188" s="306"/>
      <c r="AF188" s="306"/>
      <c r="AG188" s="306"/>
      <c r="AH188" s="306"/>
      <c r="AI188" s="307"/>
      <c r="AJ188" s="182"/>
      <c r="AK188" s="37"/>
      <c r="AL188" s="37"/>
      <c r="AM188" s="37"/>
      <c r="AN188" s="37"/>
      <c r="AO188" s="37"/>
      <c r="AP188" s="37"/>
      <c r="AQ188" s="182"/>
      <c r="AR188" s="3"/>
    </row>
    <row r="189" spans="1:44" ht="13.5" thickTop="1" x14ac:dyDescent="0.2">
      <c r="A189" s="4" t="s">
        <v>66</v>
      </c>
      <c r="B189" s="308">
        <v>0.13541666666666666</v>
      </c>
      <c r="C189" s="309"/>
      <c r="D189" s="310"/>
      <c r="E189" s="308">
        <v>0.16666666666666666</v>
      </c>
      <c r="F189" s="309"/>
      <c r="G189" s="310"/>
      <c r="H189" s="308">
        <v>0.19791666666666666</v>
      </c>
      <c r="I189" s="309"/>
      <c r="J189" s="310"/>
      <c r="K189" s="308"/>
      <c r="L189" s="309"/>
      <c r="M189" s="310"/>
      <c r="N189" s="308"/>
      <c r="O189" s="309"/>
      <c r="P189" s="310"/>
      <c r="Q189" s="308"/>
      <c r="R189" s="309"/>
      <c r="S189" s="310"/>
      <c r="T189" s="308"/>
      <c r="U189" s="309"/>
      <c r="V189" s="310"/>
      <c r="W189" s="308"/>
      <c r="X189" s="309"/>
      <c r="Y189" s="310"/>
      <c r="Z189" s="308"/>
      <c r="AA189" s="309"/>
      <c r="AB189" s="310"/>
      <c r="AC189" s="308"/>
      <c r="AD189" s="309"/>
      <c r="AE189" s="310"/>
      <c r="AF189" s="311" t="s">
        <v>67</v>
      </c>
      <c r="AG189" s="312"/>
      <c r="AH189" s="312"/>
      <c r="AI189" s="312"/>
      <c r="AJ189" s="313"/>
      <c r="AK189" s="313"/>
      <c r="AL189" s="313"/>
      <c r="AM189" s="313"/>
      <c r="AN189" s="313"/>
      <c r="AO189" s="313"/>
      <c r="AP189" s="313"/>
      <c r="AQ189" s="314"/>
    </row>
    <row r="190" spans="1:44" x14ac:dyDescent="0.2">
      <c r="A190" s="41" t="s">
        <v>68</v>
      </c>
      <c r="B190" s="319"/>
      <c r="C190" s="320"/>
      <c r="D190" s="321"/>
      <c r="E190" s="319"/>
      <c r="F190" s="320"/>
      <c r="G190" s="321"/>
      <c r="H190" s="319"/>
      <c r="I190" s="320"/>
      <c r="J190" s="321"/>
      <c r="K190" s="319"/>
      <c r="L190" s="320"/>
      <c r="M190" s="321"/>
      <c r="N190" s="319"/>
      <c r="O190" s="320"/>
      <c r="P190" s="321"/>
      <c r="Q190" s="319"/>
      <c r="R190" s="320"/>
      <c r="S190" s="321"/>
      <c r="T190" s="319"/>
      <c r="U190" s="320"/>
      <c r="V190" s="321"/>
      <c r="W190" s="319"/>
      <c r="X190" s="320"/>
      <c r="Y190" s="321"/>
      <c r="Z190" s="319"/>
      <c r="AA190" s="320"/>
      <c r="AB190" s="321"/>
      <c r="AC190" s="319"/>
      <c r="AD190" s="320"/>
      <c r="AE190" s="321"/>
      <c r="AF190" s="311"/>
      <c r="AG190" s="312"/>
      <c r="AH190" s="312"/>
      <c r="AI190" s="312"/>
      <c r="AJ190" s="312"/>
      <c r="AK190" s="312"/>
      <c r="AL190" s="312"/>
      <c r="AM190" s="312"/>
      <c r="AN190" s="312"/>
      <c r="AO190" s="312"/>
      <c r="AP190" s="312"/>
      <c r="AQ190" s="315"/>
    </row>
    <row r="191" spans="1:44" x14ac:dyDescent="0.2">
      <c r="A191" s="41" t="s">
        <v>69</v>
      </c>
      <c r="B191" s="319"/>
      <c r="C191" s="320"/>
      <c r="D191" s="321"/>
      <c r="E191" s="319"/>
      <c r="F191" s="320"/>
      <c r="G191" s="321"/>
      <c r="H191" s="319"/>
      <c r="I191" s="320"/>
      <c r="J191" s="321"/>
      <c r="K191" s="319"/>
      <c r="L191" s="320"/>
      <c r="M191" s="321"/>
      <c r="N191" s="319"/>
      <c r="O191" s="320"/>
      <c r="P191" s="321"/>
      <c r="Q191" s="319"/>
      <c r="R191" s="320"/>
      <c r="S191" s="321"/>
      <c r="T191" s="319"/>
      <c r="U191" s="320"/>
      <c r="V191" s="321"/>
      <c r="W191" s="319"/>
      <c r="X191" s="320"/>
      <c r="Y191" s="321"/>
      <c r="Z191" s="319"/>
      <c r="AA191" s="320"/>
      <c r="AB191" s="321"/>
      <c r="AC191" s="319"/>
      <c r="AD191" s="320"/>
      <c r="AE191" s="321"/>
      <c r="AF191" s="311"/>
      <c r="AG191" s="312"/>
      <c r="AH191" s="312"/>
      <c r="AI191" s="312"/>
      <c r="AJ191" s="312"/>
      <c r="AK191" s="312"/>
      <c r="AL191" s="312"/>
      <c r="AM191" s="312"/>
      <c r="AN191" s="312"/>
      <c r="AO191" s="312"/>
      <c r="AP191" s="312"/>
      <c r="AQ191" s="315"/>
    </row>
    <row r="192" spans="1:44" ht="13.5" thickBot="1" x14ac:dyDescent="0.25">
      <c r="A192" s="182"/>
      <c r="B192" s="322" t="s">
        <v>70</v>
      </c>
      <c r="C192" s="323"/>
      <c r="D192" s="324"/>
      <c r="E192" s="322" t="str">
        <f>IF(AK178&gt;1,"Match 2","")</f>
        <v>Match 2</v>
      </c>
      <c r="F192" s="323"/>
      <c r="G192" s="324"/>
      <c r="H192" s="322" t="str">
        <f>IF(AK178&gt;2,"Match 3","")</f>
        <v>Match 3</v>
      </c>
      <c r="I192" s="323"/>
      <c r="J192" s="324"/>
      <c r="K192" s="322" t="str">
        <f>IF(AK178&gt;3,"Match 4","")</f>
        <v/>
      </c>
      <c r="L192" s="323"/>
      <c r="M192" s="324"/>
      <c r="N192" s="322" t="str">
        <f>IF(AK178&gt;4,"Match 5","")</f>
        <v/>
      </c>
      <c r="O192" s="323"/>
      <c r="P192" s="324"/>
      <c r="Q192" s="322" t="str">
        <f>IF(AK178&gt;5,"Match 6","")</f>
        <v/>
      </c>
      <c r="R192" s="323"/>
      <c r="S192" s="324"/>
      <c r="T192" s="322" t="str">
        <f>IF(AK178&gt;6,"Match 7","")</f>
        <v/>
      </c>
      <c r="U192" s="323"/>
      <c r="V192" s="324"/>
      <c r="W192" s="322" t="str">
        <f>IF(AK178&gt;7,"Match 8","")</f>
        <v/>
      </c>
      <c r="X192" s="323"/>
      <c r="Y192" s="324"/>
      <c r="Z192" s="322" t="str">
        <f>IF(AK178&gt;8,"Match 9","")</f>
        <v/>
      </c>
      <c r="AA192" s="323"/>
      <c r="AB192" s="324"/>
      <c r="AC192" s="322" t="str">
        <f>IF(AK178&gt;9,"Match 10","")</f>
        <v/>
      </c>
      <c r="AD192" s="323"/>
      <c r="AE192" s="324"/>
      <c r="AF192" s="316"/>
      <c r="AG192" s="317"/>
      <c r="AH192" s="317"/>
      <c r="AI192" s="317"/>
      <c r="AJ192" s="317"/>
      <c r="AK192" s="317"/>
      <c r="AL192" s="317"/>
      <c r="AM192" s="317"/>
      <c r="AN192" s="317"/>
      <c r="AO192" s="317"/>
      <c r="AP192" s="317"/>
      <c r="AQ192" s="318"/>
    </row>
    <row r="193" spans="1:43" ht="15.75" x14ac:dyDescent="0.25">
      <c r="A193" s="182"/>
      <c r="B193" s="325" t="s">
        <v>75</v>
      </c>
      <c r="C193" s="326"/>
      <c r="D193" s="327"/>
      <c r="E193" s="325" t="s">
        <v>73</v>
      </c>
      <c r="F193" s="326"/>
      <c r="G193" s="327"/>
      <c r="H193" s="325" t="s">
        <v>72</v>
      </c>
      <c r="I193" s="326"/>
      <c r="J193" s="327"/>
      <c r="K193" s="325" t="s">
        <v>71</v>
      </c>
      <c r="L193" s="326"/>
      <c r="M193" s="327"/>
      <c r="N193" s="325" t="s">
        <v>75</v>
      </c>
      <c r="O193" s="326"/>
      <c r="P193" s="327"/>
      <c r="Q193" s="325" t="s">
        <v>72</v>
      </c>
      <c r="R193" s="326"/>
      <c r="S193" s="327"/>
      <c r="T193" s="325"/>
      <c r="U193" s="326"/>
      <c r="V193" s="327"/>
      <c r="W193" s="325"/>
      <c r="X193" s="326"/>
      <c r="Y193" s="327"/>
      <c r="Z193" s="325"/>
      <c r="AA193" s="326"/>
      <c r="AB193" s="327"/>
      <c r="AC193" s="325"/>
      <c r="AD193" s="326"/>
      <c r="AE193" s="327"/>
      <c r="AF193" s="42" t="s">
        <v>76</v>
      </c>
      <c r="AG193" s="43">
        <v>1</v>
      </c>
      <c r="AH193" s="43">
        <v>2</v>
      </c>
      <c r="AI193" s="43">
        <v>3</v>
      </c>
      <c r="AJ193" s="43">
        <v>4</v>
      </c>
      <c r="AK193" s="43">
        <v>5</v>
      </c>
      <c r="AL193" s="43">
        <v>6</v>
      </c>
      <c r="AM193" s="43">
        <v>7</v>
      </c>
      <c r="AN193" s="43">
        <v>8</v>
      </c>
      <c r="AO193" s="43">
        <v>9</v>
      </c>
      <c r="AP193" s="43">
        <v>10</v>
      </c>
      <c r="AQ193" s="44" t="s">
        <v>77</v>
      </c>
    </row>
    <row r="194" spans="1:43" ht="15.75" x14ac:dyDescent="0.25">
      <c r="A194" s="182"/>
      <c r="B194" s="45">
        <v>1</v>
      </c>
      <c r="C194" s="46" t="s">
        <v>78</v>
      </c>
      <c r="D194" s="47">
        <v>3</v>
      </c>
      <c r="E194" s="45">
        <v>2</v>
      </c>
      <c r="F194" s="46" t="str">
        <f>IF(AK178&gt;1,"v","")</f>
        <v>v</v>
      </c>
      <c r="G194" s="47">
        <v>3</v>
      </c>
      <c r="H194" s="45">
        <v>1</v>
      </c>
      <c r="I194" s="46" t="str">
        <f>IF(AK178&gt;2,"v","")</f>
        <v>v</v>
      </c>
      <c r="J194" s="47">
        <v>2</v>
      </c>
      <c r="K194" s="45">
        <v>1</v>
      </c>
      <c r="L194" s="46" t="str">
        <f>IF(AK178&gt;3,"v","")</f>
        <v/>
      </c>
      <c r="M194" s="47">
        <v>3</v>
      </c>
      <c r="N194" s="45">
        <v>3</v>
      </c>
      <c r="O194" s="46" t="str">
        <f>IF(AK178&gt;4,"v","")</f>
        <v/>
      </c>
      <c r="P194" s="47">
        <v>4</v>
      </c>
      <c r="Q194" s="45">
        <v>1</v>
      </c>
      <c r="R194" s="46" t="str">
        <f>IF(AK178&gt;5,"v","")</f>
        <v/>
      </c>
      <c r="S194" s="47">
        <v>2</v>
      </c>
      <c r="T194" s="45"/>
      <c r="U194" s="46" t="str">
        <f>IF(AK178&gt;6,"v","")</f>
        <v/>
      </c>
      <c r="V194" s="47"/>
      <c r="W194" s="45"/>
      <c r="X194" s="46" t="str">
        <f>IF(AK178&gt;7,"v","")</f>
        <v/>
      </c>
      <c r="Y194" s="47"/>
      <c r="Z194" s="45"/>
      <c r="AA194" s="46" t="str">
        <f>IF(AK178&gt;8,"v","")</f>
        <v/>
      </c>
      <c r="AB194" s="47"/>
      <c r="AC194" s="45"/>
      <c r="AD194" s="46" t="str">
        <f>IF(AK178&gt;9,"v","")</f>
        <v/>
      </c>
      <c r="AE194" s="47"/>
      <c r="AF194" s="42" t="str">
        <f>IF(AK179&gt;0,"Team 1","")</f>
        <v>Team 1</v>
      </c>
      <c r="AG194" s="48">
        <f>IF(AK179&lt;1,"",IF(AK178&lt;1,"",IF(B194=1,B200-D200,IF(D194=1,D200-B200,""))))</f>
        <v>4</v>
      </c>
      <c r="AH194" s="48" t="str">
        <f>IF(AK179&lt;1,"",IF(AK178&lt;2,"",IF(E194=1,E200-G200,IF(G194=1,G200-E200,""))))</f>
        <v/>
      </c>
      <c r="AI194" s="48">
        <f>IF(AK179&lt;1,"",IF(AK178&lt;3,"",IF(H194=1,H200-J200,IF(J194=1,J200-H200,""))))</f>
        <v>12</v>
      </c>
      <c r="AJ194" s="48" t="str">
        <f>IF(AK179&lt;1,"",IF(AK178&lt;4,"",IF(K194=1,K200-M200,IF(M194=1,M200-K200,""))))</f>
        <v/>
      </c>
      <c r="AK194" s="48" t="str">
        <f>IF(AK179&lt;1,"",IF(AK178&lt;5,"",IF(N194=1,N200-P200,IF(P194=1,P200-N200,""))))</f>
        <v/>
      </c>
      <c r="AL194" s="48" t="str">
        <f>IF(AK179&lt;1,"",IF(AK178&lt;6,"",IF(Q194=1,Q200-S200,IF(S194=1,S200-Q200,""))))</f>
        <v/>
      </c>
      <c r="AM194" s="48" t="str">
        <f>IF(AK179&lt;1,"",IF(AK178&lt;7,"",IF(T194=1,T200-V200,IF(V194=1,V200-T200,""))))</f>
        <v/>
      </c>
      <c r="AN194" s="48" t="str">
        <f>IF(AK179&lt;1,"",IF(AK178&lt;8,"",IF(W194=1,W200-Y200,IF(Y194=1,Y200-W200,""))))</f>
        <v/>
      </c>
      <c r="AO194" s="48" t="str">
        <f>IF(AK179&lt;1,"",IF(AK178&lt;9,"",IF(Z194=1,Z200-AB200,IF(AB194=1,AB200-Z200,""))))</f>
        <v/>
      </c>
      <c r="AP194" s="48" t="str">
        <f>IF(AK179&lt;1,"",IF(AK178&lt;10,"",IF(AC194=1,AC200-AE200,IF(AE194=1,AE200-AC200,""))))</f>
        <v/>
      </c>
      <c r="AQ194" s="44">
        <f>SUM(AG194:AP194)</f>
        <v>16</v>
      </c>
    </row>
    <row r="195" spans="1:43" ht="15" x14ac:dyDescent="0.2">
      <c r="A195" s="4" t="s">
        <v>79</v>
      </c>
      <c r="B195" s="49">
        <v>25</v>
      </c>
      <c r="C195" s="50" t="s">
        <v>80</v>
      </c>
      <c r="D195" s="51">
        <v>12</v>
      </c>
      <c r="E195" s="49">
        <v>20</v>
      </c>
      <c r="F195" s="50" t="str">
        <f>IF(AK178&gt;1,"/","")</f>
        <v>/</v>
      </c>
      <c r="G195" s="51">
        <v>19</v>
      </c>
      <c r="H195" s="49">
        <v>25</v>
      </c>
      <c r="I195" s="50" t="str">
        <f>IF(AK178&gt;2,"/","")</f>
        <v>/</v>
      </c>
      <c r="J195" s="51">
        <v>17</v>
      </c>
      <c r="K195" s="49"/>
      <c r="L195" s="50" t="str">
        <f>IF(AK178&gt;3,"/","")</f>
        <v/>
      </c>
      <c r="M195" s="51"/>
      <c r="N195" s="49"/>
      <c r="O195" s="50" t="str">
        <f>IF(AK178&gt;4,"/","")</f>
        <v/>
      </c>
      <c r="P195" s="51"/>
      <c r="Q195" s="49"/>
      <c r="R195" s="50" t="str">
        <f>IF(AK178&gt;5,"/","")</f>
        <v/>
      </c>
      <c r="S195" s="51"/>
      <c r="T195" s="49"/>
      <c r="U195" s="50" t="str">
        <f>IF(AK178&gt;6,"/","")</f>
        <v/>
      </c>
      <c r="V195" s="51"/>
      <c r="W195" s="49"/>
      <c r="X195" s="50" t="str">
        <f>IF(AK178&gt;7,"/","")</f>
        <v/>
      </c>
      <c r="Y195" s="51"/>
      <c r="Z195" s="49"/>
      <c r="AA195" s="50" t="str">
        <f>IF(AK178&gt;8,"/","")</f>
        <v/>
      </c>
      <c r="AB195" s="51"/>
      <c r="AC195" s="49"/>
      <c r="AD195" s="50" t="str">
        <f>IF(AK178&gt;9,"/","")</f>
        <v/>
      </c>
      <c r="AE195" s="51"/>
      <c r="AF195" s="42" t="str">
        <f>IF(AK179&gt;1,"Team 2","")</f>
        <v>Team 2</v>
      </c>
      <c r="AG195" s="48" t="str">
        <f>IF(AK179&lt;2,"",IF(AK178&lt;1,"",IF(B194=2,B200-D200,IF(D194=2,D200-B200,""))))</f>
        <v/>
      </c>
      <c r="AH195" s="48">
        <f>IF(AK179&lt;2,"",IF(AK178&lt;2,"",IF(E194=2,E200-G200,IF(G194=2,G200-E200,""))))</f>
        <v>0</v>
      </c>
      <c r="AI195" s="48">
        <f>IF(AK179&lt;2,"",IF(AK178&lt;3,"",IF(H194=2,H200-J200,IF(J194=2,J200-H200,""))))</f>
        <v>-12</v>
      </c>
      <c r="AJ195" s="48" t="str">
        <f>IF(AK179&lt;2,"",IF(AK178&lt;4,"",IF(K194=2,K200-M200,IF(M194=2,M200-K200,""))))</f>
        <v/>
      </c>
      <c r="AK195" s="48" t="str">
        <f>IF(AK179&lt;2,"",IF(AK178&lt;5,"",IF(N194=2,N200-P200,IF(P194=2,P200-N200,""))))</f>
        <v/>
      </c>
      <c r="AL195" s="48" t="str">
        <f>IF(AK179&lt;2,"",IF(AK178&lt;6,"",IF(Q194=2,Q200-S200,IF(S194=2,S200-Q200,""))))</f>
        <v/>
      </c>
      <c r="AM195" s="48" t="str">
        <f>IF(AK179&lt;2,"",IF(AK178&lt;7,"",IF(T194=2,T200-V200,IF(V194=2,V200-T200,""))))</f>
        <v/>
      </c>
      <c r="AN195" s="48" t="str">
        <f>IF(AK179&lt;2,"",IF(AK178&lt;8,"",IF(W194=2,W200-Y200,IF(Y194=2,Y200-W200,""))))</f>
        <v/>
      </c>
      <c r="AO195" s="48" t="str">
        <f>IF(AK179&lt;2,"",IF(AK178&lt;9,"",IF(Z194=2,Z200-AB200,IF(AB194=2,AB200-Z200,""))))</f>
        <v/>
      </c>
      <c r="AP195" s="48" t="str">
        <f>IF(AK179&lt;2,"",IF(AK178&lt;10,"",IF(AC194=2,AC200-AE200,IF(AE194=2,AE200-AC200,""))))</f>
        <v/>
      </c>
      <c r="AQ195" s="44">
        <f>SUM(AG195:AP195)</f>
        <v>-12</v>
      </c>
    </row>
    <row r="196" spans="1:43" ht="15" x14ac:dyDescent="0.2">
      <c r="A196" s="3" t="str">
        <f>IF(AK177&gt;1,"Game 2","")</f>
        <v>Game 2</v>
      </c>
      <c r="B196" s="49">
        <v>19</v>
      </c>
      <c r="C196" s="50" t="s">
        <v>80</v>
      </c>
      <c r="D196" s="51">
        <v>28</v>
      </c>
      <c r="E196" s="49">
        <v>21</v>
      </c>
      <c r="F196" s="50" t="str">
        <f>IF(AK178&gt;1,IF(AK177&gt;1,"/",""),"")</f>
        <v>/</v>
      </c>
      <c r="G196" s="51">
        <v>22</v>
      </c>
      <c r="H196" s="49">
        <v>23</v>
      </c>
      <c r="I196" s="50" t="str">
        <f>IF(AK178&gt;2,IF(AK177&gt;1,"/",""),"")</f>
        <v>/</v>
      </c>
      <c r="J196" s="51">
        <v>19</v>
      </c>
      <c r="K196" s="49"/>
      <c r="L196" s="50" t="str">
        <f>IF(AK178&gt;3,IF(AK177&gt;1,"/",""),"")</f>
        <v/>
      </c>
      <c r="M196" s="51"/>
      <c r="N196" s="49"/>
      <c r="O196" s="50" t="str">
        <f>IF(AK178&gt;4,IF(AK177&gt;1,"/",""),"")</f>
        <v/>
      </c>
      <c r="P196" s="51"/>
      <c r="Q196" s="49"/>
      <c r="R196" s="50" t="str">
        <f>IF(AK178&gt;5,IF(AK177&gt;1,"/",""),"")</f>
        <v/>
      </c>
      <c r="S196" s="51"/>
      <c r="T196" s="49"/>
      <c r="U196" s="50" t="str">
        <f>IF(AK178&gt;6,IF(AK177&gt;1,"/",""),"")</f>
        <v/>
      </c>
      <c r="V196" s="51"/>
      <c r="W196" s="49"/>
      <c r="X196" s="50" t="str">
        <f>IF(AK178&gt;7,IF(AK177&gt;1,"/",""),"")</f>
        <v/>
      </c>
      <c r="Y196" s="51"/>
      <c r="Z196" s="49"/>
      <c r="AA196" s="50" t="str">
        <f>IF(AK178&gt;8,IF(AK177&gt;1,"/",""),"")</f>
        <v/>
      </c>
      <c r="AB196" s="51"/>
      <c r="AC196" s="49"/>
      <c r="AD196" s="50" t="str">
        <f>IF(AK178&gt;9,IF(AK177&gt;1,"/",""),"")</f>
        <v/>
      </c>
      <c r="AE196" s="51"/>
      <c r="AF196" s="42" t="str">
        <f>IF(AK179&gt;2,"Team 3","")</f>
        <v>Team 3</v>
      </c>
      <c r="AG196" s="48">
        <f>IF(AK179&lt;3,"",IF(AK178&lt;1,"",IF(B194=3,B200-D200,IF(D194=3,D200-B200,""))))</f>
        <v>-4</v>
      </c>
      <c r="AH196" s="48">
        <f>IF(AK179&lt;3,"",IF(AK178&lt;2,"",IF(E194=3,E200-G200,IF(G194=3,G200-E200,""))))</f>
        <v>0</v>
      </c>
      <c r="AI196" s="48" t="str">
        <f>IF(AK179&lt;3,"",IF(AK178&lt;3,"",IF(H194=3,H200-J200,IF(J194=3,J200-H200,""))))</f>
        <v/>
      </c>
      <c r="AJ196" s="48" t="str">
        <f>IF(AK179&lt;3,"",IF(AK178&lt;4,"",IF(K194=3,K200-M200,IF(M194=3,M200-K200,""))))</f>
        <v/>
      </c>
      <c r="AK196" s="48" t="str">
        <f>IF(AK179&lt;3,"",IF(AK178&lt;5,"",IF(N194=3,N200-P200,IF(P194=3,P200-N200,""))))</f>
        <v/>
      </c>
      <c r="AL196" s="48" t="str">
        <f>IF(AK179&lt;3,"",IF(AK178&lt;6,"",IF(Q194=3,Q200-S200,IF(S194=3,S200-Q200,""))))</f>
        <v/>
      </c>
      <c r="AM196" s="48" t="str">
        <f>IF(AK179&lt;3,"",IF(AK178&lt;7,"",IF(T194=3,T200-V200,IF(V194=3,V200-T200,""))))</f>
        <v/>
      </c>
      <c r="AN196" s="48" t="str">
        <f>IF(AK179&lt;3,"",IF(AK178&lt;8,"",IF(W194=3,W200-Y200,IF(Y194=3,Y200-W200,""))))</f>
        <v/>
      </c>
      <c r="AO196" s="48" t="str">
        <f>IF(AK179&lt;3,"",IF(AK178&lt;9,"",IF(Z194=3,Z200-AB200,IF(AB194=3,AB200-Z200,""))))</f>
        <v/>
      </c>
      <c r="AP196" s="48" t="str">
        <f>IF(AK179&lt;3,"",IF(AK178&lt;9,"",IF(AC194=3,AC200-AE200,IF(AE194=3,AE200-AC200,""))))</f>
        <v/>
      </c>
      <c r="AQ196" s="44">
        <f>SUM(AG196:AP196)</f>
        <v>-4</v>
      </c>
    </row>
    <row r="197" spans="1:43" ht="15" x14ac:dyDescent="0.2">
      <c r="A197" s="3" t="str">
        <f>IF(AK177&gt;2,"Game 3","")</f>
        <v/>
      </c>
      <c r="B197" s="49"/>
      <c r="C197" s="50" t="s">
        <v>80</v>
      </c>
      <c r="D197" s="51"/>
      <c r="E197" s="49"/>
      <c r="F197" s="50" t="str">
        <f>IF(AK178&gt;1,IF(AK177&gt;2,"/",""),"")</f>
        <v/>
      </c>
      <c r="G197" s="51"/>
      <c r="H197" s="49"/>
      <c r="I197" s="50" t="str">
        <f>IF(AK178&gt;2,IF(AK177&gt;2,"/",""),"")</f>
        <v/>
      </c>
      <c r="J197" s="51"/>
      <c r="K197" s="49"/>
      <c r="L197" s="50" t="str">
        <f>IF(AK178&gt;3,IF(AK177&gt;2,"/",""),"")</f>
        <v/>
      </c>
      <c r="M197" s="51"/>
      <c r="N197" s="49"/>
      <c r="O197" s="50" t="str">
        <f>IF(AK178&gt;4,IF(AK177&gt;2,"/",""),"")</f>
        <v/>
      </c>
      <c r="P197" s="51"/>
      <c r="Q197" s="49"/>
      <c r="R197" s="50" t="str">
        <f>IF(AK178&gt;5,IF(AK177&gt;2,"/",""),"")</f>
        <v/>
      </c>
      <c r="S197" s="51"/>
      <c r="T197" s="49"/>
      <c r="U197" s="50" t="str">
        <f>IF(AK178&gt;6,IF(AK177&gt;2,"/",""),"")</f>
        <v/>
      </c>
      <c r="V197" s="51"/>
      <c r="W197" s="49"/>
      <c r="X197" s="50" t="str">
        <f>IF(AK178&gt;7,IF(AK177&gt;2,"/",""),"")</f>
        <v/>
      </c>
      <c r="Y197" s="51"/>
      <c r="Z197" s="49"/>
      <c r="AA197" s="50" t="str">
        <f>IF(AK178&gt;8,IF(AK177&gt;2,"/",""),"")</f>
        <v/>
      </c>
      <c r="AB197" s="51"/>
      <c r="AC197" s="49"/>
      <c r="AD197" s="50" t="str">
        <f>IF(AK178&gt;9,IF(AK177&gt;2,"/",""),"")</f>
        <v/>
      </c>
      <c r="AE197" s="51"/>
      <c r="AF197" s="42" t="str">
        <f>IF(AK179&gt;3,"Team 4","")</f>
        <v/>
      </c>
      <c r="AG197" s="48" t="str">
        <f>IF(AK179&lt;4,"",IF(AK178&lt;1,"",IF(B194=4,B200-D200,IF(D194=4,D200-B200,""))))</f>
        <v/>
      </c>
      <c r="AH197" s="48" t="str">
        <f>IF(AK179&lt;4,"",IF(AK178&lt;2,"",IF(E194=4,E200-G200,IF(G194=4,G200-E200,""))))</f>
        <v/>
      </c>
      <c r="AI197" s="48" t="str">
        <f>IF(AK179&lt;4,"",IF(AK178&lt;3,"",IF(H194=4,H200-J200,IF(J194=4,J200-H200,""))))</f>
        <v/>
      </c>
      <c r="AJ197" s="48" t="str">
        <f>IF(AK179&lt;4,"",IF(AK178&lt;4,"",IF(K194=4,K200-M200,IF(M194=4,M200-K200,""))))</f>
        <v/>
      </c>
      <c r="AK197" s="48" t="str">
        <f>IF(AK179&lt;4,"",IF(AK178&lt;5,"",IF(N194=4,N200-P200,IF(P194=4,P200-N200,""))))</f>
        <v/>
      </c>
      <c r="AL197" s="48" t="str">
        <f>IF(AK179&lt;4,"",IF(AK178&lt;6,"",IF(Q194=4,Q200-S200,IF(S194=4,S200-Q200,""))))</f>
        <v/>
      </c>
      <c r="AM197" s="48" t="str">
        <f>IF(AK179&lt;4,"",IF(AK178&lt;7,"",IF(T194=4,T200-V200,IF(V194=4,V200-T200,""))))</f>
        <v/>
      </c>
      <c r="AN197" s="48" t="str">
        <f>IF(AK179&lt;4,"",IF(AK178&lt;8,"",IF(W194=4,W200-Y200,IF(Y194=4,Y200-W200,""))))</f>
        <v/>
      </c>
      <c r="AO197" s="48" t="str">
        <f>IF(AK179&lt;4,"",IF(AK178&lt;9,"",IF(Z194=4,Z200-AB200,IF(AB194=4,AB200-Z200,""))))</f>
        <v/>
      </c>
      <c r="AP197" s="48" t="str">
        <f>IF(AK179&lt;4,"",IF(AK178&lt;10,"",IF(AC194=4,AC200-AE200,IF(AE194=4,AE200-AC200,""))))</f>
        <v/>
      </c>
      <c r="AQ197" s="44">
        <f>SUM(AG197:AP197)</f>
        <v>0</v>
      </c>
    </row>
    <row r="198" spans="1:43" ht="15" x14ac:dyDescent="0.2">
      <c r="A198" s="3" t="str">
        <f>IF(AK177&gt;3,"Game 4","")</f>
        <v/>
      </c>
      <c r="B198" s="49"/>
      <c r="C198" s="50" t="s">
        <v>80</v>
      </c>
      <c r="D198" s="51"/>
      <c r="E198" s="49"/>
      <c r="F198" s="50" t="str">
        <f>IF(AK178&gt;1,IF(AK177&gt;3,"/",""),"")</f>
        <v/>
      </c>
      <c r="G198" s="51"/>
      <c r="H198" s="49"/>
      <c r="I198" s="50" t="str">
        <f>IF(AK178&gt;2,IF(AK177&gt;3,"/",""),"")</f>
        <v/>
      </c>
      <c r="J198" s="51"/>
      <c r="K198" s="49"/>
      <c r="L198" s="50" t="str">
        <f>IF(AK178&gt;3,IF(AK177&gt;3,"/",""),"")</f>
        <v/>
      </c>
      <c r="M198" s="51"/>
      <c r="N198" s="49"/>
      <c r="O198" s="50" t="str">
        <f>IF(AK178&gt;4,IF(AK177&gt;3,"/",""),"")</f>
        <v/>
      </c>
      <c r="P198" s="51"/>
      <c r="Q198" s="49"/>
      <c r="R198" s="50" t="str">
        <f>IF(AK178&gt;5,IF(AK177&gt;3,"/",""),"")</f>
        <v/>
      </c>
      <c r="S198" s="51"/>
      <c r="T198" s="49"/>
      <c r="U198" s="50" t="str">
        <f>IF(AK178&gt;6,IF(AK177&gt;3,"/",""),"")</f>
        <v/>
      </c>
      <c r="V198" s="51"/>
      <c r="W198" s="49"/>
      <c r="X198" s="50" t="str">
        <f>IF(AK178&gt;7,IF(AK177&gt;3,"/",""),"")</f>
        <v/>
      </c>
      <c r="Y198" s="51"/>
      <c r="Z198" s="49"/>
      <c r="AA198" s="50" t="str">
        <f>IF(AK178&gt;8,IF(AK177&gt;3,"/",""),"")</f>
        <v/>
      </c>
      <c r="AB198" s="51"/>
      <c r="AC198" s="49"/>
      <c r="AD198" s="50" t="str">
        <f>IF(AK178&gt;9,IF(AK177&gt;3,"/",""),"")</f>
        <v/>
      </c>
      <c r="AE198" s="51"/>
      <c r="AF198" s="42" t="str">
        <f>IF(AK179&gt;4,"Team 5","")</f>
        <v/>
      </c>
      <c r="AG198" s="52" t="str">
        <f>IF(AK179&lt;5,"",IF(AK178&lt;1,"",IF(B194=5,B200-D200,IF(D194=5,D200-B200,""))))</f>
        <v/>
      </c>
      <c r="AH198" s="48" t="str">
        <f>IF(AK179&lt;5,"",IF(AK178&lt;2,"",IF(E194=5,E200-G200,IF(G194=5,G200-E200,""))))</f>
        <v/>
      </c>
      <c r="AI198" s="48" t="str">
        <f>IF(AK179&lt;5,"",IF(AK178&lt;3,"",IF(H194=5,H200-J200,IF(J194=5,J200-H200,""))))</f>
        <v/>
      </c>
      <c r="AJ198" s="48" t="str">
        <f>IF(AK179&lt;5,"",IF(AK178&lt;4,"",IF(K194=5,K200-M200,IF(M194=5,M200-K200,""))))</f>
        <v/>
      </c>
      <c r="AK198" s="48" t="str">
        <f>IF(AK179&lt;5,"",IF(AK178&lt;5,"",IF(N194=5,N200-P200,IF(P194=5,P200-N200,""))))</f>
        <v/>
      </c>
      <c r="AL198" s="48" t="str">
        <f>IF(AK179&lt;5,"",IF(AK178&lt;6,"",IF(Q194=5,Q200-S200,IF(S194=5,S200-Q200,""))))</f>
        <v/>
      </c>
      <c r="AM198" s="48" t="str">
        <f>IF(AK179&lt;5,"",IF(AK178&lt;7,"",IF(T194=5,T200-V200,IF(V194=5,V200-T200,""))))</f>
        <v/>
      </c>
      <c r="AN198" s="48" t="str">
        <f>IF(AK179&lt;5,"",IF(AK178&lt;8,"",IF(W194=5,W200-Y200,IF(Y194=5,Y200-W200,""))))</f>
        <v/>
      </c>
      <c r="AO198" s="48" t="str">
        <f>IF(AK179&lt;5,"",IF(AK178&lt;9,"",IF(Z194=5,Z200-AB200,IF(AB194=5,AB200-Z200,""))))</f>
        <v/>
      </c>
      <c r="AP198" s="48" t="str">
        <f>IF(AK179&lt;5,"",IF(AK178&lt;10,"",IF(AC194=5,AC200-AE200,IF(AE194=5,AE200-AC200,""))))</f>
        <v/>
      </c>
      <c r="AQ198" s="44">
        <f>SUM(AG198:AP198)</f>
        <v>0</v>
      </c>
    </row>
    <row r="199" spans="1:43" ht="28.5" customHeight="1" x14ac:dyDescent="0.2">
      <c r="A199" s="3" t="str">
        <f>IF(AK177&gt;4,"Game 5","")</f>
        <v/>
      </c>
      <c r="B199" s="49"/>
      <c r="C199" s="50" t="s">
        <v>80</v>
      </c>
      <c r="D199" s="51"/>
      <c r="E199" s="49"/>
      <c r="F199" s="50" t="str">
        <f>IF(AK178&gt;1,IF(AK177&gt;4,"/",""),"")</f>
        <v/>
      </c>
      <c r="G199" s="51"/>
      <c r="H199" s="49"/>
      <c r="I199" s="50" t="str">
        <f>IF(AK178&gt;2,IF(AK177&gt;4,"/",""),"")</f>
        <v/>
      </c>
      <c r="J199" s="51"/>
      <c r="K199" s="49"/>
      <c r="L199" s="50" t="str">
        <f>IF(AK178&gt;3,IF(AK177&gt;4,"/",""),"")</f>
        <v/>
      </c>
      <c r="M199" s="51"/>
      <c r="N199" s="49"/>
      <c r="O199" s="50" t="str">
        <f>IF(AK178&gt;4,IF(AK177&gt;4,"/",""),"")</f>
        <v/>
      </c>
      <c r="P199" s="51"/>
      <c r="Q199" s="49"/>
      <c r="R199" s="50" t="str">
        <f>IF(AK178&gt;5,IF(AK177&gt;4,"/",""),"")</f>
        <v/>
      </c>
      <c r="S199" s="51"/>
      <c r="T199" s="49"/>
      <c r="U199" s="50" t="str">
        <f>IF(AK178&gt;6,IF(AK177&gt;4,"/",""),"")</f>
        <v/>
      </c>
      <c r="V199" s="51"/>
      <c r="W199" s="49"/>
      <c r="X199" s="50" t="str">
        <f>IF(AK178&gt;7,IF(AK177&gt;4,"/",""),"")</f>
        <v/>
      </c>
      <c r="Y199" s="51"/>
      <c r="Z199" s="49"/>
      <c r="AA199" s="50" t="str">
        <f>IF(AK178&gt;8,IF(AK177&gt;4,"/",""),"")</f>
        <v/>
      </c>
      <c r="AB199" s="51"/>
      <c r="AC199" s="49"/>
      <c r="AD199" s="50" t="str">
        <f>IF(AK178&gt;9,IF(AK177&gt;4,"/",""),"")</f>
        <v/>
      </c>
      <c r="AE199" s="51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</row>
    <row r="200" spans="1:43" hidden="1" x14ac:dyDescent="0.2">
      <c r="A200" s="53"/>
      <c r="B200" s="53">
        <f>IF($AK177=5,SUM(B195:B199),IF($AK177=4,SUM(B195:B198),IF($AK177=3,SUM(B195:B197),IF($AK177=2,SUM(B195:B196),B195))))</f>
        <v>44</v>
      </c>
      <c r="C200" s="53"/>
      <c r="D200" s="53">
        <f>IF($AK177=5,SUM(D195:D199),IF($AK177=4,SUM(D195:D198),IF($AK177=3,SUM(D195:D197),IF($AK177=2,SUM(D195:D196),D195))))</f>
        <v>40</v>
      </c>
      <c r="E200" s="53">
        <f>IF($AK177=5,SUM(E195:E199),IF($AK177=4,SUM(E195:E198),IF($AK177=3,SUM(E195:E197),IF($AK177=2,SUM(E195:E196),E195))))</f>
        <v>41</v>
      </c>
      <c r="F200" s="53"/>
      <c r="G200" s="53">
        <f>IF($AK177=5,SUM(G195:G199),IF($AK177=4,SUM(G195:G198),IF($AK177=3,SUM(G195:G197),IF($AK177=2,SUM(G195:G196),G195))))</f>
        <v>41</v>
      </c>
      <c r="H200" s="53">
        <f>IF($AK177=5,SUM(H195:H199),IF($AK177=4,SUM(H195:H198),IF($AK177=3,SUM(H195:H197),IF($AK177=2,SUM(H195:H196),H195))))</f>
        <v>48</v>
      </c>
      <c r="I200" s="53"/>
      <c r="J200" s="53">
        <f>IF($AK177=5,SUM(J195:J199),IF($AK177=4,SUM(J195:J198),IF($AK177=3,SUM(J195:J197),IF($AK177=2,SUM(J195:J196),J195))))</f>
        <v>36</v>
      </c>
      <c r="K200" s="53">
        <f>IF($AK177=5,SUM(K195:K199),IF($AK177=4,SUM(K195:K198),IF($AK177=3,SUM(K195:K197),IF($AK177=2,SUM(K195:K196),K195))))</f>
        <v>0</v>
      </c>
      <c r="L200" s="53"/>
      <c r="M200" s="53">
        <f>IF($AK177=5,SUM(M195:M199),IF($AK177=4,SUM(M195:M198),IF($AK177=3,SUM(M195:M197),IF($AK177=2,SUM(M195:M196),M195))))</f>
        <v>0</v>
      </c>
      <c r="N200" s="53">
        <f>IF($AK177=5,SUM(N195:N199),IF($AK177=4,SUM(N195:N198),IF($AK177=3,SUM(N195:N197),IF($AK177=2,SUM(N195:N196),N195))))</f>
        <v>0</v>
      </c>
      <c r="O200" s="53"/>
      <c r="P200" s="53">
        <f>IF($AK177=5,SUM(P195:P199),IF($AK177=4,SUM(P195:P198),IF($AK177=3,SUM(P195:P197),IF($AK177=2,SUM(P195:P196),P195))))</f>
        <v>0</v>
      </c>
      <c r="Q200" s="53">
        <f>IF($AK177=5,SUM(Q195:Q199),IF($AK177=4,SUM(Q195:Q198),IF($AK177=3,SUM(Q195:Q197),IF($AK177=2,SUM(Q195:Q196),Q195))))</f>
        <v>0</v>
      </c>
      <c r="R200" s="53"/>
      <c r="S200" s="53">
        <f>IF($AK177=5,SUM(S195:S199),IF($AK177=4,SUM(S195:S198),IF($AK177=3,SUM(S195:S197),IF($AK177=2,SUM(S195:S196),S195))))</f>
        <v>0</v>
      </c>
      <c r="T200" s="53">
        <f>IF($AK177=5,SUM(T195:T199),IF($AK177=4,SUM(T195:T198),IF($AK177=3,SUM(T195:T197),IF($AK177=2,SUM(T195:T196),T195))))</f>
        <v>0</v>
      </c>
      <c r="U200" s="53"/>
      <c r="V200" s="53">
        <f>IF($AK177=5,SUM(V195:V199),IF($AK177=4,SUM(V195:V198),IF($AK177=3,SUM(V195:V197),IF($AK177=2,SUM(V195:V196),V195))))</f>
        <v>0</v>
      </c>
      <c r="W200" s="53">
        <f>IF($AK177=5,SUM(W195:W199),IF($AK177=4,SUM(W195:W198),IF($AK177=3,SUM(W195:W197),IF($AK177=2,SUM(W195:W196),W195))))</f>
        <v>0</v>
      </c>
      <c r="X200" s="53"/>
      <c r="Y200" s="53">
        <f>IF($AK177=5,SUM(Y195:Y199),IF($AK177=4,SUM(Y195:Y198),IF($AK177=3,SUM(Y195:Y197),IF($AK177=2,SUM(Y195:Y196),Y195))))</f>
        <v>0</v>
      </c>
      <c r="Z200" s="53">
        <f>IF($AK177=5,SUM(Z195:Z199),IF($AK177=4,SUM(Z195:Z198),IF($AK177=3,SUM(Z195:Z197),IF($AK177=2,SUM(Z195:Z196),Z195))))</f>
        <v>0</v>
      </c>
      <c r="AA200" s="53"/>
      <c r="AB200" s="53">
        <f>IF($AK177=5,SUM(AB195:AB199),IF($AK177=4,SUM(AB195:AB198),IF($AK177=3,SUM(AB195:AB197),IF($AK177=2,SUM(AB195:AB196),AB195))))</f>
        <v>0</v>
      </c>
      <c r="AC200" s="53">
        <f>IF($AK177=5,SUM(AC195:AC199),IF($AK177=4,SUM(AC195:AC198),IF($AK177=3,SUM(AC195:AC197),IF($AK177=2,SUM(AC195:AC196),AC195))))</f>
        <v>0</v>
      </c>
      <c r="AD200" s="53"/>
      <c r="AE200" s="53">
        <f>IF($AK177=5,SUM(AE195:AE199),IF($AK177=4,SUM(AE195:AE198),IF($AK177=3,SUM(AE195:AE197),IF($AK177=2,SUM(AE195:AE196),AE195))))</f>
        <v>0</v>
      </c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</row>
    <row r="201" spans="1:43" s="55" customFormat="1" ht="12.75" hidden="1" customHeight="1" x14ac:dyDescent="0.2">
      <c r="A201" s="55" t="s">
        <v>81</v>
      </c>
      <c r="B201" s="56">
        <f>IF(AND(B195&gt;D195,$AK178&gt;0,ISNUMBER(B195),ISNUMBER(D195)),1,0)</f>
        <v>1</v>
      </c>
      <c r="C201" s="56"/>
      <c r="D201" s="57">
        <f>IF(AND(D195&gt;B195,$AK178&gt;0,ISNUMBER(B195),ISNUMBER(D195)),1,0)</f>
        <v>0</v>
      </c>
      <c r="E201" s="56">
        <f>IF(AND(E195&gt;G195,$AK178&gt;1,ISNUMBER(E195),ISNUMBER(G195)),1,0)</f>
        <v>1</v>
      </c>
      <c r="F201" s="56"/>
      <c r="G201" s="57">
        <f>IF(AND(G195&gt;E195,$AK178&gt;1,ISNUMBER(E195),ISNUMBER(G195)),1,0)</f>
        <v>0</v>
      </c>
      <c r="H201" s="56">
        <f>IF(AND(H195&gt;J195,$AK178&gt;2,ISNUMBER(H195),ISNUMBER(J195)),1,0)</f>
        <v>1</v>
      </c>
      <c r="I201" s="56"/>
      <c r="J201" s="57">
        <f>IF(AND(J195&gt;H195,$AK178&gt;2,ISNUMBER(H195),ISNUMBER(J195)),1,0)</f>
        <v>0</v>
      </c>
      <c r="K201" s="56">
        <f>IF(AND(K195&gt;M195,$AK178&gt;3,ISNUMBER(K195),ISNUMBER(M195)),1,0)</f>
        <v>0</v>
      </c>
      <c r="L201" s="56"/>
      <c r="M201" s="57">
        <f>IF(AND(M195&gt;K195,$AK178&gt;3,ISNUMBER(K195),ISNUMBER(M195)),1,0)</f>
        <v>0</v>
      </c>
      <c r="N201" s="56">
        <f>IF(AND(N195&gt;P195,$AK178&gt;4,ISNUMBER(N195),ISNUMBER(P195)),1,0)</f>
        <v>0</v>
      </c>
      <c r="O201" s="56"/>
      <c r="P201" s="57">
        <f>IF(AND(P195&gt;N195,$AK178&gt;4,ISNUMBER(N195),ISNUMBER(P195)),1,0)</f>
        <v>0</v>
      </c>
      <c r="Q201" s="56">
        <f>IF(AND(Q195&gt;S195,$AK178&gt;5,ISNUMBER(Q195),ISNUMBER(S195)),1,0)</f>
        <v>0</v>
      </c>
      <c r="R201" s="56"/>
      <c r="S201" s="57">
        <f>IF(AND(S195&gt;Q195,$AK178&gt;5,ISNUMBER(Q195),ISNUMBER(S195)),1,0)</f>
        <v>0</v>
      </c>
      <c r="T201" s="56">
        <f>IF(AND(T195&gt;V195,$AK178&gt;6,ISNUMBER(T195),ISNUMBER(V195)),1,0)</f>
        <v>0</v>
      </c>
      <c r="U201" s="56"/>
      <c r="V201" s="57">
        <f>IF(AND(V195&gt;T195,$AK178&gt;6,ISNUMBER(T195),ISNUMBER(V195)),1,0)</f>
        <v>0</v>
      </c>
      <c r="W201" s="56">
        <f>IF(AND(W195&gt;Y195,$AK178&gt;7,ISNUMBER(W195),ISNUMBER(Y195)),1,0)</f>
        <v>0</v>
      </c>
      <c r="X201" s="56"/>
      <c r="Y201" s="57">
        <f>IF(AND(Y195&gt;W195,$AK178&gt;7,ISNUMBER(W195),ISNUMBER(Y195)),1,0)</f>
        <v>0</v>
      </c>
      <c r="Z201" s="56">
        <f>IF(AND(Z195&gt;AB195,$AK178&gt;8,ISNUMBER(Z195),ISNUMBER(AB195)),1,0)</f>
        <v>0</v>
      </c>
      <c r="AA201" s="56"/>
      <c r="AB201" s="57">
        <f>IF(AND(AB195&gt;Z195,$AK178&gt;8,ISNUMBER(Z195),ISNUMBER(AB195)),1,0)</f>
        <v>0</v>
      </c>
      <c r="AC201" s="56">
        <f>IF(AND(AC195&gt;AE195,$AK178&gt;9,ISNUMBER(AC195),ISNUMBER(AE195)),1,0)</f>
        <v>0</v>
      </c>
      <c r="AD201" s="56"/>
      <c r="AE201" s="57">
        <f>IF(AND(AE195&gt;AC195,$AK178&gt;9,ISNUMBER(AC195),ISNUMBER(AE195)),1,0)</f>
        <v>0</v>
      </c>
    </row>
    <row r="202" spans="1:43" s="55" customFormat="1" ht="12.75" hidden="1" customHeight="1" x14ac:dyDescent="0.2">
      <c r="A202" s="55" t="s">
        <v>82</v>
      </c>
      <c r="B202" s="56">
        <f>IF(AND(B196&gt;D196,$AK178&gt;0,$AK177&gt;1,ISNUMBER(B196),ISNUMBER(D196)),1,0)</f>
        <v>0</v>
      </c>
      <c r="C202" s="56"/>
      <c r="D202" s="57">
        <f>IF(AND(D196&gt;B196,$AK178&gt;0,$AK177&gt;1,ISNUMBER(B196),ISNUMBER(D196)),1,0)</f>
        <v>1</v>
      </c>
      <c r="E202" s="56">
        <f>IF(AND(E196&gt;G196,$AK178&gt;1,$AK177&gt;1,ISNUMBER(E196),ISNUMBER(G196)),1,0)</f>
        <v>0</v>
      </c>
      <c r="F202" s="56"/>
      <c r="G202" s="57">
        <f>IF(AND(G196&gt;E196,$AK178&gt;1,$AK177&gt;1,ISNUMBER(E196),ISNUMBER(G196)),1,0)</f>
        <v>1</v>
      </c>
      <c r="H202" s="56">
        <f>IF(AND(H196&gt;J196,$AK178&gt;2,$AK177&gt;1,ISNUMBER(H196),ISNUMBER(J196)),1,0)</f>
        <v>1</v>
      </c>
      <c r="I202" s="56"/>
      <c r="J202" s="57">
        <f>IF(AND(J196&gt;H196,$AK178&gt;2,$AK177&gt;1,ISNUMBER(H196),ISNUMBER(J196)),1,0)</f>
        <v>0</v>
      </c>
      <c r="K202" s="56">
        <f>IF(AND(K196&gt;M196,$AK178&gt;3,$AK177&gt;1,ISNUMBER(K196),ISNUMBER(M196)),1,0)</f>
        <v>0</v>
      </c>
      <c r="L202" s="56"/>
      <c r="M202" s="57">
        <f>IF(AND(M196&gt;K196,$AK178&gt;3,$AK177&gt;1,ISNUMBER(K196),ISNUMBER(M196)),1,0)</f>
        <v>0</v>
      </c>
      <c r="N202" s="56">
        <f>IF(AND(N196&gt;P196,$AK178&gt;4,$AK177&gt;1,ISNUMBER(N196),ISNUMBER(P196)),1,0)</f>
        <v>0</v>
      </c>
      <c r="O202" s="56"/>
      <c r="P202" s="57">
        <f>IF(AND(P196&gt;N196,$AK178&gt;4,$AK177&gt;1,ISNUMBER(N196),ISNUMBER(P196)),1,0)</f>
        <v>0</v>
      </c>
      <c r="Q202" s="56">
        <f>IF(AND(Q196&gt;S196,$AK178&gt;5,$AK177&gt;1,ISNUMBER(Q196),ISNUMBER(S196)),1,0)</f>
        <v>0</v>
      </c>
      <c r="R202" s="56"/>
      <c r="S202" s="57">
        <f>IF(AND(S196&gt;Q196,$AK178&gt;5,$AK177&gt;1,ISNUMBER(Q196),ISNUMBER(S196)),1,0)</f>
        <v>0</v>
      </c>
      <c r="T202" s="56">
        <f>IF(AND(T196&gt;V196,$AK178&gt;6,$AK177&gt;1,ISNUMBER(T196),ISNUMBER(V196)),1,0)</f>
        <v>0</v>
      </c>
      <c r="U202" s="56"/>
      <c r="V202" s="57">
        <f>IF(AND(V196&gt;T196,$AK178&gt;6,$AK177&gt;1,ISNUMBER(T196),ISNUMBER(V196)),1,0)</f>
        <v>0</v>
      </c>
      <c r="W202" s="56">
        <f>IF(AND(W196&gt;Y196,$AK178&gt;7,$AK177&gt;1,ISNUMBER(W196),ISNUMBER(Y196)),1,0)</f>
        <v>0</v>
      </c>
      <c r="X202" s="56"/>
      <c r="Y202" s="57">
        <f>IF(AND(Y196&gt;W196,$AK178&gt;7,$AK177&gt;1,ISNUMBER(W196),ISNUMBER(Y196)),1,0)</f>
        <v>0</v>
      </c>
      <c r="Z202" s="56">
        <f>IF(AND(Z196&gt;AB196,$AK178&gt;8,$AK177&gt;1,ISNUMBER(Z196),ISNUMBER(AB196)),1,0)</f>
        <v>0</v>
      </c>
      <c r="AA202" s="56"/>
      <c r="AB202" s="57">
        <f>IF(AND(AB196&gt;Z196,$AK178&gt;8,$AK177&gt;1,ISNUMBER(Z196),ISNUMBER(AB196)),1,0)</f>
        <v>0</v>
      </c>
      <c r="AC202" s="56">
        <f>IF(AND(AC196&gt;AE196,$AK178&gt;9,$AK177&gt;1,ISNUMBER(AC196),ISNUMBER(AE196)),1,0)</f>
        <v>0</v>
      </c>
      <c r="AD202" s="56"/>
      <c r="AE202" s="57">
        <f>IF(AND(AE196&gt;AC196,$AK178&gt;9,$AK177&gt;1,ISNUMBER(AC196),ISNUMBER(AE196)),1,0)</f>
        <v>0</v>
      </c>
    </row>
    <row r="203" spans="1:43" s="55" customFormat="1" ht="12.75" hidden="1" customHeight="1" x14ac:dyDescent="0.2">
      <c r="A203" s="55" t="s">
        <v>83</v>
      </c>
      <c r="B203" s="56">
        <f>IF(AND(B197&gt;D197,$AK178&gt;0,$AK177&gt;2,ISNUMBER(B197),ISNUMBER(D197)),1,0)</f>
        <v>0</v>
      </c>
      <c r="C203" s="56"/>
      <c r="D203" s="57">
        <f>IF(AND(D197&gt;B197,$AK178&gt;0,$AK177&gt;2,ISNUMBER(B197),ISNUMBER(D197)),1,0)</f>
        <v>0</v>
      </c>
      <c r="E203" s="56">
        <f>IF(AND(E197&gt;G197,$AK178&gt;1,$AK177&gt;2,ISNUMBER(E197),ISNUMBER(G197)),1,0)</f>
        <v>0</v>
      </c>
      <c r="F203" s="56"/>
      <c r="G203" s="57">
        <f>IF(AND(G197&gt;E197,$AK178&gt;1,$AK177&gt;2,ISNUMBER(E197),ISNUMBER(G197)),1,0)</f>
        <v>0</v>
      </c>
      <c r="H203" s="56">
        <f>IF(AND(H197&gt;J197,$AK178&gt;2,$AK177&gt;2,ISNUMBER(H197),ISNUMBER(J197)),1,0)</f>
        <v>0</v>
      </c>
      <c r="I203" s="56"/>
      <c r="J203" s="57">
        <f>IF(AND(J197&gt;H197,$AK178&gt;2,$AK177&gt;2,ISNUMBER(H197),ISNUMBER(J197)),1,0)</f>
        <v>0</v>
      </c>
      <c r="K203" s="56">
        <f>IF(AND(K197&gt;M197,$AK178&gt;3,$AK177&gt;2,ISNUMBER(K197),ISNUMBER(M197)),1,0)</f>
        <v>0</v>
      </c>
      <c r="L203" s="56"/>
      <c r="M203" s="57">
        <f>IF(AND(M197&gt;K197,$AK178&gt;3,$AK177&gt;2,ISNUMBER(K197),ISNUMBER(M197)),1,0)</f>
        <v>0</v>
      </c>
      <c r="N203" s="56">
        <f>IF(AND(N197&gt;P197,$AK178&gt;4,$AK177&gt;2,ISNUMBER(N197),ISNUMBER(P197)),1,0)</f>
        <v>0</v>
      </c>
      <c r="O203" s="56"/>
      <c r="P203" s="57">
        <f>IF(AND(P197&gt;N197,$AK178&gt;4,$AK177&gt;2,ISNUMBER(N197),ISNUMBER(P197)),1,0)</f>
        <v>0</v>
      </c>
      <c r="Q203" s="56">
        <f>IF(AND(Q197&gt;S197,$AK178&gt;5,$AK177&gt;2,ISNUMBER(Q197),ISNUMBER(S197)),1,0)</f>
        <v>0</v>
      </c>
      <c r="R203" s="56"/>
      <c r="S203" s="57">
        <f>IF(AND(S197&gt;Q197,$AK178&gt;5,$AK177&gt;2,ISNUMBER(Q197),ISNUMBER(S197)),1,0)</f>
        <v>0</v>
      </c>
      <c r="T203" s="56">
        <f>IF(AND(T197&gt;V197,$AK178&gt;6,$AK177&gt;2,ISNUMBER(T197),ISNUMBER(V197)),1,0)</f>
        <v>0</v>
      </c>
      <c r="U203" s="56"/>
      <c r="V203" s="57">
        <f>IF(AND(V197&gt;T197,$AK178&gt;6,$AK177&gt;2,ISNUMBER(T197),ISNUMBER(V197)),1,0)</f>
        <v>0</v>
      </c>
      <c r="W203" s="56">
        <f>IF(AND(W197&gt;Y197,$AK178&gt;7,$AK177&gt;2,ISNUMBER(W197),ISNUMBER(Y197)),1,0)</f>
        <v>0</v>
      </c>
      <c r="X203" s="56"/>
      <c r="Y203" s="57">
        <f>IF(AND(Y197&gt;W197,$AK178&gt;7,$AK177&gt;2,ISNUMBER(W197),ISNUMBER(Y197)),1,0)</f>
        <v>0</v>
      </c>
      <c r="Z203" s="56">
        <f>IF(AND(Z197&gt;AB197,$AK178&gt;8,$AK177&gt;2,ISNUMBER(Z197),ISNUMBER(AB197)),1,0)</f>
        <v>0</v>
      </c>
      <c r="AA203" s="56"/>
      <c r="AB203" s="57">
        <f>IF(AND(AB197&gt;Z197,$AK178&gt;8,$AK177&gt;2,ISNUMBER(Z197),ISNUMBER(AB197)),1,0)</f>
        <v>0</v>
      </c>
      <c r="AC203" s="56">
        <f>IF(AND(AC197&gt;AE197,$AK178&gt;9,$AK177&gt;2,ISNUMBER(AC197),ISNUMBER(AE197)),1,0)</f>
        <v>0</v>
      </c>
      <c r="AD203" s="56"/>
      <c r="AE203" s="57">
        <f>IF(AND(AE197&gt;AC197,$AK178&gt;9,$AK177&gt;2,ISNUMBER(AC197),ISNUMBER(AE197)),1,0)</f>
        <v>0</v>
      </c>
    </row>
    <row r="204" spans="1:43" s="55" customFormat="1" ht="12.75" hidden="1" customHeight="1" x14ac:dyDescent="0.2">
      <c r="A204" s="55" t="s">
        <v>84</v>
      </c>
      <c r="B204" s="56">
        <f>IF(AND(B198&gt;D198,$AK178&gt;0,$AK177&gt;3,ISNUMBER(B198),ISNUMBER(D198)),1,0)</f>
        <v>0</v>
      </c>
      <c r="C204" s="56"/>
      <c r="D204" s="57">
        <f>IF(AND(D198&gt;B198,$AK178&gt;0,$AK177&gt;3,ISNUMBER(B198),ISNUMBER(D198)),1,0)</f>
        <v>0</v>
      </c>
      <c r="E204" s="56">
        <f>IF(AND(E198&gt;G198,$AK178&gt;1,$AK177&gt;3,ISNUMBER(E198),ISNUMBER(G198)),1,0)</f>
        <v>0</v>
      </c>
      <c r="F204" s="56"/>
      <c r="G204" s="57">
        <f>IF(AND(G198&gt;E198,$AK178&gt;1,$AK177&gt;3,ISNUMBER(E198),ISNUMBER(G198)),1,0)</f>
        <v>0</v>
      </c>
      <c r="H204" s="56">
        <f>IF(AND(H198&gt;J198,$AK178&gt;2,$AK177&gt;3,ISNUMBER(H198),ISNUMBER(J198)),1,0)</f>
        <v>0</v>
      </c>
      <c r="I204" s="56"/>
      <c r="J204" s="57">
        <f>IF(AND(J198&gt;H198,$AK178&gt;2,$AK177&gt;3,ISNUMBER(H198),ISNUMBER(J198)),1,0)</f>
        <v>0</v>
      </c>
      <c r="K204" s="56">
        <f>IF(AND(K198&gt;M198,$AK178&gt;3,$AK177&gt;3,ISNUMBER(K198),ISNUMBER(M198)),1,0)</f>
        <v>0</v>
      </c>
      <c r="L204" s="56"/>
      <c r="M204" s="57">
        <f>IF(AND(M198&gt;K198,$AK178&gt;3,$AK177&gt;3,ISNUMBER(K198),ISNUMBER(M198)),1,0)</f>
        <v>0</v>
      </c>
      <c r="N204" s="56">
        <f>IF(AND(N198&gt;P198,$AK178&gt;4,$AK177&gt;3,ISNUMBER(N198),ISNUMBER(P198)),1,0)</f>
        <v>0</v>
      </c>
      <c r="O204" s="56"/>
      <c r="P204" s="57">
        <f>IF(AND(P198&gt;N198,$AK178&gt;4,$AK177&gt;3,ISNUMBER(N198),ISNUMBER(P198)),1,0)</f>
        <v>0</v>
      </c>
      <c r="Q204" s="56">
        <f>IF(AND(Q198&gt;S198,$AK178&gt;5,$AK177&gt;3,ISNUMBER(Q198),ISNUMBER(S198)),1,0)</f>
        <v>0</v>
      </c>
      <c r="R204" s="56"/>
      <c r="S204" s="57">
        <f>IF(AND(S198&gt;Q198,$AK178&gt;5,$AK177&gt;3,ISNUMBER(Q198),ISNUMBER(S198)),1,0)</f>
        <v>0</v>
      </c>
      <c r="T204" s="56">
        <f>IF(AND(T198&gt;V198,$AK178&gt;6,$AK177&gt;3,ISNUMBER(T198),ISNUMBER(V198)),1,0)</f>
        <v>0</v>
      </c>
      <c r="U204" s="56"/>
      <c r="V204" s="57">
        <f>IF(AND(V198&gt;T198,$AK178&gt;6,$AK177&gt;3,ISNUMBER(T198),ISNUMBER(V198)),1,0)</f>
        <v>0</v>
      </c>
      <c r="W204" s="56">
        <f>IF(AND(W198&gt;Y198,$AK178&gt;7,$AK177&gt;3,ISNUMBER(W198),ISNUMBER(Y198)),1,0)</f>
        <v>0</v>
      </c>
      <c r="X204" s="56"/>
      <c r="Y204" s="57">
        <f>IF(AND(Y198&gt;W198,$AK178&gt;7,$AK177&gt;3,ISNUMBER(W198),ISNUMBER(Y198)),1,0)</f>
        <v>0</v>
      </c>
      <c r="Z204" s="56">
        <f>IF(AND(Z198&gt;AB198,$AK178&gt;8,$AK177&gt;3,ISNUMBER(Z198),ISNUMBER(AB198)),1,0)</f>
        <v>0</v>
      </c>
      <c r="AA204" s="56"/>
      <c r="AB204" s="57">
        <f>IF(AND(AB198&gt;Z198,$AK178&gt;8,$AK177&gt;3,ISNUMBER(Z198),ISNUMBER(AB198)),1,0)</f>
        <v>0</v>
      </c>
      <c r="AC204" s="56">
        <f>IF(AND(AC198&gt;AE198,$AK178&gt;9,$AK177&gt;3,ISNUMBER(AC198),ISNUMBER(AE198)),1,0)</f>
        <v>0</v>
      </c>
      <c r="AD204" s="56"/>
      <c r="AE204" s="57">
        <f>IF(AND(AE198&gt;AC198,$AK178&gt;9,$AK177&gt;3,ISNUMBER(AC198),ISNUMBER(AE198)),1,0)</f>
        <v>0</v>
      </c>
    </row>
    <row r="205" spans="1:43" s="55" customFormat="1" ht="12.75" hidden="1" customHeight="1" x14ac:dyDescent="0.2">
      <c r="A205" s="55" t="s">
        <v>85</v>
      </c>
      <c r="B205" s="56">
        <f>IF(AND(B199&gt;D199,$AK178&gt;0,$AK177&gt;4,ISNUMBER(B199),ISNUMBER(D199)),1,0)</f>
        <v>0</v>
      </c>
      <c r="C205" s="56"/>
      <c r="D205" s="57">
        <f>IF(AND(D199&gt;B199,$AK178&gt;0,$AK177&gt;4,ISNUMBER(B199),ISNUMBER(D199)),1,0)</f>
        <v>0</v>
      </c>
      <c r="E205" s="56">
        <f>IF(AND(E199&gt;G199,$AK178&gt;1,$AK177&gt;4,ISNUMBER(E199),ISNUMBER(G199)),1,0)</f>
        <v>0</v>
      </c>
      <c r="F205" s="56"/>
      <c r="G205" s="57">
        <f>IF(AND(G199&gt;E199,$AK178&gt;1,$AK177&gt;4,ISNUMBER(E199),ISNUMBER(G199)),1,0)</f>
        <v>0</v>
      </c>
      <c r="H205" s="56">
        <f>IF(AND(H199&gt;J199,$AK178&gt;2,$AK177&gt;4,ISNUMBER(H199),ISNUMBER(J199)),1,0)</f>
        <v>0</v>
      </c>
      <c r="I205" s="56"/>
      <c r="J205" s="57">
        <f>IF(AND(J199&gt;H199,$AK178&gt;2,$AK177&gt;4,ISNUMBER(H199),ISNUMBER(J199)),1,0)</f>
        <v>0</v>
      </c>
      <c r="K205" s="56">
        <f>IF(AND(K199&gt;M199,$AK178&gt;3,$AK177&gt;4,ISNUMBER(K199),ISNUMBER(M199)),1,0)</f>
        <v>0</v>
      </c>
      <c r="L205" s="56"/>
      <c r="M205" s="57">
        <f>IF(AND(M199&gt;K199,$AK178&gt;3,$AK177&gt;4,ISNUMBER(K199),ISNUMBER(M199)),1,0)</f>
        <v>0</v>
      </c>
      <c r="N205" s="56">
        <f>IF(AND(N199&gt;P199,$AK178&gt;4,$AK177&gt;4,ISNUMBER(N199),ISNUMBER(P199)),1,0)</f>
        <v>0</v>
      </c>
      <c r="O205" s="56"/>
      <c r="P205" s="57">
        <f>IF(AND(P199&gt;N199,$AK178&gt;4,$AK177&gt;4,ISNUMBER(N199),ISNUMBER(P199)),1,0)</f>
        <v>0</v>
      </c>
      <c r="Q205" s="56">
        <f>IF(AND(Q199&gt;S199,$AK178&gt;5,$AK177&gt;4,ISNUMBER(Q199),ISNUMBER(S199)),1,0)</f>
        <v>0</v>
      </c>
      <c r="R205" s="56"/>
      <c r="S205" s="57">
        <f>IF(AND(S199&gt;Q199,$AK178&gt;5,$AK177&gt;4,ISNUMBER(Q199),ISNUMBER(S199)),1,0)</f>
        <v>0</v>
      </c>
      <c r="T205" s="56">
        <f>IF(AND(T199&gt;V199,$AK178&gt;6,$AK177&gt;4,ISNUMBER(T199),ISNUMBER(V199)),1,0)</f>
        <v>0</v>
      </c>
      <c r="U205" s="56"/>
      <c r="V205" s="57">
        <f>IF(AND(V199&gt;T199,$AK178&gt;6,$AK177&gt;4,ISNUMBER(T199),ISNUMBER(V199)),1,0)</f>
        <v>0</v>
      </c>
      <c r="W205" s="56">
        <f>IF(AND(W199&gt;Y199,$AK178&gt;7,$AK177&gt;4,ISNUMBER(W199),ISNUMBER(Y199)),1,0)</f>
        <v>0</v>
      </c>
      <c r="X205" s="56"/>
      <c r="Y205" s="57">
        <f>IF(AND(Y199&gt;W199,$AK178&gt;7,$AK177&gt;4,ISNUMBER(W199),ISNUMBER(Y199)),1,0)</f>
        <v>0</v>
      </c>
      <c r="Z205" s="56">
        <f>IF(AND(Z199&gt;AB199,$AK178&gt;8,$AK177&gt;4,ISNUMBER(Z199),ISNUMBER(AB199)),1,0)</f>
        <v>0</v>
      </c>
      <c r="AA205" s="56"/>
      <c r="AB205" s="57">
        <f>IF(AND(AB199&gt;Z199,$AK178&gt;8,$AK177&gt;4,ISNUMBER(Z199),ISNUMBER(AB199)),1,0)</f>
        <v>0</v>
      </c>
      <c r="AC205" s="56">
        <f>IF(AND(AC199&gt;AE199,$AK178&gt;9,$AK177&gt;4,ISNUMBER(AC199),ISNUMBER(AE199)),1,0)</f>
        <v>0</v>
      </c>
      <c r="AD205" s="56"/>
      <c r="AE205" s="57">
        <f>IF(AND(AE199&gt;AC199,$AK178&gt;9,$AK177&gt;4,ISNUMBER(AC199),ISNUMBER(AE199)),1,0)</f>
        <v>0</v>
      </c>
    </row>
    <row r="206" spans="1:43" s="55" customFormat="1" ht="38.25" hidden="1" customHeight="1" x14ac:dyDescent="0.2">
      <c r="A206" s="59" t="s">
        <v>86</v>
      </c>
      <c r="B206" s="55">
        <f>SUM(B201:B205)</f>
        <v>1</v>
      </c>
      <c r="D206" s="60">
        <f>SUM(D201:D205)</f>
        <v>1</v>
      </c>
      <c r="E206" s="55">
        <f>SUM(E201:E205)</f>
        <v>1</v>
      </c>
      <c r="G206" s="60">
        <f>SUM(G201:G205)</f>
        <v>1</v>
      </c>
      <c r="H206" s="55">
        <f>SUM(H201:H205)</f>
        <v>2</v>
      </c>
      <c r="J206" s="60">
        <f>SUM(J201:J205)</f>
        <v>0</v>
      </c>
      <c r="K206" s="55">
        <f>SUM(K201:K205)</f>
        <v>0</v>
      </c>
      <c r="M206" s="60">
        <f>SUM(M201:M205)</f>
        <v>0</v>
      </c>
      <c r="N206" s="55">
        <f>SUM(N201:N205)</f>
        <v>0</v>
      </c>
      <c r="P206" s="60">
        <f>SUM(P201:P205)</f>
        <v>0</v>
      </c>
      <c r="Q206" s="55">
        <f>SUM(Q201:Q205)</f>
        <v>0</v>
      </c>
      <c r="S206" s="60">
        <f>SUM(S201:S205)</f>
        <v>0</v>
      </c>
      <c r="T206" s="55">
        <f>SUM(T201:T205)</f>
        <v>0</v>
      </c>
      <c r="V206" s="60">
        <f>SUM(V201:V205)</f>
        <v>0</v>
      </c>
      <c r="W206" s="55">
        <f>SUM(W201:W205)</f>
        <v>0</v>
      </c>
      <c r="Y206" s="60">
        <f>SUM(Y201:Y205)</f>
        <v>0</v>
      </c>
      <c r="Z206" s="55">
        <f>SUM(Z201:Z205)</f>
        <v>0</v>
      </c>
      <c r="AB206" s="60">
        <f>SUM(AB201:AB205)</f>
        <v>0</v>
      </c>
      <c r="AC206" s="55">
        <f>SUM(AC201:AC205)</f>
        <v>0</v>
      </c>
      <c r="AE206" s="60">
        <f>SUM(AE201:AE205)</f>
        <v>0</v>
      </c>
    </row>
    <row r="207" spans="1:43" s="55" customFormat="1" ht="25.5" hidden="1" customHeight="1" x14ac:dyDescent="0.2">
      <c r="A207" s="59" t="s">
        <v>87</v>
      </c>
      <c r="B207" s="55">
        <f>IF(B206&gt;D206,IF(C241=AK177,1,IF(C241=AK177-1,1,0)),0)</f>
        <v>0</v>
      </c>
      <c r="C207" s="55">
        <f>B207+D207</f>
        <v>0</v>
      </c>
      <c r="D207" s="60">
        <f>IF(D206&gt;B206,IF(C241=AK177,1,IF(C241=AK177-1,1,0)),0)</f>
        <v>0</v>
      </c>
      <c r="E207" s="55">
        <f>IF(E206&gt;G206,IF(F241=AK177,1,IF(F241=AK177-1,1,0)),0)</f>
        <v>0</v>
      </c>
      <c r="F207" s="55">
        <f>E207+G207</f>
        <v>0</v>
      </c>
      <c r="G207" s="60">
        <f>IF(G206&gt;E206,IF(F241=AK177,1,IF(F241=AK177-1,1,0)),0)</f>
        <v>0</v>
      </c>
      <c r="H207" s="55">
        <f>IF(H206&gt;J206,IF(I241=AK177,1,IF(I241=AK177-1,1,0)),0)</f>
        <v>1</v>
      </c>
      <c r="I207" s="55">
        <f>H207+J207</f>
        <v>1</v>
      </c>
      <c r="J207" s="60">
        <f>IF(J206&gt;H206,IF(I241=AK177,1,IF(I241=AK177-1,1,0)),0)</f>
        <v>0</v>
      </c>
      <c r="K207" s="55">
        <f>IF(K206&gt;M206,IF(L241=AK177,1,IF(L241=AK177-1,1,0)),0)</f>
        <v>0</v>
      </c>
      <c r="L207" s="55">
        <f>K207+M207</f>
        <v>0</v>
      </c>
      <c r="M207" s="60">
        <f>IF(M206&gt;K206,IF(L241=AK177,1,IF(L241=AK177-1,1,0)),0)</f>
        <v>0</v>
      </c>
      <c r="N207" s="55">
        <f>IF(N206&gt;P206,IF(O241=AK177,1,IF(O241=AK177-1,1,0)),0)</f>
        <v>0</v>
      </c>
      <c r="O207" s="55">
        <f>N207+P207</f>
        <v>0</v>
      </c>
      <c r="P207" s="60">
        <f>IF(P206&gt;N206,IF(O241=AK177,1,IF(O241=AK177-1,1,0)),0)</f>
        <v>0</v>
      </c>
      <c r="Q207" s="55">
        <f>IF(Q206&gt;S206,IF(R241=AK177,1,IF(R241=AK177-1,1,0)),0)</f>
        <v>0</v>
      </c>
      <c r="R207" s="55">
        <f>Q207+S207</f>
        <v>0</v>
      </c>
      <c r="S207" s="60">
        <f>IF(S206&gt;Q206,IF(R241=AK177,1,IF(R241=AK177-1,1,0)),0)</f>
        <v>0</v>
      </c>
      <c r="T207" s="55">
        <f>IF(T206&gt;V206,IF(U241=AK177,1,IF(U241=AK177-1,1,0)),0)</f>
        <v>0</v>
      </c>
      <c r="U207" s="55">
        <f>T207+V207</f>
        <v>0</v>
      </c>
      <c r="V207" s="60">
        <f>IF(V206&gt;T206,IF(U241=AK177,1,IF(U241=AK177-1,1,0)),0)</f>
        <v>0</v>
      </c>
      <c r="W207" s="55">
        <f>IF(W206&gt;Y206,IF(X241=AK177,1,IF(X241=AK177-1,1,0)),0)</f>
        <v>0</v>
      </c>
      <c r="X207" s="55">
        <f>W207+Y207</f>
        <v>0</v>
      </c>
      <c r="Y207" s="60">
        <f>IF(Y206&gt;W206,IF(X241=AK177,1,IF(X241=AK177-1,1,0)),0)</f>
        <v>0</v>
      </c>
      <c r="Z207" s="55">
        <f>IF(Z206&gt;AB206,IF(AA241=AK177,1,IF(AA241=AK177-1,1,0)),0)</f>
        <v>0</v>
      </c>
      <c r="AA207" s="55">
        <f>Z207+AB207</f>
        <v>0</v>
      </c>
      <c r="AB207" s="60">
        <f>IF(AB206&gt;Z206,IF(AA241=AK177,1,IF(AA241=AK177-1,1,0)),0)</f>
        <v>0</v>
      </c>
      <c r="AC207" s="55">
        <f>IF(AC206&gt;AE206,IF(AD241=AK177,1,IF(AD241=AK177-1,1,0)),0)</f>
        <v>0</v>
      </c>
      <c r="AD207" s="55">
        <f>AC207+AE207</f>
        <v>0</v>
      </c>
      <c r="AE207" s="60">
        <f>IF(AE206&gt;AC206,IF(AD241=AK177,1,IF(AD241=AK177-1,1,0)),0)</f>
        <v>0</v>
      </c>
    </row>
    <row r="208" spans="1:43" s="55" customFormat="1" ht="25.5" hidden="1" customHeight="1" x14ac:dyDescent="0.2">
      <c r="A208" s="59"/>
      <c r="D208" s="60"/>
      <c r="G208" s="60"/>
      <c r="J208" s="60"/>
      <c r="M208" s="60"/>
      <c r="P208" s="60"/>
      <c r="S208" s="60"/>
      <c r="V208" s="60"/>
      <c r="Y208" s="60"/>
      <c r="AB208" s="60"/>
      <c r="AE208" s="60"/>
    </row>
    <row r="209" spans="1:33" s="55" customFormat="1" ht="12.75" hidden="1" customHeight="1" x14ac:dyDescent="0.2">
      <c r="A209" s="55" t="s">
        <v>88</v>
      </c>
      <c r="B209" s="55">
        <f>IF(B201=1,B195,0)</f>
        <v>25</v>
      </c>
      <c r="D209" s="60">
        <f t="shared" ref="D209:E213" si="20">IF(D201=1,D195,0)</f>
        <v>0</v>
      </c>
      <c r="E209" s="55">
        <f t="shared" si="20"/>
        <v>20</v>
      </c>
      <c r="G209" s="60">
        <f t="shared" ref="G209:H213" si="21">IF(G201=1,G195,0)</f>
        <v>0</v>
      </c>
      <c r="H209" s="55">
        <f t="shared" si="21"/>
        <v>25</v>
      </c>
      <c r="J209" s="60">
        <f t="shared" ref="J209:K213" si="22">IF(J201=1,J195,0)</f>
        <v>0</v>
      </c>
      <c r="K209" s="55">
        <f t="shared" si="22"/>
        <v>0</v>
      </c>
      <c r="M209" s="60">
        <f t="shared" ref="M209:N213" si="23">IF(M201=1,M195,0)</f>
        <v>0</v>
      </c>
      <c r="N209" s="55">
        <f t="shared" si="23"/>
        <v>0</v>
      </c>
      <c r="P209" s="60">
        <f t="shared" ref="P209:Q213" si="24">IF(P201=1,P195,0)</f>
        <v>0</v>
      </c>
      <c r="Q209" s="55">
        <f t="shared" si="24"/>
        <v>0</v>
      </c>
      <c r="S209" s="60">
        <f t="shared" ref="S209:T213" si="25">IF(S201=1,S195,0)</f>
        <v>0</v>
      </c>
      <c r="T209" s="55">
        <f t="shared" si="25"/>
        <v>0</v>
      </c>
      <c r="V209" s="60">
        <f t="shared" ref="V209:W213" si="26">IF(V201=1,V195,0)</f>
        <v>0</v>
      </c>
      <c r="W209" s="55">
        <f t="shared" si="26"/>
        <v>0</v>
      </c>
      <c r="Y209" s="60">
        <f t="shared" ref="Y209:Z213" si="27">IF(Y201=1,Y195,0)</f>
        <v>0</v>
      </c>
      <c r="Z209" s="55">
        <f t="shared" si="27"/>
        <v>0</v>
      </c>
      <c r="AB209" s="60">
        <f t="shared" ref="AB209:AC213" si="28">IF(AB201=1,AB195,0)</f>
        <v>0</v>
      </c>
      <c r="AC209" s="55">
        <f t="shared" si="28"/>
        <v>0</v>
      </c>
      <c r="AE209" s="60">
        <f>IF(AE201=1,AE195,0)</f>
        <v>0</v>
      </c>
    </row>
    <row r="210" spans="1:33" s="55" customFormat="1" ht="12.75" hidden="1" customHeight="1" x14ac:dyDescent="0.2">
      <c r="A210" s="55" t="s">
        <v>89</v>
      </c>
      <c r="B210" s="55">
        <f>IF(B202=1,B196,0)</f>
        <v>0</v>
      </c>
      <c r="D210" s="60">
        <f t="shared" si="20"/>
        <v>28</v>
      </c>
      <c r="E210" s="55">
        <f t="shared" si="20"/>
        <v>0</v>
      </c>
      <c r="G210" s="60">
        <f t="shared" si="21"/>
        <v>22</v>
      </c>
      <c r="H210" s="55">
        <f t="shared" si="21"/>
        <v>23</v>
      </c>
      <c r="J210" s="60">
        <f t="shared" si="22"/>
        <v>0</v>
      </c>
      <c r="K210" s="55">
        <f t="shared" si="22"/>
        <v>0</v>
      </c>
      <c r="M210" s="60">
        <f t="shared" si="23"/>
        <v>0</v>
      </c>
      <c r="N210" s="55">
        <f t="shared" si="23"/>
        <v>0</v>
      </c>
      <c r="P210" s="60">
        <f t="shared" si="24"/>
        <v>0</v>
      </c>
      <c r="Q210" s="55">
        <f t="shared" si="24"/>
        <v>0</v>
      </c>
      <c r="S210" s="60">
        <f t="shared" si="25"/>
        <v>0</v>
      </c>
      <c r="T210" s="55">
        <f t="shared" si="25"/>
        <v>0</v>
      </c>
      <c r="V210" s="60">
        <f t="shared" si="26"/>
        <v>0</v>
      </c>
      <c r="W210" s="55">
        <f t="shared" si="26"/>
        <v>0</v>
      </c>
      <c r="Y210" s="60">
        <f t="shared" si="27"/>
        <v>0</v>
      </c>
      <c r="Z210" s="55">
        <f t="shared" si="27"/>
        <v>0</v>
      </c>
      <c r="AB210" s="60">
        <f t="shared" si="28"/>
        <v>0</v>
      </c>
      <c r="AC210" s="55">
        <f t="shared" si="28"/>
        <v>0</v>
      </c>
      <c r="AE210" s="60">
        <f>IF(AE202=1,AE196,0)</f>
        <v>0</v>
      </c>
    </row>
    <row r="211" spans="1:33" s="55" customFormat="1" ht="12.75" hidden="1" customHeight="1" x14ac:dyDescent="0.2">
      <c r="A211" s="55" t="s">
        <v>90</v>
      </c>
      <c r="B211" s="55">
        <f>IF(B203=1,B197,0)</f>
        <v>0</v>
      </c>
      <c r="D211" s="60">
        <f t="shared" si="20"/>
        <v>0</v>
      </c>
      <c r="E211" s="55">
        <f t="shared" si="20"/>
        <v>0</v>
      </c>
      <c r="G211" s="60">
        <f t="shared" si="21"/>
        <v>0</v>
      </c>
      <c r="H211" s="55">
        <f t="shared" si="21"/>
        <v>0</v>
      </c>
      <c r="J211" s="60">
        <f t="shared" si="22"/>
        <v>0</v>
      </c>
      <c r="K211" s="55">
        <f t="shared" si="22"/>
        <v>0</v>
      </c>
      <c r="M211" s="60">
        <f t="shared" si="23"/>
        <v>0</v>
      </c>
      <c r="N211" s="55">
        <f t="shared" si="23"/>
        <v>0</v>
      </c>
      <c r="P211" s="60">
        <f t="shared" si="24"/>
        <v>0</v>
      </c>
      <c r="Q211" s="55">
        <f t="shared" si="24"/>
        <v>0</v>
      </c>
      <c r="S211" s="60">
        <f t="shared" si="25"/>
        <v>0</v>
      </c>
      <c r="T211" s="55">
        <f t="shared" si="25"/>
        <v>0</v>
      </c>
      <c r="V211" s="60">
        <f t="shared" si="26"/>
        <v>0</v>
      </c>
      <c r="W211" s="55">
        <f t="shared" si="26"/>
        <v>0</v>
      </c>
      <c r="Y211" s="60">
        <f t="shared" si="27"/>
        <v>0</v>
      </c>
      <c r="Z211" s="55">
        <f t="shared" si="27"/>
        <v>0</v>
      </c>
      <c r="AB211" s="60">
        <f t="shared" si="28"/>
        <v>0</v>
      </c>
      <c r="AC211" s="55">
        <f t="shared" si="28"/>
        <v>0</v>
      </c>
      <c r="AE211" s="60">
        <f>IF(AE203=1,AE197,0)</f>
        <v>0</v>
      </c>
    </row>
    <row r="212" spans="1:33" s="55" customFormat="1" ht="12.75" hidden="1" customHeight="1" x14ac:dyDescent="0.2">
      <c r="A212" s="55" t="s">
        <v>91</v>
      </c>
      <c r="B212" s="55">
        <f>IF(B204=1,B198,0)</f>
        <v>0</v>
      </c>
      <c r="D212" s="60">
        <f t="shared" si="20"/>
        <v>0</v>
      </c>
      <c r="E212" s="55">
        <f t="shared" si="20"/>
        <v>0</v>
      </c>
      <c r="G212" s="60">
        <f t="shared" si="21"/>
        <v>0</v>
      </c>
      <c r="H212" s="55">
        <f t="shared" si="21"/>
        <v>0</v>
      </c>
      <c r="J212" s="60">
        <f t="shared" si="22"/>
        <v>0</v>
      </c>
      <c r="K212" s="55">
        <f t="shared" si="22"/>
        <v>0</v>
      </c>
      <c r="M212" s="60">
        <f t="shared" si="23"/>
        <v>0</v>
      </c>
      <c r="N212" s="55">
        <f t="shared" si="23"/>
        <v>0</v>
      </c>
      <c r="P212" s="60">
        <f t="shared" si="24"/>
        <v>0</v>
      </c>
      <c r="Q212" s="55">
        <f t="shared" si="24"/>
        <v>0</v>
      </c>
      <c r="S212" s="60">
        <f t="shared" si="25"/>
        <v>0</v>
      </c>
      <c r="T212" s="55">
        <f t="shared" si="25"/>
        <v>0</v>
      </c>
      <c r="V212" s="60">
        <f t="shared" si="26"/>
        <v>0</v>
      </c>
      <c r="W212" s="55">
        <f t="shared" si="26"/>
        <v>0</v>
      </c>
      <c r="Y212" s="60">
        <f t="shared" si="27"/>
        <v>0</v>
      </c>
      <c r="Z212" s="55">
        <f t="shared" si="27"/>
        <v>0</v>
      </c>
      <c r="AB212" s="60">
        <f t="shared" si="28"/>
        <v>0</v>
      </c>
      <c r="AC212" s="55">
        <f t="shared" si="28"/>
        <v>0</v>
      </c>
      <c r="AE212" s="60">
        <f>IF(AE204=1,AE198,0)</f>
        <v>0</v>
      </c>
    </row>
    <row r="213" spans="1:33" s="55" customFormat="1" ht="12.75" hidden="1" customHeight="1" x14ac:dyDescent="0.2">
      <c r="A213" s="55" t="s">
        <v>92</v>
      </c>
      <c r="B213" s="55">
        <f>IF(B205=1,B199,0)</f>
        <v>0</v>
      </c>
      <c r="D213" s="60">
        <f t="shared" si="20"/>
        <v>0</v>
      </c>
      <c r="E213" s="55">
        <f t="shared" si="20"/>
        <v>0</v>
      </c>
      <c r="G213" s="60">
        <f t="shared" si="21"/>
        <v>0</v>
      </c>
      <c r="H213" s="55">
        <f t="shared" si="21"/>
        <v>0</v>
      </c>
      <c r="J213" s="60">
        <f t="shared" si="22"/>
        <v>0</v>
      </c>
      <c r="K213" s="55">
        <f t="shared" si="22"/>
        <v>0</v>
      </c>
      <c r="M213" s="60">
        <f t="shared" si="23"/>
        <v>0</v>
      </c>
      <c r="N213" s="55">
        <f t="shared" si="23"/>
        <v>0</v>
      </c>
      <c r="P213" s="60">
        <f t="shared" si="24"/>
        <v>0</v>
      </c>
      <c r="Q213" s="55">
        <f t="shared" si="24"/>
        <v>0</v>
      </c>
      <c r="S213" s="60">
        <f t="shared" si="25"/>
        <v>0</v>
      </c>
      <c r="T213" s="55">
        <f t="shared" si="25"/>
        <v>0</v>
      </c>
      <c r="V213" s="60">
        <f t="shared" si="26"/>
        <v>0</v>
      </c>
      <c r="W213" s="55">
        <f t="shared" si="26"/>
        <v>0</v>
      </c>
      <c r="Y213" s="60">
        <f t="shared" si="27"/>
        <v>0</v>
      </c>
      <c r="Z213" s="55">
        <f t="shared" si="27"/>
        <v>0</v>
      </c>
      <c r="AB213" s="60">
        <f t="shared" si="28"/>
        <v>0</v>
      </c>
      <c r="AC213" s="55">
        <f t="shared" si="28"/>
        <v>0</v>
      </c>
      <c r="AE213" s="60">
        <f>IF(AE205=1,AE199,0)</f>
        <v>0</v>
      </c>
    </row>
    <row r="214" spans="1:33" s="55" customFormat="1" ht="38.25" hidden="1" customHeight="1" x14ac:dyDescent="0.2">
      <c r="A214" s="59" t="s">
        <v>93</v>
      </c>
      <c r="B214" s="55">
        <f>SUM(B209:D213)</f>
        <v>53</v>
      </c>
      <c r="D214" s="60"/>
      <c r="E214" s="55">
        <f>SUM(E209:G213)</f>
        <v>42</v>
      </c>
      <c r="G214" s="60"/>
      <c r="H214" s="55">
        <f>SUM(H209:J213)</f>
        <v>48</v>
      </c>
      <c r="J214" s="60"/>
      <c r="K214" s="55">
        <f>SUM(K209:M213)</f>
        <v>0</v>
      </c>
      <c r="M214" s="60"/>
      <c r="N214" s="55">
        <f>SUM(N209:P213)</f>
        <v>0</v>
      </c>
      <c r="P214" s="60"/>
      <c r="Q214" s="55">
        <f>SUM(Q209:S213)</f>
        <v>0</v>
      </c>
      <c r="S214" s="60"/>
      <c r="T214" s="55">
        <f>SUM(T209:V213)</f>
        <v>0</v>
      </c>
      <c r="V214" s="60"/>
      <c r="W214" s="55">
        <f>SUM(W209:Y213)</f>
        <v>0</v>
      </c>
      <c r="Y214" s="60"/>
      <c r="Z214" s="55">
        <f>SUM(Z209:AB213)</f>
        <v>0</v>
      </c>
      <c r="AB214" s="60"/>
      <c r="AC214" s="55">
        <f>SUM(AC209:AE213)</f>
        <v>0</v>
      </c>
      <c r="AE214" s="60"/>
    </row>
    <row r="215" spans="1:33" s="55" customFormat="1" ht="38.25" hidden="1" customHeight="1" x14ac:dyDescent="0.2">
      <c r="A215" s="55" t="s">
        <v>94</v>
      </c>
      <c r="D215" s="60"/>
      <c r="G215" s="60"/>
      <c r="J215" s="60"/>
      <c r="M215" s="60"/>
      <c r="P215" s="60"/>
      <c r="S215" s="60"/>
      <c r="V215" s="60"/>
      <c r="Y215" s="60"/>
      <c r="AB215" s="60"/>
      <c r="AE215" s="60"/>
      <c r="AF215" s="59" t="s">
        <v>95</v>
      </c>
      <c r="AG215" s="55" t="s">
        <v>96</v>
      </c>
    </row>
    <row r="216" spans="1:33" s="55" customFormat="1" ht="12.75" hidden="1" customHeight="1" x14ac:dyDescent="0.2">
      <c r="A216" s="55" t="s">
        <v>97</v>
      </c>
      <c r="B216" s="55">
        <f>IF(B194=1,IF(B207=1,1,0),0)</f>
        <v>0</v>
      </c>
      <c r="D216" s="60">
        <f>IF(D194=1,IF(D207=1,1,0),0)</f>
        <v>0</v>
      </c>
      <c r="E216" s="55">
        <f>IF(E194=1,IF(E207=1,1,0),0)</f>
        <v>0</v>
      </c>
      <c r="G216" s="60">
        <f>IF(G194=1,IF(G207=1,1,0),0)</f>
        <v>0</v>
      </c>
      <c r="H216" s="55">
        <f>IF(H194=1,IF(H207=1,1,0),0)</f>
        <v>1</v>
      </c>
      <c r="J216" s="60">
        <f>IF(J194=1,IF(J207=1,1,0),0)</f>
        <v>0</v>
      </c>
      <c r="K216" s="55">
        <f>IF(K194=1,IF(K207=1,1,0),0)</f>
        <v>0</v>
      </c>
      <c r="M216" s="60">
        <f>IF(M194=1,IF(M207=1,1,0),0)</f>
        <v>0</v>
      </c>
      <c r="N216" s="55">
        <f>IF(N194=1,IF(N207=1,1,0),0)</f>
        <v>0</v>
      </c>
      <c r="P216" s="60">
        <f>IF(P194=1,IF(P207=1,1,0),0)</f>
        <v>0</v>
      </c>
      <c r="Q216" s="55">
        <f>IF(Q194=1,IF(Q207=1,1,0),0)</f>
        <v>0</v>
      </c>
      <c r="S216" s="60">
        <f>IF(S194=1,IF(S207=1,1,0),0)</f>
        <v>0</v>
      </c>
      <c r="T216" s="55">
        <f>IF(T194=1,IF(T207=1,1,0),0)</f>
        <v>0</v>
      </c>
      <c r="V216" s="60">
        <f>IF(V194=1,IF(V207=1,1,0),0)</f>
        <v>0</v>
      </c>
      <c r="W216" s="55">
        <f>IF(W194=1,IF(W207=1,1,0),0)</f>
        <v>0</v>
      </c>
      <c r="Y216" s="60">
        <f>IF(Y194=1,IF(Y207=1,1,0),0)</f>
        <v>0</v>
      </c>
      <c r="Z216" s="55">
        <f>IF(Z194=1,IF(Z207=1,1,0),0)</f>
        <v>0</v>
      </c>
      <c r="AB216" s="60">
        <f>IF(AB194=1,IF(AB207=1,1,0),0)</f>
        <v>0</v>
      </c>
      <c r="AC216" s="55">
        <f>IF(AC194=1,IF(AC207=1,1,0),0)</f>
        <v>0</v>
      </c>
      <c r="AE216" s="60">
        <f>IF(AE194=1,IF(AE207=1,1,0),0)</f>
        <v>0</v>
      </c>
      <c r="AF216" s="55">
        <f>SUM(B216:AE216)</f>
        <v>1</v>
      </c>
      <c r="AG216" s="55">
        <f>AF222-AF216</f>
        <v>0</v>
      </c>
    </row>
    <row r="217" spans="1:33" s="55" customFormat="1" ht="12.75" hidden="1" customHeight="1" x14ac:dyDescent="0.2">
      <c r="A217" s="55" t="s">
        <v>98</v>
      </c>
      <c r="B217" s="55">
        <f>IF(B194=2,IF(B207=1,1,0),0)</f>
        <v>0</v>
      </c>
      <c r="D217" s="60">
        <f>IF(D194=2,IF(D207=1,1,0),0)</f>
        <v>0</v>
      </c>
      <c r="E217" s="55">
        <f>IF(E194=2,IF(E207=1,1,0),0)</f>
        <v>0</v>
      </c>
      <c r="G217" s="60">
        <f>IF(G194=2,IF(G207=1,1,0),0)</f>
        <v>0</v>
      </c>
      <c r="H217" s="55">
        <f>IF(H194=2,IF(H207=1,1,0),0)</f>
        <v>0</v>
      </c>
      <c r="J217" s="60">
        <f>IF(J194=2,IF(J207=1,1,0),0)</f>
        <v>0</v>
      </c>
      <c r="K217" s="55">
        <f>IF(K194=2,IF(K207=1,1,0),0)</f>
        <v>0</v>
      </c>
      <c r="M217" s="60">
        <f>IF(M194=2,IF(M207=1,1,0),0)</f>
        <v>0</v>
      </c>
      <c r="N217" s="55">
        <f>IF(N194=2,IF(N207=1,1,0),0)</f>
        <v>0</v>
      </c>
      <c r="P217" s="60">
        <f>IF(P194=2,IF(P207=1,1,0),0)</f>
        <v>0</v>
      </c>
      <c r="Q217" s="55">
        <f>IF(Q194=2,IF(Q207=1,1,0),0)</f>
        <v>0</v>
      </c>
      <c r="S217" s="60">
        <f>IF(S194=2,IF(S207=1,1,0),0)</f>
        <v>0</v>
      </c>
      <c r="T217" s="55">
        <f>IF(T194=2,IF(T207=1,1,0),0)</f>
        <v>0</v>
      </c>
      <c r="V217" s="60">
        <f>IF(V194=2,IF(V207=1,1,0),0)</f>
        <v>0</v>
      </c>
      <c r="W217" s="55">
        <f>IF(W194=2,IF(W207=1,1,0),0)</f>
        <v>0</v>
      </c>
      <c r="Y217" s="60">
        <f>IF(Y194=2,IF(Y207=1,1,0),0)</f>
        <v>0</v>
      </c>
      <c r="Z217" s="55">
        <f>IF(Z194=2,IF(Z207=1,1,0),0)</f>
        <v>0</v>
      </c>
      <c r="AB217" s="60">
        <f>IF(AB194=2,IF(AB207=1,1,0),0)</f>
        <v>0</v>
      </c>
      <c r="AC217" s="55">
        <f>IF(AC194=2,IF(AC207=1,1,0),0)</f>
        <v>0</v>
      </c>
      <c r="AE217" s="60">
        <f>IF(AE194=2,IF(AE207=1,1,0),0)</f>
        <v>0</v>
      </c>
      <c r="AF217" s="55">
        <f>SUM(B217:AE217)</f>
        <v>0</v>
      </c>
      <c r="AG217" s="55">
        <f>AF223-AF217</f>
        <v>1</v>
      </c>
    </row>
    <row r="218" spans="1:33" s="55" customFormat="1" ht="12.75" hidden="1" customHeight="1" x14ac:dyDescent="0.2">
      <c r="A218" s="55" t="s">
        <v>99</v>
      </c>
      <c r="B218" s="55">
        <f>IF(B194=3,IF(B207=1,1,0),0)</f>
        <v>0</v>
      </c>
      <c r="D218" s="60">
        <f>IF(D194=3,IF(D207=1,1,0),0)</f>
        <v>0</v>
      </c>
      <c r="E218" s="55">
        <f>IF(E194=3,IF(E207=1,1,0),0)</f>
        <v>0</v>
      </c>
      <c r="G218" s="60">
        <f>IF(G194=3,IF(G207=1,1,0),0)</f>
        <v>0</v>
      </c>
      <c r="H218" s="55">
        <f>IF(H194=3,IF(H207=1,1,0),0)</f>
        <v>0</v>
      </c>
      <c r="J218" s="60">
        <f>IF(J194=3,IF(J207=1,1,0),0)</f>
        <v>0</v>
      </c>
      <c r="K218" s="55">
        <f>IF(K194=3,IF(K207=1,1,0),0)</f>
        <v>0</v>
      </c>
      <c r="M218" s="60">
        <f>IF(M194=3,IF(M207=1,1,0),0)</f>
        <v>0</v>
      </c>
      <c r="N218" s="55">
        <f>IF(N194=3,IF(N207=1,1,0),0)</f>
        <v>0</v>
      </c>
      <c r="P218" s="60">
        <f>IF(P194=3,IF(P207=1,1,0),0)</f>
        <v>0</v>
      </c>
      <c r="Q218" s="55">
        <f>IF(Q194=3,IF(Q207=1,1,0),0)</f>
        <v>0</v>
      </c>
      <c r="S218" s="60">
        <f>IF(S194=3,IF(S207=1,1,0),0)</f>
        <v>0</v>
      </c>
      <c r="T218" s="55">
        <f>IF(T194=3,IF(T207=1,1,0),0)</f>
        <v>0</v>
      </c>
      <c r="V218" s="60">
        <f>IF(V194=3,IF(V207=1,1,0),0)</f>
        <v>0</v>
      </c>
      <c r="W218" s="55">
        <f>IF(W194=3,IF(W207=1,1,0),0)</f>
        <v>0</v>
      </c>
      <c r="Y218" s="60">
        <f>IF(Y194=3,IF(Y207=1,1,0),0)</f>
        <v>0</v>
      </c>
      <c r="Z218" s="55">
        <f>IF(Z194=3,IF(Z207=1,1,0),0)</f>
        <v>0</v>
      </c>
      <c r="AB218" s="60">
        <f>IF(AB194=3,IF(AB207=1,1,0),0)</f>
        <v>0</v>
      </c>
      <c r="AC218" s="55">
        <f>IF(AC194=3,IF(AC207=1,1,0),0)</f>
        <v>0</v>
      </c>
      <c r="AE218" s="60">
        <f>IF(AE194=3,IF(AE207=1,1,0),0)</f>
        <v>0</v>
      </c>
      <c r="AF218" s="55">
        <f>SUM(B218:AE218)</f>
        <v>0</v>
      </c>
      <c r="AG218" s="55">
        <f>AF224-AF218</f>
        <v>0</v>
      </c>
    </row>
    <row r="219" spans="1:33" s="55" customFormat="1" ht="12.75" hidden="1" customHeight="1" x14ac:dyDescent="0.2">
      <c r="A219" s="55" t="s">
        <v>100</v>
      </c>
      <c r="B219" s="55">
        <f>IF(B194=4,IF(B207=1,1,0),0)</f>
        <v>0</v>
      </c>
      <c r="D219" s="60">
        <f>IF(D194=4,IF(D207=1,1,0),0)</f>
        <v>0</v>
      </c>
      <c r="E219" s="55">
        <f>IF(E194=4,IF(E207=1,1,0),0)</f>
        <v>0</v>
      </c>
      <c r="G219" s="60">
        <f>IF(G194=4,IF(G207=1,1,0),0)</f>
        <v>0</v>
      </c>
      <c r="H219" s="55">
        <f>IF(H194=4,IF(H207=1,1,0),0)</f>
        <v>0</v>
      </c>
      <c r="J219" s="60">
        <f>IF(J194=4,IF(J207=1,1,0),0)</f>
        <v>0</v>
      </c>
      <c r="K219" s="55">
        <f>IF(K194=4,IF(K207=1,1,0),0)</f>
        <v>0</v>
      </c>
      <c r="M219" s="60">
        <f>IF(M194=4,IF(M207=1,1,0),0)</f>
        <v>0</v>
      </c>
      <c r="N219" s="55">
        <f>IF(N194=4,IF(N207=1,1,0),0)</f>
        <v>0</v>
      </c>
      <c r="P219" s="60">
        <f>IF(P194=4,IF(P207=1,1,0),0)</f>
        <v>0</v>
      </c>
      <c r="Q219" s="55">
        <f>IF(Q194=4,IF(Q207=1,1,0),0)</f>
        <v>0</v>
      </c>
      <c r="S219" s="60">
        <f>IF(S194=4,IF(S207=1,1,0),0)</f>
        <v>0</v>
      </c>
      <c r="T219" s="55">
        <f>IF(T194=4,IF(T207=1,1,0),0)</f>
        <v>0</v>
      </c>
      <c r="V219" s="60">
        <f>IF(V194=4,IF(V207=1,1,0),0)</f>
        <v>0</v>
      </c>
      <c r="W219" s="55">
        <f>IF(W194=4,IF(W207=1,1,0),0)</f>
        <v>0</v>
      </c>
      <c r="Y219" s="60">
        <f>IF(Y194=4,IF(Y207=1,1,0),0)</f>
        <v>0</v>
      </c>
      <c r="Z219" s="55">
        <f>IF(Z194=4,IF(Z207=1,1,0),0)</f>
        <v>0</v>
      </c>
      <c r="AB219" s="60">
        <f>IF(AB194=4,IF(AB207=1,1,0),0)</f>
        <v>0</v>
      </c>
      <c r="AC219" s="55">
        <f>IF(AC194=4,IF(AC207=1,1,0),0)</f>
        <v>0</v>
      </c>
      <c r="AE219" s="60">
        <f>IF(AE194=4,IF(AE207=1,1,0),0)</f>
        <v>0</v>
      </c>
      <c r="AF219" s="55">
        <f>SUM(B219:AE219)</f>
        <v>0</v>
      </c>
      <c r="AG219" s="55">
        <f>AF225-AF219</f>
        <v>0</v>
      </c>
    </row>
    <row r="220" spans="1:33" s="55" customFormat="1" ht="12.75" hidden="1" customHeight="1" x14ac:dyDescent="0.2">
      <c r="A220" s="55" t="s">
        <v>101</v>
      </c>
      <c r="B220" s="55">
        <f>IF(B194=5,IF(B207=1,1,0),0)</f>
        <v>0</v>
      </c>
      <c r="D220" s="60">
        <f>IF(D194=5,IF(D207=1,1,0),0)</f>
        <v>0</v>
      </c>
      <c r="E220" s="55">
        <f>IF(E194=5,IF(E207=1,1,0),0)</f>
        <v>0</v>
      </c>
      <c r="G220" s="60">
        <f>IF(G194=5,IF(G207=1,1,0),0)</f>
        <v>0</v>
      </c>
      <c r="H220" s="55">
        <f>IF(H194=5,IF(H207=1,1,0),0)</f>
        <v>0</v>
      </c>
      <c r="J220" s="60">
        <f>IF(J194=5,IF(J207=1,1,0),0)</f>
        <v>0</v>
      </c>
      <c r="K220" s="55">
        <f>IF(K194=5,IF(K207=1,1,0),0)</f>
        <v>0</v>
      </c>
      <c r="M220" s="60">
        <f>IF(M194=5,IF(M207=1,1,0),0)</f>
        <v>0</v>
      </c>
      <c r="N220" s="55">
        <f>IF(N194=5,IF(N207=1,1,0),0)</f>
        <v>0</v>
      </c>
      <c r="P220" s="60">
        <f>IF(P194=5,IF(P207=1,1,0),0)</f>
        <v>0</v>
      </c>
      <c r="Q220" s="55">
        <f>IF(Q194=5,IF(Q207=1,1,0),0)</f>
        <v>0</v>
      </c>
      <c r="S220" s="60">
        <f>IF(S194=5,IF(S207=1,1,0),0)</f>
        <v>0</v>
      </c>
      <c r="T220" s="55">
        <f>IF(T194=5,IF(T207=1,1,0),0)</f>
        <v>0</v>
      </c>
      <c r="V220" s="60">
        <f>IF(V194=5,IF(V207=1,1,0),0)</f>
        <v>0</v>
      </c>
      <c r="W220" s="55">
        <f>IF(W194=5,IF(W207=1,1,0),0)</f>
        <v>0</v>
      </c>
      <c r="Y220" s="60">
        <f>IF(Y194=5,IF(Y207=1,1,0),0)</f>
        <v>0</v>
      </c>
      <c r="Z220" s="55">
        <f>IF(Z194=5,IF(Z207=1,1,0),0)</f>
        <v>0</v>
      </c>
      <c r="AB220" s="60">
        <f>IF(AB194=5,IF(AB207=1,1,0),0)</f>
        <v>0</v>
      </c>
      <c r="AC220" s="55">
        <f>IF(AC194=5,IF(AC207=1,1,0),0)</f>
        <v>0</v>
      </c>
      <c r="AE220" s="60">
        <f>IF(AE194=5,IF(AE207=1,1,0),0)</f>
        <v>0</v>
      </c>
      <c r="AF220" s="55">
        <f>SUM(B220:AE220)</f>
        <v>0</v>
      </c>
      <c r="AG220" s="55">
        <f>AF226-AF220</f>
        <v>0</v>
      </c>
    </row>
    <row r="221" spans="1:33" s="55" customFormat="1" ht="38.25" hidden="1" customHeight="1" x14ac:dyDescent="0.2">
      <c r="A221" s="59"/>
      <c r="D221" s="60"/>
      <c r="G221" s="60"/>
      <c r="J221" s="60"/>
      <c r="M221" s="60"/>
      <c r="P221" s="60"/>
      <c r="S221" s="60"/>
      <c r="V221" s="60"/>
      <c r="Y221" s="60"/>
      <c r="AB221" s="60"/>
      <c r="AE221" s="60"/>
      <c r="AF221" s="59" t="s">
        <v>102</v>
      </c>
    </row>
    <row r="222" spans="1:33" s="55" customFormat="1" ht="12.75" hidden="1" customHeight="1" x14ac:dyDescent="0.2">
      <c r="A222" s="55" t="s">
        <v>103</v>
      </c>
      <c r="B222" s="55">
        <f>IF(B194=1,IF(C207=1,1,0),0)</f>
        <v>0</v>
      </c>
      <c r="D222" s="60">
        <f>IF(D194=1,IF(C207=1,1,0),0)</f>
        <v>0</v>
      </c>
      <c r="E222" s="55">
        <f>IF(E194=1,IF(F207=1,1,0),0)</f>
        <v>0</v>
      </c>
      <c r="G222" s="60">
        <f>IF(G194=1,IF(F207=1,1,0),0)</f>
        <v>0</v>
      </c>
      <c r="H222" s="55">
        <f>IF(H194=1,IF(I207=1,1,0),0)</f>
        <v>1</v>
      </c>
      <c r="J222" s="60">
        <f>IF(J194=1,IF(I207=1,1,0),0)</f>
        <v>0</v>
      </c>
      <c r="K222" s="55">
        <f>IF(K194=1,IF(L207=1,1,0),0)</f>
        <v>0</v>
      </c>
      <c r="M222" s="60">
        <f>IF(M194=1,IF(L207=1,1,0),0)</f>
        <v>0</v>
      </c>
      <c r="N222" s="55">
        <f>IF(N194=1,IF(O207=1,1,0),0)</f>
        <v>0</v>
      </c>
      <c r="P222" s="60">
        <f>IF(P194=1,IF(O207=1,1,0),0)</f>
        <v>0</v>
      </c>
      <c r="Q222" s="55">
        <f>IF(Q194=1,IF(R207=1,1,0),0)</f>
        <v>0</v>
      </c>
      <c r="S222" s="60">
        <f>IF(S194=1,IF(R207=1,1,0),0)</f>
        <v>0</v>
      </c>
      <c r="T222" s="55">
        <f>IF(T194=1,IF(U207=1,1,0),0)</f>
        <v>0</v>
      </c>
      <c r="V222" s="60">
        <f>IF(V194=1,IF(U207=1,1,0),0)</f>
        <v>0</v>
      </c>
      <c r="W222" s="55">
        <f>IF(W194=1,IF(X207=1,1,0),0)</f>
        <v>0</v>
      </c>
      <c r="Y222" s="60">
        <f>IF(Y194=1,IF(X207=1,1,0),0)</f>
        <v>0</v>
      </c>
      <c r="Z222" s="55">
        <f>IF(Z194=1,IF(AA207=1,1,0),0)</f>
        <v>0</v>
      </c>
      <c r="AB222" s="60">
        <f>IF(AB194=1,IF(AA207=1,1,0),0)</f>
        <v>0</v>
      </c>
      <c r="AC222" s="55">
        <f>IF(AC194=1,IF(AD207=1,1,0),0)</f>
        <v>0</v>
      </c>
      <c r="AE222" s="60">
        <f>IF(AE194=1,IF(AD207=1,1,0),0)</f>
        <v>0</v>
      </c>
      <c r="AF222" s="55">
        <f>SUM(B222:AE222)</f>
        <v>1</v>
      </c>
    </row>
    <row r="223" spans="1:33" s="55" customFormat="1" ht="12.75" hidden="1" customHeight="1" x14ac:dyDescent="0.2">
      <c r="A223" s="55" t="s">
        <v>104</v>
      </c>
      <c r="B223" s="55">
        <f>IF(B194=2,IF(C207=1,1,0),0)</f>
        <v>0</v>
      </c>
      <c r="D223" s="60">
        <f>IF(D194=2,IF(C207=1,1,0),0)</f>
        <v>0</v>
      </c>
      <c r="E223" s="55">
        <f>IF(E194=2,IF(F207=1,1,0),0)</f>
        <v>0</v>
      </c>
      <c r="G223" s="60">
        <f>IF(G194=2,IF(F207=1,1,0),0)</f>
        <v>0</v>
      </c>
      <c r="H223" s="55">
        <f>IF(H194=2,IF(I207=1,1,0),0)</f>
        <v>0</v>
      </c>
      <c r="J223" s="60">
        <f>IF(J194=2,IF(I207=1,1,0),0)</f>
        <v>1</v>
      </c>
      <c r="K223" s="55">
        <f>IF(K194=2,IF(L207=1,1,0),0)</f>
        <v>0</v>
      </c>
      <c r="M223" s="60">
        <f>IF(M194=2,IF(L207=1,1,0),0)</f>
        <v>0</v>
      </c>
      <c r="N223" s="55">
        <f>IF(N194=2,IF(O207=1,1,0),0)</f>
        <v>0</v>
      </c>
      <c r="P223" s="60">
        <f>IF(P194=2,IF(O207=1,1,0),0)</f>
        <v>0</v>
      </c>
      <c r="Q223" s="55">
        <f>IF(Q194=2,IF(R207=1,1,0),0)</f>
        <v>0</v>
      </c>
      <c r="S223" s="60">
        <f>IF(S194=2,IF(R207=1,1,0),0)</f>
        <v>0</v>
      </c>
      <c r="T223" s="55">
        <f>IF(T194=2,IF(U207=1,1,0),0)</f>
        <v>0</v>
      </c>
      <c r="V223" s="60">
        <f>IF(V194=2,IF(U207=1,1,0),0)</f>
        <v>0</v>
      </c>
      <c r="W223" s="55">
        <f>IF(W194=2,IF(X207=1,1,0),0)</f>
        <v>0</v>
      </c>
      <c r="Y223" s="60">
        <f>IF(Y194=2,IF(X207=1,1,0),0)</f>
        <v>0</v>
      </c>
      <c r="Z223" s="55">
        <f>IF(Z194=2,IF(AA207=1,1,0),0)</f>
        <v>0</v>
      </c>
      <c r="AB223" s="60">
        <f>IF(AB194=2,IF(AA207=1,1,0),0)</f>
        <v>0</v>
      </c>
      <c r="AC223" s="55">
        <f>IF(AC194=2,IF(AD207=1,1,0),0)</f>
        <v>0</v>
      </c>
      <c r="AE223" s="60">
        <f>IF(AE194=2,IF(AD207=1,1,0),0)</f>
        <v>0</v>
      </c>
      <c r="AF223" s="55">
        <f>SUM(B223:AE223)</f>
        <v>1</v>
      </c>
    </row>
    <row r="224" spans="1:33" s="55" customFormat="1" ht="12.75" hidden="1" customHeight="1" x14ac:dyDescent="0.2">
      <c r="A224" s="55" t="s">
        <v>105</v>
      </c>
      <c r="B224" s="55">
        <f>IF(B194=3,IF(C207=1,1,0),0)</f>
        <v>0</v>
      </c>
      <c r="D224" s="60">
        <f>IF(D194=3,IF(C207=1,1,0),0)</f>
        <v>0</v>
      </c>
      <c r="E224" s="55">
        <f>IF(E194=3,IF(F207=1,1,0),0)</f>
        <v>0</v>
      </c>
      <c r="G224" s="60">
        <f>IF(G194=3,IF(F207=1,1,0),0)</f>
        <v>0</v>
      </c>
      <c r="H224" s="55">
        <f>IF(H194=3,IF(I207=1,1,0),0)</f>
        <v>0</v>
      </c>
      <c r="J224" s="60">
        <f>IF(J194=3,IF(I207=1,1,0),0)</f>
        <v>0</v>
      </c>
      <c r="K224" s="55">
        <f>IF(K194=3,IF(L207=1,1,0),0)</f>
        <v>0</v>
      </c>
      <c r="M224" s="60">
        <f>IF(M194=3,IF(L207=1,1,0),0)</f>
        <v>0</v>
      </c>
      <c r="N224" s="55">
        <f>IF(N194=3,IF(O207=1,1,0),0)</f>
        <v>0</v>
      </c>
      <c r="P224" s="60">
        <f>IF(P194=3,IF(O207=1,1,0),0)</f>
        <v>0</v>
      </c>
      <c r="Q224" s="55">
        <f>IF(Q194=3,IF(R207=1,1,0),0)</f>
        <v>0</v>
      </c>
      <c r="S224" s="60">
        <f>IF(S194=3,IF(R207=1,1,0),0)</f>
        <v>0</v>
      </c>
      <c r="T224" s="55">
        <f>IF(T194=3,IF(U207=1,1,0),0)</f>
        <v>0</v>
      </c>
      <c r="V224" s="60">
        <f>IF(V194=3,IF(U207=1,1,0),0)</f>
        <v>0</v>
      </c>
      <c r="W224" s="55">
        <f>IF(W194=3,IF(X207=1,1,0),0)</f>
        <v>0</v>
      </c>
      <c r="Y224" s="60">
        <f>IF(Y194=3,IF(X207=1,1,0),0)</f>
        <v>0</v>
      </c>
      <c r="Z224" s="55">
        <f>IF(Z194=3,IF(AA207=1,1,0),0)</f>
        <v>0</v>
      </c>
      <c r="AB224" s="60">
        <f>IF(AB194=3,IF(AA207=1,1,0),0)</f>
        <v>0</v>
      </c>
      <c r="AC224" s="55">
        <f>IF(AC194=3,IF(AD207=1,1,0),0)</f>
        <v>0</v>
      </c>
      <c r="AE224" s="60">
        <f>IF(AE194=3,IF(AD207=1,1,0),0)</f>
        <v>0</v>
      </c>
      <c r="AF224" s="55">
        <f>SUM(B224:AE224)</f>
        <v>0</v>
      </c>
    </row>
    <row r="225" spans="1:37" s="55" customFormat="1" ht="12.75" hidden="1" customHeight="1" x14ac:dyDescent="0.2">
      <c r="A225" s="55" t="s">
        <v>106</v>
      </c>
      <c r="B225" s="55">
        <f>IF(B194=4,IF(C207=1,1,0),0)</f>
        <v>0</v>
      </c>
      <c r="D225" s="60">
        <f>IF(D194=4,IF(C207=1,1,0),0)</f>
        <v>0</v>
      </c>
      <c r="E225" s="55">
        <f>IF(E194=4,IF(F207=1,1,0),0)</f>
        <v>0</v>
      </c>
      <c r="G225" s="60">
        <f>IF(G194=4,IF(F207=1,1,0),0)</f>
        <v>0</v>
      </c>
      <c r="H225" s="55">
        <f>IF(H194=4,IF(I207=1,1,0),0)</f>
        <v>0</v>
      </c>
      <c r="J225" s="60">
        <f>IF(J194=4,IF(I207=1,1,0),0)</f>
        <v>0</v>
      </c>
      <c r="K225" s="55">
        <f>IF(K194=4,IF(L207=1,1,0),0)</f>
        <v>0</v>
      </c>
      <c r="M225" s="60">
        <f>IF(M194=4,IF(L207=1,1,0),0)</f>
        <v>0</v>
      </c>
      <c r="N225" s="55">
        <f>IF(N194=4,IF(O207=1,1,0),0)</f>
        <v>0</v>
      </c>
      <c r="P225" s="60">
        <f>IF(P194=4,IF(O207=1,1,0),0)</f>
        <v>0</v>
      </c>
      <c r="Q225" s="55">
        <f>IF(Q194=4,IF(R207=1,1,0),0)</f>
        <v>0</v>
      </c>
      <c r="S225" s="60">
        <f>IF(S194=4,IF(R207=1,1,0),0)</f>
        <v>0</v>
      </c>
      <c r="T225" s="55">
        <f>IF(T194=4,IF(U207=1,1,0),0)</f>
        <v>0</v>
      </c>
      <c r="V225" s="60">
        <f>IF(V194=4,IF(U207=1,1,0),0)</f>
        <v>0</v>
      </c>
      <c r="W225" s="55">
        <f>IF(W194=4,IF(X207=1,1,0),0)</f>
        <v>0</v>
      </c>
      <c r="Y225" s="60">
        <f>IF(Y194=4,IF(X207=1,1,0),0)</f>
        <v>0</v>
      </c>
      <c r="Z225" s="55">
        <f>IF(Z194=4,IF(AA207=1,1,0),0)</f>
        <v>0</v>
      </c>
      <c r="AB225" s="60">
        <f>IF(AB194=4,IF(AA207=1,1,0),0)</f>
        <v>0</v>
      </c>
      <c r="AC225" s="55">
        <f>IF(AC194=4,IF(AD207=1,1,0),0)</f>
        <v>0</v>
      </c>
      <c r="AE225" s="60">
        <f>IF(AE194=4,IF(AD207=1,1,0),0)</f>
        <v>0</v>
      </c>
      <c r="AF225" s="55">
        <f>SUM(B225:AE225)</f>
        <v>0</v>
      </c>
    </row>
    <row r="226" spans="1:37" s="55" customFormat="1" ht="12.75" hidden="1" customHeight="1" x14ac:dyDescent="0.2">
      <c r="A226" s="55" t="s">
        <v>107</v>
      </c>
      <c r="B226" s="55">
        <f>IF(B194=5,IF(C207=1,1,0),0)</f>
        <v>0</v>
      </c>
      <c r="D226" s="60">
        <f>IF(D194=5,IF(C207=1,1,0),0)</f>
        <v>0</v>
      </c>
      <c r="E226" s="55">
        <f>IF(E194=5,IF(F207=1,1,0),0)</f>
        <v>0</v>
      </c>
      <c r="G226" s="60">
        <f>IF(G194=5,IF(F207=1,1,0),0)</f>
        <v>0</v>
      </c>
      <c r="H226" s="55">
        <f>IF(H194=5,IF(I207=1,1,0),0)</f>
        <v>0</v>
      </c>
      <c r="J226" s="60">
        <f>IF(J194=5,IF(I207=1,1,0),0)</f>
        <v>0</v>
      </c>
      <c r="K226" s="55">
        <f>IF(K194=5,IF(L207=1,1,0),0)</f>
        <v>0</v>
      </c>
      <c r="M226" s="60">
        <f>IF(M194=5,IF(L207=1,1,0),0)</f>
        <v>0</v>
      </c>
      <c r="N226" s="55">
        <f>IF(N194=5,IF(O207=1,1,0),0)</f>
        <v>0</v>
      </c>
      <c r="P226" s="60">
        <f>IF(P194=5,IF(O207=1,1,0),0)</f>
        <v>0</v>
      </c>
      <c r="Q226" s="55">
        <f>IF(Q194=5,IF(R207=1,1,0),0)</f>
        <v>0</v>
      </c>
      <c r="S226" s="60">
        <f>IF(S194=5,IF(R207=1,1,0),0)</f>
        <v>0</v>
      </c>
      <c r="T226" s="55">
        <f>IF(T194=5,IF(U207=1,1,0),0)</f>
        <v>0</v>
      </c>
      <c r="V226" s="60">
        <f>IF(V194=5,IF(U207=1,1,0),0)</f>
        <v>0</v>
      </c>
      <c r="W226" s="55">
        <f>IF(W194=5,IF(X207=1,1,0),0)</f>
        <v>0</v>
      </c>
      <c r="Y226" s="60">
        <f>IF(Y194=5,IF(X207=1,1,0),0)</f>
        <v>0</v>
      </c>
      <c r="Z226" s="55">
        <f>IF(Z194=5,IF(AA207=1,1,0),0)</f>
        <v>0</v>
      </c>
      <c r="AB226" s="60">
        <f>IF(AB194=5,IF(AA207=1,1,0),0)</f>
        <v>0</v>
      </c>
      <c r="AC226" s="55">
        <f>IF(AC194=5,IF(AD207=1,1,0),0)</f>
        <v>0</v>
      </c>
      <c r="AE226" s="60">
        <f>IF(AE194=5,IF(AD207=1,1,0),0)</f>
        <v>0</v>
      </c>
      <c r="AF226" s="55">
        <f>SUM(B226:AE226)</f>
        <v>0</v>
      </c>
    </row>
    <row r="227" spans="1:37" s="55" customFormat="1" ht="38.25" hidden="1" customHeight="1" x14ac:dyDescent="0.2">
      <c r="A227" s="59"/>
      <c r="D227" s="60"/>
      <c r="G227" s="60"/>
      <c r="J227" s="60"/>
      <c r="M227" s="60"/>
      <c r="P227" s="60"/>
      <c r="S227" s="60"/>
      <c r="V227" s="60"/>
      <c r="Y227" s="60"/>
      <c r="AB227" s="60"/>
      <c r="AE227" s="60"/>
      <c r="AF227" s="59" t="s">
        <v>108</v>
      </c>
      <c r="AG227" s="328"/>
      <c r="AH227" s="328"/>
      <c r="AI227" s="328"/>
      <c r="AJ227" s="328"/>
      <c r="AK227" s="328"/>
    </row>
    <row r="228" spans="1:37" s="55" customFormat="1" ht="12.75" hidden="1" customHeight="1" x14ac:dyDescent="0.2">
      <c r="A228" s="55" t="s">
        <v>103</v>
      </c>
      <c r="B228" s="55">
        <f>IF(B194=1,B214,0)</f>
        <v>53</v>
      </c>
      <c r="D228" s="60">
        <f>IF(D194=1,B214,0)</f>
        <v>0</v>
      </c>
      <c r="E228" s="55">
        <f>IF(E194=1,E214,0)</f>
        <v>0</v>
      </c>
      <c r="G228" s="60">
        <f>IF(G194=1,E214,0)</f>
        <v>0</v>
      </c>
      <c r="H228" s="55">
        <f>IF(H194=1,H214,0)</f>
        <v>48</v>
      </c>
      <c r="J228" s="60">
        <f>IF(J194=1,H214,0)</f>
        <v>0</v>
      </c>
      <c r="K228" s="55">
        <f>IF(K194=1,K214,0)</f>
        <v>0</v>
      </c>
      <c r="M228" s="60">
        <f>IF(M194=1,K214,0)</f>
        <v>0</v>
      </c>
      <c r="N228" s="55">
        <f>IF(N194=1,N214,0)</f>
        <v>0</v>
      </c>
      <c r="P228" s="60">
        <f>IF(P194=1,N214,0)</f>
        <v>0</v>
      </c>
      <c r="Q228" s="55">
        <f>IF(Q194=1,Q214,0)</f>
        <v>0</v>
      </c>
      <c r="S228" s="60">
        <f>IF(S194=1,Q214,0)</f>
        <v>0</v>
      </c>
      <c r="T228" s="55">
        <f>IF(T194=1,T214,0)</f>
        <v>0</v>
      </c>
      <c r="V228" s="60">
        <f>IF(V194=1,T214,0)</f>
        <v>0</v>
      </c>
      <c r="W228" s="55">
        <f>IF(W194=1,W214,0)</f>
        <v>0</v>
      </c>
      <c r="Y228" s="60">
        <f>IF(Y194=1,W214,0)</f>
        <v>0</v>
      </c>
      <c r="Z228" s="55">
        <f>IF(Z194=1,Z214,0)</f>
        <v>0</v>
      </c>
      <c r="AB228" s="60">
        <f>IF(AB194=1,Z214,0)</f>
        <v>0</v>
      </c>
      <c r="AC228" s="55">
        <f>IF(AC194=1,AC214,0)</f>
        <v>0</v>
      </c>
      <c r="AE228" s="60">
        <f>IF(AE194=1,AC214,0)</f>
        <v>0</v>
      </c>
      <c r="AF228" s="55">
        <f>SUM(B228:AE228)</f>
        <v>101</v>
      </c>
    </row>
    <row r="229" spans="1:37" s="55" customFormat="1" ht="12.75" hidden="1" customHeight="1" x14ac:dyDescent="0.2">
      <c r="A229" s="55" t="s">
        <v>104</v>
      </c>
      <c r="B229" s="55">
        <f>IF(B194=2,B214,0)</f>
        <v>0</v>
      </c>
      <c r="D229" s="60">
        <f>IF(D194=2,B214,0)</f>
        <v>0</v>
      </c>
      <c r="E229" s="55">
        <f>IF(E194=2,E214,0)</f>
        <v>42</v>
      </c>
      <c r="G229" s="60">
        <f>IF(G194=2,E214,0)</f>
        <v>0</v>
      </c>
      <c r="H229" s="55">
        <f>IF(H194=2,H214,0)</f>
        <v>0</v>
      </c>
      <c r="J229" s="60">
        <f>IF(J194=2,H214,0)</f>
        <v>48</v>
      </c>
      <c r="K229" s="55">
        <f>IF(K194=2,K214,0)</f>
        <v>0</v>
      </c>
      <c r="M229" s="60">
        <f>IF(M194=2,K214,0)</f>
        <v>0</v>
      </c>
      <c r="N229" s="55">
        <f>IF(N194=2,N214,0)</f>
        <v>0</v>
      </c>
      <c r="P229" s="60">
        <f>IF(P194=2,N214,0)</f>
        <v>0</v>
      </c>
      <c r="Q229" s="55">
        <f>IF(Q194=2,Q214,0)</f>
        <v>0</v>
      </c>
      <c r="S229" s="60">
        <f>IF(S194=2,Q214,0)</f>
        <v>0</v>
      </c>
      <c r="T229" s="55">
        <f>IF(T194=2,T214,0)</f>
        <v>0</v>
      </c>
      <c r="V229" s="60">
        <f>IF(V194=2,T214,0)</f>
        <v>0</v>
      </c>
      <c r="W229" s="55">
        <f>IF(W194=2,W214,0)</f>
        <v>0</v>
      </c>
      <c r="Y229" s="60">
        <f>IF(Y194=2,W214,0)</f>
        <v>0</v>
      </c>
      <c r="Z229" s="55">
        <f>IF(Z194=2,Z214,0)</f>
        <v>0</v>
      </c>
      <c r="AB229" s="60">
        <f>IF(AB194=2,Z214,0)</f>
        <v>0</v>
      </c>
      <c r="AC229" s="55">
        <f>IF(AC194=2,AC214,0)</f>
        <v>0</v>
      </c>
      <c r="AE229" s="60">
        <f>IF(AE194=2,AC214,0)</f>
        <v>0</v>
      </c>
      <c r="AF229" s="55">
        <f>SUM(B229:AE229)</f>
        <v>90</v>
      </c>
    </row>
    <row r="230" spans="1:37" s="55" customFormat="1" ht="12.75" hidden="1" customHeight="1" x14ac:dyDescent="0.2">
      <c r="A230" s="55" t="s">
        <v>105</v>
      </c>
      <c r="B230" s="55">
        <f>IF(B194=3,B214,0)</f>
        <v>0</v>
      </c>
      <c r="D230" s="60">
        <f>IF(D194=3,B214,0)</f>
        <v>53</v>
      </c>
      <c r="E230" s="55">
        <f>IF(E194=3,E214,0)</f>
        <v>0</v>
      </c>
      <c r="G230" s="60">
        <f>IF(G194=3,E214,0)</f>
        <v>42</v>
      </c>
      <c r="H230" s="55">
        <f>IF(H194=3,H214,0)</f>
        <v>0</v>
      </c>
      <c r="J230" s="60">
        <f>IF(J194=3,H214,0)</f>
        <v>0</v>
      </c>
      <c r="K230" s="55">
        <f>IF(K194=3,K214,0)</f>
        <v>0</v>
      </c>
      <c r="M230" s="60">
        <f>IF(M194=3,K214,0)</f>
        <v>0</v>
      </c>
      <c r="N230" s="55">
        <f>IF(N194=3,N214,0)</f>
        <v>0</v>
      </c>
      <c r="P230" s="60">
        <f>IF(P194=3,N214,0)</f>
        <v>0</v>
      </c>
      <c r="Q230" s="55">
        <f>IF(Q194=3,Q214,0)</f>
        <v>0</v>
      </c>
      <c r="S230" s="60">
        <f>IF(S194=3,Q214,0)</f>
        <v>0</v>
      </c>
      <c r="T230" s="55">
        <f>IF(T194=3,T214,0)</f>
        <v>0</v>
      </c>
      <c r="V230" s="60">
        <f>IF(V194=3,T214,0)</f>
        <v>0</v>
      </c>
      <c r="W230" s="55">
        <f>IF(W194=3,W214,0)</f>
        <v>0</v>
      </c>
      <c r="Y230" s="60">
        <f>IF(Y194=3,W214,0)</f>
        <v>0</v>
      </c>
      <c r="Z230" s="55">
        <f>IF(Z194=3,Z214,0)</f>
        <v>0</v>
      </c>
      <c r="AB230" s="60">
        <f>IF(AB194=3,Z214,0)</f>
        <v>0</v>
      </c>
      <c r="AC230" s="55">
        <f>IF(AC194=3,AC214,0)</f>
        <v>0</v>
      </c>
      <c r="AE230" s="60">
        <f>IF(AE194=3,AC214,0)</f>
        <v>0</v>
      </c>
      <c r="AF230" s="55">
        <f>SUM(B230:AE230)</f>
        <v>95</v>
      </c>
    </row>
    <row r="231" spans="1:37" s="55" customFormat="1" ht="12.75" hidden="1" customHeight="1" x14ac:dyDescent="0.2">
      <c r="A231" s="55" t="s">
        <v>106</v>
      </c>
      <c r="B231" s="55">
        <f>IF(B194=4,B214,0)</f>
        <v>0</v>
      </c>
      <c r="D231" s="60">
        <f>IF(D194=4,B214,0)</f>
        <v>0</v>
      </c>
      <c r="E231" s="55">
        <f>IF(E194=4,E214,0)</f>
        <v>0</v>
      </c>
      <c r="G231" s="60">
        <f>IF(G194=4,E214,0)</f>
        <v>0</v>
      </c>
      <c r="H231" s="55">
        <f>IF(H194=4,H214,0)</f>
        <v>0</v>
      </c>
      <c r="J231" s="60">
        <f>IF(J194=4,H214,0)</f>
        <v>0</v>
      </c>
      <c r="K231" s="55">
        <f>IF(K194=4,K214,0)</f>
        <v>0</v>
      </c>
      <c r="M231" s="60">
        <f>IF(M194=4,K214,0)</f>
        <v>0</v>
      </c>
      <c r="N231" s="55">
        <f>IF(N194=4,N214,0)</f>
        <v>0</v>
      </c>
      <c r="P231" s="60">
        <f>IF(P194=4,N214,0)</f>
        <v>0</v>
      </c>
      <c r="Q231" s="55">
        <f>IF(Q194=4,Q214,0)</f>
        <v>0</v>
      </c>
      <c r="S231" s="60">
        <f>IF(S194=4,Q214,0)</f>
        <v>0</v>
      </c>
      <c r="T231" s="55">
        <f>IF(T194=4,T214,0)</f>
        <v>0</v>
      </c>
      <c r="V231" s="60">
        <f>IF(V194=4,T214,0)</f>
        <v>0</v>
      </c>
      <c r="W231" s="55">
        <f>IF(W194=4,W214,0)</f>
        <v>0</v>
      </c>
      <c r="Y231" s="60">
        <f>IF(Y194=4,W214,0)</f>
        <v>0</v>
      </c>
      <c r="Z231" s="55">
        <f>IF(Z194=4,Z214,0)</f>
        <v>0</v>
      </c>
      <c r="AB231" s="60">
        <f>IF(AB194=4,Z214,0)</f>
        <v>0</v>
      </c>
      <c r="AC231" s="55">
        <f>IF(AC194=4,AC214,0)</f>
        <v>0</v>
      </c>
      <c r="AE231" s="60">
        <f>IF(AE194=4,AC214,0)</f>
        <v>0</v>
      </c>
      <c r="AF231" s="55">
        <f>SUM(B231:AE231)</f>
        <v>0</v>
      </c>
    </row>
    <row r="232" spans="1:37" s="55" customFormat="1" ht="12.75" hidden="1" customHeight="1" x14ac:dyDescent="0.2">
      <c r="A232" s="55" t="s">
        <v>107</v>
      </c>
      <c r="B232" s="55">
        <f>IF(B194=5,B214,0)</f>
        <v>0</v>
      </c>
      <c r="D232" s="60">
        <f>IF(D194=5,B214,0)</f>
        <v>0</v>
      </c>
      <c r="E232" s="55">
        <f>IF(E194=5,E214,0)</f>
        <v>0</v>
      </c>
      <c r="G232" s="60">
        <f>IF(G194=5,E214,0)</f>
        <v>0</v>
      </c>
      <c r="H232" s="55">
        <f>IF(H194=5,H214,0)</f>
        <v>0</v>
      </c>
      <c r="J232" s="60">
        <f>IF(J194=5,H214,0)</f>
        <v>0</v>
      </c>
      <c r="K232" s="55">
        <f>IF(K194=5,K214,0)</f>
        <v>0</v>
      </c>
      <c r="M232" s="60">
        <f>IF(M194=5,K214,0)</f>
        <v>0</v>
      </c>
      <c r="N232" s="55">
        <f>IF(N194=5,N214,0)</f>
        <v>0</v>
      </c>
      <c r="P232" s="60">
        <f>IF(P194=5,N214,0)</f>
        <v>0</v>
      </c>
      <c r="Q232" s="55">
        <f>IF(Q194=5,Q214,0)</f>
        <v>0</v>
      </c>
      <c r="S232" s="60">
        <f>IF(S194=5,Q214,0)</f>
        <v>0</v>
      </c>
      <c r="T232" s="55">
        <f>IF(T194=5,T214,0)</f>
        <v>0</v>
      </c>
      <c r="V232" s="60">
        <f>IF(V194=5,T214,0)</f>
        <v>0</v>
      </c>
      <c r="W232" s="55">
        <f>IF(W194=5,W214,0)</f>
        <v>0</v>
      </c>
      <c r="Y232" s="60">
        <f>IF(Y194=5,W214,0)</f>
        <v>0</v>
      </c>
      <c r="Z232" s="55">
        <f>IF(Z194=5,Z214,0)</f>
        <v>0</v>
      </c>
      <c r="AB232" s="60">
        <f>IF(AB194=5,Z214,0)</f>
        <v>0</v>
      </c>
      <c r="AC232" s="55">
        <f>IF(AC194=5,AC214,0)</f>
        <v>0</v>
      </c>
      <c r="AE232" s="60">
        <f>IF(AE194=5,AC214,0)</f>
        <v>0</v>
      </c>
      <c r="AF232" s="55">
        <f>SUM(B232:AE232)</f>
        <v>0</v>
      </c>
    </row>
    <row r="233" spans="1:37" s="55" customFormat="1" ht="38.25" hidden="1" customHeight="1" x14ac:dyDescent="0.2">
      <c r="A233" s="55" t="s">
        <v>109</v>
      </c>
      <c r="D233" s="60"/>
      <c r="G233" s="60"/>
      <c r="J233" s="60"/>
      <c r="M233" s="60"/>
      <c r="P233" s="60"/>
      <c r="S233" s="60"/>
      <c r="V233" s="60"/>
      <c r="Y233" s="60"/>
      <c r="AB233" s="60"/>
      <c r="AE233" s="60"/>
      <c r="AF233" s="59" t="s">
        <v>110</v>
      </c>
      <c r="AG233" s="55" t="s">
        <v>111</v>
      </c>
    </row>
    <row r="234" spans="1:37" s="55" customFormat="1" ht="12.75" hidden="1" customHeight="1" x14ac:dyDescent="0.2">
      <c r="A234" s="55" t="s">
        <v>97</v>
      </c>
      <c r="B234" s="55">
        <f>IF(B194=1,SUMIF(B201:B205,"&gt;0"),0)</f>
        <v>1</v>
      </c>
      <c r="D234" s="60">
        <f>IF(D194=1,SUMIF(D201:D205,"&gt;0"),0)</f>
        <v>0</v>
      </c>
      <c r="E234" s="55">
        <f>IF(E194=1,SUMIF(E201:E205,"&gt;0"),0)</f>
        <v>0</v>
      </c>
      <c r="G234" s="60">
        <f>IF(G194=1,SUMIF(G201:G205,"&gt;0"),0)</f>
        <v>0</v>
      </c>
      <c r="H234" s="55">
        <f>IF(H194=1,SUMIF(H201:H205,"&gt;0"),0)</f>
        <v>2</v>
      </c>
      <c r="J234" s="60">
        <f>IF(J194=1,SUMIF(J201:J205,"&gt;0"),0)</f>
        <v>0</v>
      </c>
      <c r="K234" s="55">
        <f>IF(K194=1,SUMIF(K201:K205,"&gt;0"),0)</f>
        <v>0</v>
      </c>
      <c r="M234" s="60">
        <f>IF(M194=1,SUMIF(M201:M205,"&gt;0"),0)</f>
        <v>0</v>
      </c>
      <c r="N234" s="55">
        <f>IF(N194=1,SUMIF(N201:N205,"&gt;0"),0)</f>
        <v>0</v>
      </c>
      <c r="P234" s="60">
        <f>IF(P194=1,SUMIF(P201:P205,"&gt;0"),0)</f>
        <v>0</v>
      </c>
      <c r="Q234" s="55">
        <f>IF(Q194=1,SUMIF(Q201:Q205,"&gt;0"),0)</f>
        <v>0</v>
      </c>
      <c r="S234" s="60">
        <f>IF(S194=1,SUMIF(S201:S205,"&gt;0"),0)</f>
        <v>0</v>
      </c>
      <c r="T234" s="55">
        <f>IF(T194=1,SUMIF(T201:T205,"&gt;0"),0)</f>
        <v>0</v>
      </c>
      <c r="V234" s="60">
        <f>IF(V194=1,SUMIF(V201:V205,"&gt;0"),0)</f>
        <v>0</v>
      </c>
      <c r="W234" s="55">
        <f>IF(W194=1,SUMIF(W201:W205,"&gt;0"),0)</f>
        <v>0</v>
      </c>
      <c r="Y234" s="60">
        <f>IF(Y194=1,SUMIF(Y201:Y205,"&gt;0"),0)</f>
        <v>0</v>
      </c>
      <c r="Z234" s="55">
        <f>IF(Z194=1,SUMIF(Z201:Z205,"&gt;0"),0)</f>
        <v>0</v>
      </c>
      <c r="AB234" s="60">
        <f>IF(AB194=1,SUMIF(AB201:AB205,"&gt;0"),0)</f>
        <v>0</v>
      </c>
      <c r="AC234" s="55">
        <f>IF(AC194=1,SUMIF(AC201:AC205,"&gt;0"),0)</f>
        <v>0</v>
      </c>
      <c r="AE234" s="60">
        <f>IF(AE194=1,SUMIF(AE201:AE205,"&gt;0"),0)</f>
        <v>0</v>
      </c>
      <c r="AF234" s="55">
        <f>SUM(B234:AE234)</f>
        <v>3</v>
      </c>
      <c r="AG234" s="55">
        <f>AF242-AF234</f>
        <v>1</v>
      </c>
    </row>
    <row r="235" spans="1:37" s="55" customFormat="1" ht="12.75" hidden="1" customHeight="1" x14ac:dyDescent="0.2">
      <c r="A235" s="55" t="s">
        <v>98</v>
      </c>
      <c r="B235" s="55">
        <f>IF(B194=2,SUMIF(B201:B205,"&gt;0"),0)</f>
        <v>0</v>
      </c>
      <c r="D235" s="60">
        <f>IF(D194=2,SUMIF(D201:D205,"&gt;0"),0)</f>
        <v>0</v>
      </c>
      <c r="E235" s="55">
        <f>IF(E194=2,SUMIF(E201:E205,"&gt;0"),0)</f>
        <v>1</v>
      </c>
      <c r="G235" s="60">
        <f>IF(G194=2,SUMIF(G201:G205,"&gt;0"),0)</f>
        <v>0</v>
      </c>
      <c r="H235" s="55">
        <f>IF(H194=2,SUMIF(H201:H205,"&gt;0"),0)</f>
        <v>0</v>
      </c>
      <c r="J235" s="60">
        <f>IF(J194=2,SUMIF(J201:J205,"&gt;0"),0)</f>
        <v>0</v>
      </c>
      <c r="K235" s="55">
        <f>IF(K194=2,SUMIF(K201:K205,"&gt;0"),0)</f>
        <v>0</v>
      </c>
      <c r="M235" s="60">
        <f>IF(M194=2,SUMIF(M201:M205,"&gt;0"),0)</f>
        <v>0</v>
      </c>
      <c r="N235" s="55">
        <f>IF(N194=2,SUMIF(N201:N205,"&gt;0"),0)</f>
        <v>0</v>
      </c>
      <c r="P235" s="60">
        <f>IF(P194=2,SUMIF(P201:P205,"&gt;0"),0)</f>
        <v>0</v>
      </c>
      <c r="Q235" s="55">
        <f>IF(Q194=2,SUMIF(Q201:Q205,"&gt;0"),0)</f>
        <v>0</v>
      </c>
      <c r="S235" s="60">
        <f>IF(S194=2,SUMIF(S201:S205,"&gt;0"),0)</f>
        <v>0</v>
      </c>
      <c r="T235" s="55">
        <f>IF(T194=2,SUMIF(T201:T205,"&gt;0"),0)</f>
        <v>0</v>
      </c>
      <c r="V235" s="60">
        <f>IF(V194=2,SUMIF(V201:V205,"&gt;0"),0)</f>
        <v>0</v>
      </c>
      <c r="W235" s="55">
        <f>IF(W194=2,SUMIF(W201:W205,"&gt;0"),0)</f>
        <v>0</v>
      </c>
      <c r="Y235" s="60">
        <f>IF(Y194=2,SUMIF(Y201:Y205,"&gt;0"),0)</f>
        <v>0</v>
      </c>
      <c r="Z235" s="55">
        <f>IF(Z194=2,SUMIF(Z201:Z205,"&gt;0"),0)</f>
        <v>0</v>
      </c>
      <c r="AB235" s="60">
        <f>IF(AB194=2,SUMIF(AB201:AB205,"&gt;0"),0)</f>
        <v>0</v>
      </c>
      <c r="AC235" s="55">
        <f>IF(AC194=2,SUMIF(AC201:AC205,"&gt;0"),0)</f>
        <v>0</v>
      </c>
      <c r="AE235" s="60">
        <f>IF(AE194=2,SUMIF(AE201:AE205,"&gt;0"),0)</f>
        <v>0</v>
      </c>
      <c r="AF235" s="55">
        <f>SUM(B235:AE235)</f>
        <v>1</v>
      </c>
      <c r="AG235" s="55">
        <f>AF243-AF235</f>
        <v>3</v>
      </c>
    </row>
    <row r="236" spans="1:37" s="55" customFormat="1" ht="12.75" hidden="1" customHeight="1" x14ac:dyDescent="0.2">
      <c r="A236" s="55" t="s">
        <v>99</v>
      </c>
      <c r="B236" s="55">
        <f>IF(B194=3,SUMIF(B201:B205,"&gt;0"),0)</f>
        <v>0</v>
      </c>
      <c r="D236" s="60">
        <f>IF(D194=3,SUMIF(D201:D205,"&gt;0"),0)</f>
        <v>1</v>
      </c>
      <c r="E236" s="55">
        <f>IF(E194=3,SUMIF(E201:E205,"&gt;0"),0)</f>
        <v>0</v>
      </c>
      <c r="G236" s="60">
        <f>IF(G194=3,SUMIF(G201:G205,"&gt;0"),0)</f>
        <v>1</v>
      </c>
      <c r="H236" s="55">
        <f>IF(H194=3,SUMIF(H201:H205,"&gt;0"),0)</f>
        <v>0</v>
      </c>
      <c r="J236" s="60">
        <f>IF(J194=3,SUMIF(J201:J205,"&gt;0"),0)</f>
        <v>0</v>
      </c>
      <c r="K236" s="55">
        <f>IF(K194=3,SUMIF(K201:K205,"&gt;0"),0)</f>
        <v>0</v>
      </c>
      <c r="M236" s="60">
        <f>IF(M194=3,SUMIF(M201:M205,"&gt;0"),0)</f>
        <v>0</v>
      </c>
      <c r="N236" s="55">
        <f>IF(N194=3,SUMIF(N201:N205,"&gt;0"),0)</f>
        <v>0</v>
      </c>
      <c r="P236" s="60">
        <f>IF(P194=3,SUMIF(P201:P205,"&gt;0"),0)</f>
        <v>0</v>
      </c>
      <c r="Q236" s="55">
        <f>IF(Q194=3,SUMIF(Q201:Q205,"&gt;0"),0)</f>
        <v>0</v>
      </c>
      <c r="S236" s="60">
        <f>IF(S194=3,SUMIF(S201:S205,"&gt;0"),0)</f>
        <v>0</v>
      </c>
      <c r="T236" s="55">
        <f>IF(T194=3,SUMIF(T201:T205,"&gt;0"),0)</f>
        <v>0</v>
      </c>
      <c r="V236" s="60">
        <f>IF(V194=3,SUMIF(V201:V205,"&gt;0"),0)</f>
        <v>0</v>
      </c>
      <c r="W236" s="55">
        <f>IF(W194=3,SUMIF(W201:W205,"&gt;0"),0)</f>
        <v>0</v>
      </c>
      <c r="Y236" s="60">
        <f>IF(Y194=3,SUMIF(Y201:Y205,"&gt;0"),0)</f>
        <v>0</v>
      </c>
      <c r="Z236" s="55">
        <f>IF(Z194=3,SUMIF(Z201:Z205,"&gt;0"),0)</f>
        <v>0</v>
      </c>
      <c r="AB236" s="60">
        <f>IF(AB194=3,SUMIF(AB201:AB205,"&gt;0"),0)</f>
        <v>0</v>
      </c>
      <c r="AC236" s="55">
        <f>IF(AC194=3,SUMIF(AC201:AC205,"&gt;0"),0)</f>
        <v>0</v>
      </c>
      <c r="AE236" s="60">
        <f>IF(AE194=3,SUMIF(AE201:AE205,"&gt;0"),0)</f>
        <v>0</v>
      </c>
      <c r="AF236" s="55">
        <f>SUM(B236:AE236)</f>
        <v>2</v>
      </c>
      <c r="AG236" s="55">
        <f>AF244-AF236</f>
        <v>2</v>
      </c>
    </row>
    <row r="237" spans="1:37" s="55" customFormat="1" ht="12.75" hidden="1" customHeight="1" x14ac:dyDescent="0.2">
      <c r="A237" s="55" t="s">
        <v>100</v>
      </c>
      <c r="B237" s="55">
        <f>IF(B194=4,SUMIF(B201:B205,"&gt;0"),0)</f>
        <v>0</v>
      </c>
      <c r="D237" s="60">
        <f>IF(D194=4,SUMIF(D201:D205,"&gt;0"),0)</f>
        <v>0</v>
      </c>
      <c r="E237" s="55">
        <f>IF(E194=4,SUMIF(E201:E205,"&gt;0"),0)</f>
        <v>0</v>
      </c>
      <c r="G237" s="60">
        <f>IF(G194=4,SUMIF(G201:G205,"&gt;0"),0)</f>
        <v>0</v>
      </c>
      <c r="H237" s="55">
        <f>IF(H194=4,SUMIF(H201:H205,"&gt;0"),0)</f>
        <v>0</v>
      </c>
      <c r="J237" s="60">
        <f>IF(J194=4,SUMIF(J201:J205,"&gt;0"),0)</f>
        <v>0</v>
      </c>
      <c r="K237" s="55">
        <f>IF(K194=4,SUMIF(K201:K205,"&gt;0"),0)</f>
        <v>0</v>
      </c>
      <c r="M237" s="60">
        <f>IF(M194=4,SUMIF(M201:M205,"&gt;0"),0)</f>
        <v>0</v>
      </c>
      <c r="N237" s="55">
        <f>IF(N194=4,SUMIF(N201:N205,"&gt;0"),0)</f>
        <v>0</v>
      </c>
      <c r="P237" s="60">
        <f>IF(P194=4,SUMIF(P201:P205,"&gt;0"),0)</f>
        <v>0</v>
      </c>
      <c r="Q237" s="55">
        <f>IF(Q194=4,SUMIF(Q201:Q205,"&gt;0"),0)</f>
        <v>0</v>
      </c>
      <c r="S237" s="60">
        <f>IF(S194=4,SUMIF(S201:S205,"&gt;0"),0)</f>
        <v>0</v>
      </c>
      <c r="T237" s="55">
        <f>IF(T194=4,SUMIF(T201:T205,"&gt;0"),0)</f>
        <v>0</v>
      </c>
      <c r="V237" s="60">
        <f>IF(V194=4,SUMIF(V201:V205,"&gt;0"),0)</f>
        <v>0</v>
      </c>
      <c r="W237" s="55">
        <f>IF(W194=4,SUMIF(W201:W205,"&gt;0"),0)</f>
        <v>0</v>
      </c>
      <c r="Y237" s="60">
        <f>IF(Y194=4,SUMIF(Y201:Y205,"&gt;0"),0)</f>
        <v>0</v>
      </c>
      <c r="Z237" s="55">
        <f>IF(Z194=4,SUMIF(Z201:Z205,"&gt;0"),0)</f>
        <v>0</v>
      </c>
      <c r="AB237" s="60">
        <f>IF(AB194=4,SUMIF(AB201:AB205,"&gt;0"),0)</f>
        <v>0</v>
      </c>
      <c r="AC237" s="55">
        <f>IF(AC194=4,SUMIF(AC201:AC205,"&gt;0"),0)</f>
        <v>0</v>
      </c>
      <c r="AE237" s="60">
        <f>IF(AE194=4,SUMIF(AE201:AE205,"&gt;0"),0)</f>
        <v>0</v>
      </c>
      <c r="AF237" s="55">
        <f>SUM(B237:AE237)</f>
        <v>0</v>
      </c>
      <c r="AG237" s="55">
        <f>AF245-AF237</f>
        <v>0</v>
      </c>
    </row>
    <row r="238" spans="1:37" s="55" customFormat="1" ht="12.75" hidden="1" customHeight="1" x14ac:dyDescent="0.2">
      <c r="A238" s="55" t="s">
        <v>101</v>
      </c>
      <c r="B238" s="55">
        <f>IF(B194=5,SUMIF(B201:B205,"&gt;0"),0)</f>
        <v>0</v>
      </c>
      <c r="D238" s="60">
        <f>IF(D194=5,SUMIF(D201:D205,"&gt;0"),0)</f>
        <v>0</v>
      </c>
      <c r="E238" s="55">
        <f>IF(E194=5,SUMIF(E201:E205,"&gt;0"),0)</f>
        <v>0</v>
      </c>
      <c r="G238" s="60">
        <f>IF(G194=5,SUMIF(G201:G205,"&gt;0"),0)</f>
        <v>0</v>
      </c>
      <c r="H238" s="55">
        <f>IF(H194=5,SUMIF(H201:H205,"&gt;0"),0)</f>
        <v>0</v>
      </c>
      <c r="J238" s="60">
        <f>IF(J194=5,SUMIF(J201:J205,"&gt;0"),0)</f>
        <v>0</v>
      </c>
      <c r="K238" s="55">
        <f>IF(K194=5,SUMIF(K201:K205,"&gt;0"),0)</f>
        <v>0</v>
      </c>
      <c r="M238" s="60">
        <f>IF(M194=5,SUMIF(M201:M205,"&gt;0"),0)</f>
        <v>0</v>
      </c>
      <c r="N238" s="55">
        <f>IF(N194=5,SUMIF(N201:N205,"&gt;0"),0)</f>
        <v>0</v>
      </c>
      <c r="P238" s="60">
        <f>IF(P194=5,SUMIF(P201:P205,"&gt;0"),0)</f>
        <v>0</v>
      </c>
      <c r="Q238" s="55">
        <f>IF(Q194=5,SUMIF(Q201:Q205,"&gt;0"),0)</f>
        <v>0</v>
      </c>
      <c r="S238" s="60">
        <f>IF(S194=5,SUMIF(S201:S205,"&gt;0"),0)</f>
        <v>0</v>
      </c>
      <c r="T238" s="55">
        <f>IF(T194=5,SUMIF(T201:T205,"&gt;0"),0)</f>
        <v>0</v>
      </c>
      <c r="V238" s="60">
        <f>IF(V194=5,SUMIF(V201:V205,"&gt;0"),0)</f>
        <v>0</v>
      </c>
      <c r="W238" s="55">
        <f>IF(W194=5,SUMIF(W201:W205,"&gt;0"),0)</f>
        <v>0</v>
      </c>
      <c r="Y238" s="60">
        <f>IF(Y194=5,SUMIF(Y201:Y205,"&gt;0"),0)</f>
        <v>0</v>
      </c>
      <c r="Z238" s="55">
        <f>IF(Z194=5,SUMIF(Z201:Z205,"&gt;0"),0)</f>
        <v>0</v>
      </c>
      <c r="AB238" s="60">
        <f>IF(AB194=5,SUMIF(AB201:AB205,"&gt;0"),0)</f>
        <v>0</v>
      </c>
      <c r="AC238" s="55">
        <f>IF(AC194=5,SUMIF(AC201:AC205,"&gt;0"),0)</f>
        <v>0</v>
      </c>
      <c r="AE238" s="60">
        <f>IF(AE194=5,SUMIF(AE201:AE205,"&gt;0"),0)</f>
        <v>0</v>
      </c>
      <c r="AF238" s="55">
        <f>SUM(B238:AE238)</f>
        <v>0</v>
      </c>
      <c r="AG238" s="55">
        <f>AF246-AF238</f>
        <v>0</v>
      </c>
    </row>
    <row r="239" spans="1:37" s="55" customFormat="1" ht="12.75" hidden="1" customHeight="1" x14ac:dyDescent="0.2">
      <c r="D239" s="60"/>
      <c r="G239" s="60"/>
      <c r="J239" s="60"/>
      <c r="M239" s="60"/>
      <c r="P239" s="60"/>
      <c r="S239" s="60"/>
      <c r="V239" s="60"/>
      <c r="Y239" s="60"/>
      <c r="AB239" s="60"/>
      <c r="AE239" s="60"/>
    </row>
    <row r="240" spans="1:37" s="55" customFormat="1" ht="12.75" hidden="1" customHeight="1" x14ac:dyDescent="0.2">
      <c r="D240" s="60"/>
      <c r="G240" s="60"/>
      <c r="J240" s="60"/>
      <c r="M240" s="60"/>
      <c r="P240" s="60"/>
      <c r="S240" s="60"/>
      <c r="V240" s="60"/>
      <c r="Y240" s="60"/>
      <c r="AB240" s="60"/>
      <c r="AE240" s="60"/>
    </row>
    <row r="241" spans="1:49" s="55" customFormat="1" ht="51" hidden="1" customHeight="1" x14ac:dyDescent="0.2">
      <c r="A241" s="59" t="s">
        <v>112</v>
      </c>
      <c r="C241" s="55">
        <f>SUMIF(B234:D238,"&gt;0")</f>
        <v>2</v>
      </c>
      <c r="D241" s="60"/>
      <c r="F241" s="55">
        <f>SUMIF(E234:G238,"&gt;0")</f>
        <v>2</v>
      </c>
      <c r="G241" s="60"/>
      <c r="I241" s="55">
        <f>SUMIF(H234:J238,"&gt;0")</f>
        <v>2</v>
      </c>
      <c r="J241" s="60"/>
      <c r="L241" s="55">
        <f>SUMIF(K234:M238,"&gt;0")</f>
        <v>0</v>
      </c>
      <c r="M241" s="60"/>
      <c r="O241" s="55">
        <f>SUMIF(N234:P238,"&gt;0")</f>
        <v>0</v>
      </c>
      <c r="P241" s="60"/>
      <c r="R241" s="55">
        <f>SUMIF(Q234:S238,"&gt;0")</f>
        <v>0</v>
      </c>
      <c r="S241" s="60"/>
      <c r="U241" s="55">
        <f>SUMIF(T234:V238,"&gt;0")</f>
        <v>0</v>
      </c>
      <c r="V241" s="60"/>
      <c r="X241" s="55">
        <f>SUMIF(W234:Y238,"&gt;0")</f>
        <v>0</v>
      </c>
      <c r="Y241" s="60"/>
      <c r="AA241" s="55">
        <f>SUMIF(Z234:AB238,"&gt;0")</f>
        <v>0</v>
      </c>
      <c r="AB241" s="60"/>
      <c r="AD241" s="55">
        <f>SUMIF(AC234:AE238,"&gt;0")</f>
        <v>0</v>
      </c>
      <c r="AE241" s="60"/>
      <c r="AF241" s="59" t="s">
        <v>113</v>
      </c>
    </row>
    <row r="242" spans="1:49" s="55" customFormat="1" ht="12.75" hidden="1" customHeight="1" x14ac:dyDescent="0.2">
      <c r="A242" s="55" t="s">
        <v>103</v>
      </c>
      <c r="B242" s="55">
        <f>IF(B194=1,C241,0)</f>
        <v>2</v>
      </c>
      <c r="D242" s="60">
        <f>IF(D194=1,C241,0)</f>
        <v>0</v>
      </c>
      <c r="E242" s="55">
        <f>IF(E194=1,F241,0)</f>
        <v>0</v>
      </c>
      <c r="G242" s="60">
        <f>IF(G194=1,F241,0)</f>
        <v>0</v>
      </c>
      <c r="H242" s="55">
        <f>IF(H194=1,I241,0)</f>
        <v>2</v>
      </c>
      <c r="J242" s="60">
        <f>IF(J194=1,I241,0)</f>
        <v>0</v>
      </c>
      <c r="K242" s="55">
        <f>IF(K194=1,L241,0)</f>
        <v>0</v>
      </c>
      <c r="M242" s="60">
        <f>IF(M194=1,L241,0)</f>
        <v>0</v>
      </c>
      <c r="N242" s="55">
        <f>IF(N194=1,O241,0)</f>
        <v>0</v>
      </c>
      <c r="P242" s="60">
        <f>IF(P194=1,O241,0)</f>
        <v>0</v>
      </c>
      <c r="Q242" s="55">
        <f>IF(Q194=1,R241,0)</f>
        <v>0</v>
      </c>
      <c r="S242" s="60">
        <f>IF(S194=1,R241,0)</f>
        <v>0</v>
      </c>
      <c r="T242" s="55">
        <f>IF(T194=1,U241,0)</f>
        <v>0</v>
      </c>
      <c r="V242" s="60">
        <f>IF(V194=1,U241,0)</f>
        <v>0</v>
      </c>
      <c r="W242" s="55">
        <f>IF(W194=1,X241,0)</f>
        <v>0</v>
      </c>
      <c r="Y242" s="60">
        <f>IF(Y194=1,X241,0)</f>
        <v>0</v>
      </c>
      <c r="Z242" s="55">
        <f>IF(Z194=1,AA241,0)</f>
        <v>0</v>
      </c>
      <c r="AB242" s="60">
        <f>IF(AB194=1,AA241,0)</f>
        <v>0</v>
      </c>
      <c r="AC242" s="55">
        <f>IF(AC194=1,AD241,0)</f>
        <v>0</v>
      </c>
      <c r="AE242" s="60">
        <f>IF(AE194=1,AD241,0)</f>
        <v>0</v>
      </c>
      <c r="AF242" s="55">
        <f>SUM(B242:AE242)</f>
        <v>4</v>
      </c>
    </row>
    <row r="243" spans="1:49" s="55" customFormat="1" ht="12.75" hidden="1" customHeight="1" x14ac:dyDescent="0.2">
      <c r="A243" s="55" t="s">
        <v>104</v>
      </c>
      <c r="B243" s="55">
        <f>IF(B194=2,C241,0)</f>
        <v>0</v>
      </c>
      <c r="D243" s="60">
        <f>IF(D194=2,C241,0)</f>
        <v>0</v>
      </c>
      <c r="E243" s="55">
        <f>IF(E194=2,F241,0)</f>
        <v>2</v>
      </c>
      <c r="G243" s="60">
        <f>IF(G194=2,F241,0)</f>
        <v>0</v>
      </c>
      <c r="H243" s="55">
        <f>IF(H194=2,I241,0)</f>
        <v>0</v>
      </c>
      <c r="J243" s="60">
        <f>IF(J194=2,I241,0)</f>
        <v>2</v>
      </c>
      <c r="K243" s="55">
        <f>IF(K194=2,L241,0)</f>
        <v>0</v>
      </c>
      <c r="M243" s="60">
        <f>IF(M194=2,L241,0)</f>
        <v>0</v>
      </c>
      <c r="N243" s="55">
        <f>IF(N194=2,O241,0)</f>
        <v>0</v>
      </c>
      <c r="P243" s="60">
        <f>IF(P194=2,O241,0)</f>
        <v>0</v>
      </c>
      <c r="Q243" s="55">
        <f>IF(Q194=2,R241,0)</f>
        <v>0</v>
      </c>
      <c r="S243" s="60">
        <f>IF(S194=2,R241,0)</f>
        <v>0</v>
      </c>
      <c r="T243" s="55">
        <f>IF(T194=2,U241,0)</f>
        <v>0</v>
      </c>
      <c r="V243" s="60">
        <f>IF(V194=2,U241,0)</f>
        <v>0</v>
      </c>
      <c r="W243" s="55">
        <f>IF(W194=2,X241,0)</f>
        <v>0</v>
      </c>
      <c r="Y243" s="60">
        <f>IF(Y194=2,X241,0)</f>
        <v>0</v>
      </c>
      <c r="Z243" s="55">
        <f>IF(Z194=2,AA241,0)</f>
        <v>0</v>
      </c>
      <c r="AB243" s="60">
        <f>IF(AB194=2,AA241,0)</f>
        <v>0</v>
      </c>
      <c r="AC243" s="55">
        <f>IF(AC194=2,AD241,0)</f>
        <v>0</v>
      </c>
      <c r="AE243" s="60">
        <f>IF(AE194=2,AD241,0)</f>
        <v>0</v>
      </c>
      <c r="AF243" s="55">
        <f>SUM(B243:AE243)</f>
        <v>4</v>
      </c>
    </row>
    <row r="244" spans="1:49" s="55" customFormat="1" ht="12.75" hidden="1" customHeight="1" x14ac:dyDescent="0.2">
      <c r="A244" s="55" t="s">
        <v>105</v>
      </c>
      <c r="B244" s="55">
        <f>IF(B194=3,C241,0)</f>
        <v>0</v>
      </c>
      <c r="D244" s="60">
        <f>IF(D194=3,C241,0)</f>
        <v>2</v>
      </c>
      <c r="E244" s="55">
        <f>IF(E194=3,F241,0)</f>
        <v>0</v>
      </c>
      <c r="G244" s="60">
        <f>IF(G194=3,F241,0)</f>
        <v>2</v>
      </c>
      <c r="H244" s="55">
        <f>IF(H194=3,I241,0)</f>
        <v>0</v>
      </c>
      <c r="J244" s="60">
        <f>IF(J194=3,I241,0)</f>
        <v>0</v>
      </c>
      <c r="K244" s="55">
        <f>IF(K194=3,L241,0)</f>
        <v>0</v>
      </c>
      <c r="M244" s="60">
        <f>IF(M194=3,L241,0)</f>
        <v>0</v>
      </c>
      <c r="N244" s="55">
        <f>IF(N194=3,O241,0)</f>
        <v>0</v>
      </c>
      <c r="P244" s="60">
        <f>IF(P194=3,O241,0)</f>
        <v>0</v>
      </c>
      <c r="Q244" s="55">
        <f>IF(Q194=3,R241,0)</f>
        <v>0</v>
      </c>
      <c r="S244" s="60">
        <f>IF(S194=3,R241,0)</f>
        <v>0</v>
      </c>
      <c r="T244" s="55">
        <f>IF(T194=3,U241,0)</f>
        <v>0</v>
      </c>
      <c r="V244" s="60">
        <f>IF(V194=3,U241,0)</f>
        <v>0</v>
      </c>
      <c r="W244" s="55">
        <f>IF(W194=3,X241,0)</f>
        <v>0</v>
      </c>
      <c r="Y244" s="60">
        <f>IF(Y194=3,X241,0)</f>
        <v>0</v>
      </c>
      <c r="Z244" s="55">
        <f>IF(Z194=3,AA241,0)</f>
        <v>0</v>
      </c>
      <c r="AB244" s="60">
        <f>IF(AB194=3,AA241,0)</f>
        <v>0</v>
      </c>
      <c r="AC244" s="55">
        <f>IF(AC194=3,AD241,0)</f>
        <v>0</v>
      </c>
      <c r="AE244" s="60">
        <f>IF(AE194=3,AD241,0)</f>
        <v>0</v>
      </c>
      <c r="AF244" s="55">
        <f>SUM(B244:AE244)</f>
        <v>4</v>
      </c>
    </row>
    <row r="245" spans="1:49" s="55" customFormat="1" ht="12.75" hidden="1" customHeight="1" x14ac:dyDescent="0.2">
      <c r="A245" s="55" t="s">
        <v>106</v>
      </c>
      <c r="B245" s="55">
        <f>IF(B194=4,C241,0)</f>
        <v>0</v>
      </c>
      <c r="D245" s="60">
        <f>IF(D194=4,C241,0)</f>
        <v>0</v>
      </c>
      <c r="E245" s="55">
        <f>IF(E194=4,F241,0)</f>
        <v>0</v>
      </c>
      <c r="G245" s="60">
        <f>IF(G194=4,F241,0)</f>
        <v>0</v>
      </c>
      <c r="H245" s="55">
        <f>IF(H194=4,I241,0)</f>
        <v>0</v>
      </c>
      <c r="J245" s="60">
        <f>IF(J194=4,I241,0)</f>
        <v>0</v>
      </c>
      <c r="K245" s="55">
        <f>IF(K194=4,L241,0)</f>
        <v>0</v>
      </c>
      <c r="M245" s="60">
        <f>IF(M194=4,L241,0)</f>
        <v>0</v>
      </c>
      <c r="N245" s="55">
        <f>IF(N194=4,O241,0)</f>
        <v>0</v>
      </c>
      <c r="P245" s="60">
        <f>IF(P194=4,O241,0)</f>
        <v>0</v>
      </c>
      <c r="Q245" s="55">
        <f>IF(Q194=4,R241,0)</f>
        <v>0</v>
      </c>
      <c r="S245" s="60">
        <f>IF(S194=4,R241,0)</f>
        <v>0</v>
      </c>
      <c r="T245" s="55">
        <f>IF(T194=4,U241,0)</f>
        <v>0</v>
      </c>
      <c r="V245" s="60">
        <f>IF(V194=4,U241,0)</f>
        <v>0</v>
      </c>
      <c r="W245" s="55">
        <f>IF(W194=4,X241,0)</f>
        <v>0</v>
      </c>
      <c r="Y245" s="60">
        <f>IF(Y194=4,X241,0)</f>
        <v>0</v>
      </c>
      <c r="Z245" s="55">
        <f>IF(Z194=4,AA241,0)</f>
        <v>0</v>
      </c>
      <c r="AB245" s="60">
        <f>IF(AB194=4,AA241,0)</f>
        <v>0</v>
      </c>
      <c r="AC245" s="55">
        <f>IF(AC194=4,AD241,0)</f>
        <v>0</v>
      </c>
      <c r="AE245" s="60">
        <f>IF(AE194=4,AD241,0)</f>
        <v>0</v>
      </c>
      <c r="AF245" s="55">
        <f>SUM(B245:AE245)</f>
        <v>0</v>
      </c>
    </row>
    <row r="246" spans="1:49" s="55" customFormat="1" ht="12.75" hidden="1" customHeight="1" x14ac:dyDescent="0.2">
      <c r="A246" s="55" t="s">
        <v>107</v>
      </c>
      <c r="B246" s="55">
        <f>IF(B194=5,C241,0)</f>
        <v>0</v>
      </c>
      <c r="D246" s="60">
        <f>IF(D194=5,C241,0)</f>
        <v>0</v>
      </c>
      <c r="E246" s="55">
        <f>IF(E194=5,F241,0)</f>
        <v>0</v>
      </c>
      <c r="G246" s="60">
        <f>IF(G194=5,F241,0)</f>
        <v>0</v>
      </c>
      <c r="H246" s="55">
        <f>IF(H194=5,I241,0)</f>
        <v>0</v>
      </c>
      <c r="J246" s="60">
        <f>IF(J194=5,I241,0)</f>
        <v>0</v>
      </c>
      <c r="K246" s="55">
        <f>IF(K194=5,L241,0)</f>
        <v>0</v>
      </c>
      <c r="M246" s="60">
        <f>IF(M194=5,L241,0)</f>
        <v>0</v>
      </c>
      <c r="N246" s="55">
        <f>IF(N194=5,O241,0)</f>
        <v>0</v>
      </c>
      <c r="P246" s="60">
        <f>IF(P194=5,O241,0)</f>
        <v>0</v>
      </c>
      <c r="Q246" s="55">
        <f>IF(Q194=5,R241,0)</f>
        <v>0</v>
      </c>
      <c r="S246" s="60">
        <f>IF(S194=5,R241,0)</f>
        <v>0</v>
      </c>
      <c r="T246" s="55">
        <f>IF(T194=5,U241,0)</f>
        <v>0</v>
      </c>
      <c r="V246" s="60">
        <f>IF(V194=5,U241,0)</f>
        <v>0</v>
      </c>
      <c r="W246" s="55">
        <f>IF(W194=5,X241,0)</f>
        <v>0</v>
      </c>
      <c r="Y246" s="60">
        <f>IF(Y194=5,X241,0)</f>
        <v>0</v>
      </c>
      <c r="Z246" s="55">
        <f>IF(Z194=5,AA241,0)</f>
        <v>0</v>
      </c>
      <c r="AB246" s="60">
        <f>IF(AB194=5,AA241,0)</f>
        <v>0</v>
      </c>
      <c r="AC246" s="55">
        <f>IF(AC194=5,AD241,0)</f>
        <v>0</v>
      </c>
      <c r="AE246" s="60">
        <f>IF(AE194=5,AD241,0)</f>
        <v>0</v>
      </c>
      <c r="AF246" s="55">
        <f>SUM(B246:AE246)</f>
        <v>0</v>
      </c>
    </row>
    <row r="247" spans="1:49" hidden="1" x14ac:dyDescent="0.2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1"/>
      <c r="AO247" s="81"/>
      <c r="AP247" s="81"/>
      <c r="AQ247" s="81"/>
      <c r="AR247" s="63"/>
      <c r="AS247" s="63"/>
      <c r="AT247" s="130"/>
    </row>
    <row r="248" spans="1:49" s="63" customFormat="1" hidden="1" x14ac:dyDescent="0.2">
      <c r="A248" s="64"/>
      <c r="B248" s="64"/>
      <c r="C248" s="64" t="s">
        <v>114</v>
      </c>
      <c r="D248" s="64">
        <v>1</v>
      </c>
      <c r="E248" s="64"/>
      <c r="F248" s="64"/>
      <c r="G248" s="64">
        <v>2</v>
      </c>
      <c r="H248" s="64"/>
      <c r="I248" s="64"/>
      <c r="J248" s="64">
        <v>3</v>
      </c>
      <c r="K248" s="64"/>
      <c r="L248" s="64"/>
      <c r="M248" s="64">
        <v>4</v>
      </c>
      <c r="N248" s="64"/>
      <c r="O248" s="64"/>
      <c r="P248" s="64">
        <v>5</v>
      </c>
      <c r="Q248" s="64"/>
      <c r="R248" s="64"/>
      <c r="S248" s="64">
        <v>6</v>
      </c>
      <c r="T248" s="64"/>
      <c r="U248" s="64"/>
      <c r="V248" s="64">
        <v>7</v>
      </c>
      <c r="W248" s="64"/>
      <c r="X248" s="64"/>
      <c r="Y248" s="64">
        <v>8</v>
      </c>
      <c r="Z248" s="64"/>
      <c r="AA248" s="64"/>
      <c r="AB248" s="64">
        <v>9</v>
      </c>
      <c r="AC248" s="64"/>
      <c r="AD248" s="64"/>
      <c r="AE248" s="64">
        <v>10</v>
      </c>
      <c r="AF248" s="4"/>
      <c r="AG248" s="64"/>
      <c r="AI248" s="65"/>
      <c r="AJ248" s="4"/>
      <c r="AK248" s="4"/>
      <c r="AL248" s="4"/>
      <c r="AM248" s="4"/>
      <c r="AN248" s="4"/>
      <c r="AO248" s="4"/>
      <c r="AT248" s="65" t="s">
        <v>115</v>
      </c>
      <c r="AW248" s="66"/>
    </row>
    <row r="249" spans="1:49" s="63" customFormat="1" hidden="1" x14ac:dyDescent="0.2">
      <c r="A249" s="67">
        <v>1</v>
      </c>
      <c r="B249" s="67" t="str">
        <f>E178</f>
        <v>CSNS 12-1</v>
      </c>
      <c r="C249" s="67">
        <f>VLOOKUP(B249,AU$3:AW$33,3,FALSE)</f>
        <v>1313.3752502473765</v>
      </c>
      <c r="D249" s="67">
        <f>IF(B242,B257,IF(D242,D257,C249))</f>
        <v>1311.0359638479608</v>
      </c>
      <c r="E249" s="67"/>
      <c r="F249" s="67"/>
      <c r="G249" s="67">
        <f>IF(E242,E257,IF(G242,G257,D249))</f>
        <v>1311.0359638479608</v>
      </c>
      <c r="H249" s="67"/>
      <c r="I249" s="67"/>
      <c r="J249" s="67">
        <f>IF(H242,H257,IF(J242,J257,G249))</f>
        <v>1320.1224701030078</v>
      </c>
      <c r="K249" s="67"/>
      <c r="L249" s="67"/>
      <c r="M249" s="67">
        <f>IF(K242,K257,IF(M242,M257,J249))</f>
        <v>1320.1224701030078</v>
      </c>
      <c r="N249" s="67"/>
      <c r="O249" s="67"/>
      <c r="P249" s="67">
        <f>IF(N242,N257,IF(P242,P257,M249))</f>
        <v>1320.1224701030078</v>
      </c>
      <c r="Q249" s="67"/>
      <c r="R249" s="67"/>
      <c r="S249" s="67">
        <f>IF(Q242,Q257,IF(S242,S257,P249))</f>
        <v>1320.1224701030078</v>
      </c>
      <c r="T249" s="67"/>
      <c r="U249" s="67"/>
      <c r="V249" s="67">
        <f>IF(T242,T257,IF(V242,V257,S249))</f>
        <v>1320.1224701030078</v>
      </c>
      <c r="W249" s="67"/>
      <c r="X249" s="67"/>
      <c r="Y249" s="67">
        <f>IF(W242,W257,IF(Y242,Y257,V249))</f>
        <v>1320.1224701030078</v>
      </c>
      <c r="Z249" s="67"/>
      <c r="AA249" s="67"/>
      <c r="AB249" s="67">
        <f>IF(Z242,Z257,IF(AB242,AB257,Y249))</f>
        <v>1320.1224701030078</v>
      </c>
      <c r="AC249" s="67"/>
      <c r="AD249" s="67"/>
      <c r="AE249" s="67">
        <f>IF(AC242,AC257,IF(AE242,AE257,AB249))</f>
        <v>1320.1224701030078</v>
      </c>
      <c r="AF249" s="4"/>
      <c r="AG249" s="4"/>
      <c r="AJ249" s="4"/>
      <c r="AK249" s="4"/>
      <c r="AL249" s="4"/>
      <c r="AM249" s="4"/>
      <c r="AN249" s="4"/>
      <c r="AO249" s="4"/>
      <c r="AT249" s="63" t="str">
        <f>B249</f>
        <v>CSNS 12-1</v>
      </c>
      <c r="AU249" s="63">
        <f>AE249</f>
        <v>1320.1224701030078</v>
      </c>
      <c r="AW249" s="66"/>
    </row>
    <row r="250" spans="1:49" s="63" customFormat="1" hidden="1" x14ac:dyDescent="0.2">
      <c r="A250" s="67">
        <v>2</v>
      </c>
      <c r="B250" s="67" t="str">
        <f>E180</f>
        <v>columbia sc starlings 13</v>
      </c>
      <c r="C250" s="67">
        <f>VLOOKUP(B250,AU$3:AW$33,3,FALSE)</f>
        <v>1145.0627264163368</v>
      </c>
      <c r="D250" s="67">
        <f>IF(B243,B257,IF(D243,D257,C250))</f>
        <v>1145.0627264163368</v>
      </c>
      <c r="E250" s="67"/>
      <c r="F250" s="67"/>
      <c r="G250" s="67">
        <f>IF(E243,E257,IF(G243,G257,D250))</f>
        <v>1150.3582104110221</v>
      </c>
      <c r="H250" s="67"/>
      <c r="I250" s="67"/>
      <c r="J250" s="67">
        <f>IF(H243,H257,IF(J243,J257,G250))</f>
        <v>1141.2717041559752</v>
      </c>
      <c r="K250" s="67"/>
      <c r="L250" s="67"/>
      <c r="M250" s="67">
        <f>IF(K243,K257,IF(M243,M257,J250))</f>
        <v>1141.2717041559752</v>
      </c>
      <c r="N250" s="67"/>
      <c r="O250" s="67"/>
      <c r="P250" s="67">
        <f>IF(N243,N257,IF(P243,P257,M250))</f>
        <v>1141.2717041559752</v>
      </c>
      <c r="Q250" s="67"/>
      <c r="R250" s="67"/>
      <c r="S250" s="67">
        <f>IF(Q243,Q257,IF(S243,S257,P250))</f>
        <v>1141.2717041559752</v>
      </c>
      <c r="T250" s="67"/>
      <c r="U250" s="67"/>
      <c r="V250" s="67">
        <f>IF(T243,T257,IF(V243,V257,S250))</f>
        <v>1141.2717041559752</v>
      </c>
      <c r="W250" s="67"/>
      <c r="X250" s="67"/>
      <c r="Y250" s="67">
        <f>IF(W243,W257,IF(Y243,Y257,V250))</f>
        <v>1141.2717041559752</v>
      </c>
      <c r="Z250" s="67"/>
      <c r="AA250" s="67"/>
      <c r="AB250" s="67">
        <f>IF(Z243,Z257,IF(AB243,AB257,Y250))</f>
        <v>1141.2717041559752</v>
      </c>
      <c r="AC250" s="67"/>
      <c r="AD250" s="67"/>
      <c r="AE250" s="67">
        <f>IF(AC243,AC257,IF(AE243,AE257,AB250))</f>
        <v>1141.2717041559752</v>
      </c>
      <c r="AF250" s="4"/>
      <c r="AG250" s="4"/>
      <c r="AJ250" s="4"/>
      <c r="AL250" s="4"/>
      <c r="AM250" s="4"/>
      <c r="AN250" s="4"/>
      <c r="AO250" s="4"/>
      <c r="AT250" s="63" t="str">
        <f>B250</f>
        <v>columbia sc starlings 13</v>
      </c>
      <c r="AU250" s="63">
        <f>AE250</f>
        <v>1141.2717041559752</v>
      </c>
      <c r="AW250" s="66"/>
    </row>
    <row r="251" spans="1:49" s="63" customFormat="1" hidden="1" x14ac:dyDescent="0.2">
      <c r="A251" s="67">
        <v>3</v>
      </c>
      <c r="B251" s="67" t="str">
        <f>E182</f>
        <v>Foothills 13 Caitlin</v>
      </c>
      <c r="C251" s="67">
        <f>VLOOKUP(B251,AU$3:AW$33,3,FALSE)</f>
        <v>1262.211631667539</v>
      </c>
      <c r="D251" s="67">
        <f>IF(B244,B257,IF(D244,D257,C251))</f>
        <v>1264.5509180669546</v>
      </c>
      <c r="E251" s="67"/>
      <c r="F251" s="67"/>
      <c r="G251" s="67">
        <f>IF(E244,E257,IF(G244,G257,D251))</f>
        <v>1259.2554340722693</v>
      </c>
      <c r="H251" s="67"/>
      <c r="I251" s="67"/>
      <c r="J251" s="67">
        <f>IF(H244,H257,IF(J244,J257,G251))</f>
        <v>1259.2554340722693</v>
      </c>
      <c r="K251" s="67"/>
      <c r="L251" s="67"/>
      <c r="M251" s="67">
        <f>IF(K244,K257,IF(M244,M257,J251))</f>
        <v>1259.2554340722693</v>
      </c>
      <c r="N251" s="67"/>
      <c r="O251" s="67"/>
      <c r="P251" s="67">
        <f>IF(N244,N257,IF(P244,P257,M251))</f>
        <v>1259.2554340722693</v>
      </c>
      <c r="Q251" s="67"/>
      <c r="R251" s="67"/>
      <c r="S251" s="67">
        <f>IF(Q244,Q257,IF(S244,S257,P251))</f>
        <v>1259.2554340722693</v>
      </c>
      <c r="T251" s="67"/>
      <c r="U251" s="67"/>
      <c r="V251" s="67">
        <f>IF(T244,T257,IF(V244,V257,S251))</f>
        <v>1259.2554340722693</v>
      </c>
      <c r="W251" s="67"/>
      <c r="X251" s="67"/>
      <c r="Y251" s="67">
        <f>IF(W244,W257,IF(Y244,Y257,V251))</f>
        <v>1259.2554340722693</v>
      </c>
      <c r="Z251" s="67"/>
      <c r="AA251" s="67"/>
      <c r="AB251" s="67">
        <f>IF(Z244,Z257,IF(AB244,AB257,Y251))</f>
        <v>1259.2554340722693</v>
      </c>
      <c r="AC251" s="67"/>
      <c r="AD251" s="67"/>
      <c r="AE251" s="67">
        <f>IF(AC244,AC257,IF(AE244,AE257,AB251))</f>
        <v>1259.2554340722693</v>
      </c>
      <c r="AF251" s="4"/>
      <c r="AG251" s="4"/>
      <c r="AJ251" s="4"/>
      <c r="AL251" s="4"/>
      <c r="AM251" s="4"/>
      <c r="AN251" s="4"/>
      <c r="AO251" s="4"/>
      <c r="AT251" s="63" t="str">
        <f>B251</f>
        <v>Foothills 13 Caitlin</v>
      </c>
      <c r="AU251" s="63">
        <f>AE251</f>
        <v>1259.2554340722693</v>
      </c>
      <c r="AW251" s="66"/>
    </row>
    <row r="252" spans="1:49" s="63" customFormat="1" hidden="1" x14ac:dyDescent="0.2">
      <c r="A252" s="67">
        <v>4</v>
      </c>
      <c r="B252" s="67" t="e">
        <f>E184</f>
        <v>#REF!</v>
      </c>
      <c r="C252" s="67" t="e">
        <f>VLOOKUP(B252,AU$3:AW$33,3,FALSE)</f>
        <v>#REF!</v>
      </c>
      <c r="D252" s="67" t="e">
        <f>IF(B245,B257,IF(D245,D257,C252))</f>
        <v>#REF!</v>
      </c>
      <c r="E252" s="67"/>
      <c r="F252" s="67"/>
      <c r="G252" s="67" t="e">
        <f>IF(E245,E257,IF(G245,G257,D252))</f>
        <v>#REF!</v>
      </c>
      <c r="H252" s="67"/>
      <c r="I252" s="67"/>
      <c r="J252" s="67" t="e">
        <f>IF(H245,H257,IF(J245,J257,G252))</f>
        <v>#REF!</v>
      </c>
      <c r="K252" s="67"/>
      <c r="L252" s="67"/>
      <c r="M252" s="67" t="e">
        <f>IF(K245,K257,IF(M245,M257,J252))</f>
        <v>#REF!</v>
      </c>
      <c r="N252" s="67"/>
      <c r="O252" s="67"/>
      <c r="P252" s="67" t="e">
        <f>IF(N245,N257,IF(P245,P257,M252))</f>
        <v>#REF!</v>
      </c>
      <c r="Q252" s="67"/>
      <c r="R252" s="67"/>
      <c r="S252" s="67" t="e">
        <f>IF(Q245,Q257,IF(S245,S257,P252))</f>
        <v>#REF!</v>
      </c>
      <c r="T252" s="67"/>
      <c r="U252" s="67"/>
      <c r="V252" s="67" t="e">
        <f>IF(T245,T257,IF(V245,V257,S252))</f>
        <v>#REF!</v>
      </c>
      <c r="W252" s="67"/>
      <c r="X252" s="67"/>
      <c r="Y252" s="67" t="e">
        <f>IF(W245,W257,IF(Y245,Y257,V252))</f>
        <v>#REF!</v>
      </c>
      <c r="Z252" s="67"/>
      <c r="AA252" s="67"/>
      <c r="AB252" s="67" t="e">
        <f>IF(Z245,Z257,IF(AB245,AB257,Y252))</f>
        <v>#REF!</v>
      </c>
      <c r="AC252" s="67"/>
      <c r="AD252" s="67"/>
      <c r="AE252" s="67" t="e">
        <f>IF(AC245,AC257,IF(AE245,AE257,AB252))</f>
        <v>#REF!</v>
      </c>
      <c r="AF252" s="4"/>
      <c r="AG252" s="4"/>
      <c r="AJ252" s="4"/>
      <c r="AL252" s="4"/>
      <c r="AM252" s="4"/>
      <c r="AN252" s="4"/>
      <c r="AO252" s="4"/>
      <c r="AT252" s="63" t="e">
        <f>B252</f>
        <v>#REF!</v>
      </c>
      <c r="AU252" s="63" t="e">
        <f>AE252</f>
        <v>#REF!</v>
      </c>
      <c r="AW252" s="66"/>
    </row>
    <row r="253" spans="1:49" s="63" customFormat="1" hidden="1" x14ac:dyDescent="0.2">
      <c r="A253" s="67">
        <v>5</v>
      </c>
      <c r="B253" s="67" t="e">
        <f>E186</f>
        <v>#REF!</v>
      </c>
      <c r="C253" s="67" t="e">
        <f>VLOOKUP(B253,AU$3:AW$33,3,FALSE)</f>
        <v>#REF!</v>
      </c>
      <c r="D253" s="67" t="e">
        <f>IF(B246,B257,IF(D246,D257,C253))</f>
        <v>#REF!</v>
      </c>
      <c r="E253" s="67"/>
      <c r="F253" s="67"/>
      <c r="G253" s="67" t="e">
        <f>IF(E246,E257,IF(G246,G257,D253))</f>
        <v>#REF!</v>
      </c>
      <c r="H253" s="67"/>
      <c r="I253" s="67"/>
      <c r="J253" s="67" t="e">
        <f>IF(H246,H257,IF(J246,J257,G253))</f>
        <v>#REF!</v>
      </c>
      <c r="K253" s="67"/>
      <c r="L253" s="67"/>
      <c r="M253" s="67" t="e">
        <f>IF(K246,K257,IF(M246,M257,J253))</f>
        <v>#REF!</v>
      </c>
      <c r="N253" s="67"/>
      <c r="O253" s="67"/>
      <c r="P253" s="67" t="e">
        <f>IF(N246,N257,IF(P246,P257,M253))</f>
        <v>#REF!</v>
      </c>
      <c r="Q253" s="67"/>
      <c r="R253" s="67"/>
      <c r="S253" s="67" t="e">
        <f>IF(Q246,Q257,IF(S246,S257,P253))</f>
        <v>#REF!</v>
      </c>
      <c r="T253" s="67"/>
      <c r="U253" s="67"/>
      <c r="V253" s="67" t="e">
        <f>IF(T246,T257,IF(V246,V257,S253))</f>
        <v>#REF!</v>
      </c>
      <c r="W253" s="67"/>
      <c r="X253" s="67"/>
      <c r="Y253" s="67" t="e">
        <f>IF(W246,W257,IF(Y246,Y257,V253))</f>
        <v>#REF!</v>
      </c>
      <c r="Z253" s="67"/>
      <c r="AA253" s="67"/>
      <c r="AB253" s="67" t="e">
        <f>IF(Z246,Z257,IF(AB246,AB257,Y253))</f>
        <v>#REF!</v>
      </c>
      <c r="AC253" s="67"/>
      <c r="AD253" s="67"/>
      <c r="AE253" s="67" t="e">
        <f>IF(AC246,AC257,IF(AE246,AE257,AB253))</f>
        <v>#REF!</v>
      </c>
      <c r="AF253" s="4"/>
      <c r="AG253" s="4"/>
      <c r="AJ253" s="4"/>
      <c r="AL253" s="4"/>
      <c r="AM253" s="4"/>
      <c r="AN253" s="4"/>
      <c r="AO253" s="4"/>
      <c r="AT253" s="63" t="e">
        <f>B253</f>
        <v>#REF!</v>
      </c>
      <c r="AU253" s="63" t="e">
        <f>AE253</f>
        <v>#REF!</v>
      </c>
      <c r="AW253" s="66"/>
    </row>
    <row r="254" spans="1:49" s="63" customFormat="1" hidden="1" x14ac:dyDescent="0.2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4"/>
      <c r="AG254" s="4"/>
      <c r="AJ254" s="4"/>
      <c r="AL254" s="4"/>
      <c r="AM254" s="4"/>
      <c r="AN254" s="4"/>
      <c r="AO254" s="4"/>
      <c r="AW254" s="66"/>
    </row>
    <row r="255" spans="1:49" s="63" customFormat="1" hidden="1" x14ac:dyDescent="0.2">
      <c r="A255" s="67" t="s">
        <v>116</v>
      </c>
      <c r="B255" s="67">
        <f>VLOOKUP(B194,$A249:$AE253,3,FALSE)</f>
        <v>1313.3752502473765</v>
      </c>
      <c r="C255" s="67">
        <v>1</v>
      </c>
      <c r="D255" s="67">
        <f>VLOOKUP(D194,$A249:$AE253,3,FALSE)</f>
        <v>1262.211631667539</v>
      </c>
      <c r="E255" s="67">
        <f>VLOOKUP(E194,$A249:$AE253,4,FALSE)</f>
        <v>1145.0627264163368</v>
      </c>
      <c r="F255" s="67">
        <v>2</v>
      </c>
      <c r="G255" s="67">
        <f>VLOOKUP(G194,$A249:$AE253,4,FALSE)</f>
        <v>1264.5509180669546</v>
      </c>
      <c r="H255" s="67">
        <f>VLOOKUP(H194,$A249:$AE253,7,FALSE)</f>
        <v>1311.0359638479608</v>
      </c>
      <c r="I255" s="67">
        <v>3</v>
      </c>
      <c r="J255" s="67">
        <f>VLOOKUP(J194,$A249:$AE253,7,FALSE)</f>
        <v>1150.3582104110221</v>
      </c>
      <c r="K255" s="67">
        <f>VLOOKUP(K194,$A249:$AE253,10,FALSE)</f>
        <v>1320.1224701030078</v>
      </c>
      <c r="L255" s="67">
        <v>4</v>
      </c>
      <c r="M255" s="67">
        <f>VLOOKUP(M194,$A249:$AE253,10,FALSE)</f>
        <v>1259.2554340722693</v>
      </c>
      <c r="N255" s="67">
        <f>VLOOKUP(N194,$A249:$AE253,13,FALSE)</f>
        <v>1259.2554340722693</v>
      </c>
      <c r="O255" s="67">
        <v>5</v>
      </c>
      <c r="P255" s="67" t="e">
        <f>VLOOKUP(P194,$A249:$AE253,13,FALSE)</f>
        <v>#REF!</v>
      </c>
      <c r="Q255" s="67">
        <f>VLOOKUP(Q194,$A249:$AE253,16,FALSE)</f>
        <v>1320.1224701030078</v>
      </c>
      <c r="R255" s="67">
        <v>6</v>
      </c>
      <c r="S255" s="67">
        <f>VLOOKUP(S194,$A249:$AE253,16,FALSE)</f>
        <v>1141.2717041559752</v>
      </c>
      <c r="T255" s="67" t="e">
        <f>VLOOKUP(T194,$A249:$AE253,19,FALSE)</f>
        <v>#N/A</v>
      </c>
      <c r="U255" s="67">
        <v>7</v>
      </c>
      <c r="V255" s="67" t="e">
        <f>VLOOKUP(V194,$A249:$AE253,19,FALSE)</f>
        <v>#N/A</v>
      </c>
      <c r="W255" s="67" t="e">
        <f>VLOOKUP(W194,$A249:$AE253,22,FALSE)</f>
        <v>#N/A</v>
      </c>
      <c r="X255" s="67">
        <v>8</v>
      </c>
      <c r="Y255" s="67" t="e">
        <f>VLOOKUP(Y194,$A249:$AE253,22,FALSE)</f>
        <v>#N/A</v>
      </c>
      <c r="Z255" s="67" t="e">
        <f>VLOOKUP(Z194,$A249:$AE253,25,FALSE)</f>
        <v>#N/A</v>
      </c>
      <c r="AA255" s="67">
        <v>9</v>
      </c>
      <c r="AB255" s="67" t="e">
        <f>VLOOKUP(AB194,$A249:$AE253,25,FALSE)</f>
        <v>#N/A</v>
      </c>
      <c r="AC255" s="67" t="e">
        <f>VLOOKUP(AC194,$A249:$AE253,28,FALSE)</f>
        <v>#N/A</v>
      </c>
      <c r="AD255" s="67">
        <v>10</v>
      </c>
      <c r="AE255" s="67" t="e">
        <f>VLOOKUP(AE194,$A249:$AE253,28,FALSE)</f>
        <v>#N/A</v>
      </c>
      <c r="AF255" s="4"/>
      <c r="AG255" s="80"/>
      <c r="AH255" s="80"/>
      <c r="AI255" s="80"/>
      <c r="AJ255" s="80"/>
      <c r="AK255" s="80"/>
      <c r="AL255" s="80"/>
      <c r="AM255" s="80"/>
      <c r="AN255" s="81"/>
      <c r="AO255" s="81"/>
      <c r="AP255" s="81"/>
      <c r="AQ255" s="81"/>
      <c r="AW255" s="66"/>
    </row>
    <row r="256" spans="1:49" s="72" customFormat="1" hidden="1" x14ac:dyDescent="0.2">
      <c r="A256" s="68" t="s">
        <v>117</v>
      </c>
      <c r="B256" s="68">
        <f>1/(1+(10^-((B255-D255)/400)))*(B206+D206)</f>
        <v>1.1462053999634769</v>
      </c>
      <c r="C256" s="68"/>
      <c r="D256" s="68">
        <f>1/(1+(10^-((D255-B255)/400)))*(B206+D206)</f>
        <v>0.85379460003652297</v>
      </c>
      <c r="E256" s="68">
        <f>1/(1+(10^-((E255-G255)/400)))*(E206+G206)</f>
        <v>0.66903225033216085</v>
      </c>
      <c r="F256" s="68"/>
      <c r="G256" s="68">
        <f>1/(1+(10^-((G255-E255)/400)))*(E206+G206)</f>
        <v>1.3309677496678394</v>
      </c>
      <c r="H256" s="68">
        <f>1/(1+(10^-((H255-J255)/400)))*(H206+J206)</f>
        <v>1.4320933590595677</v>
      </c>
      <c r="I256" s="68"/>
      <c r="J256" s="68">
        <f>1/(1+(10^-((J255-H255)/400)))*(H206+J206)</f>
        <v>0.56790664094043242</v>
      </c>
      <c r="K256" s="68">
        <f>1/(1+(10^-((K255-M255)/400)))*(K206+M206)</f>
        <v>0</v>
      </c>
      <c r="L256" s="68"/>
      <c r="M256" s="68">
        <f>1/(1+(10^-((M255-K255)/400)))*(K206+M206)</f>
        <v>0</v>
      </c>
      <c r="N256" s="68" t="e">
        <f>1/(1+(10^-((N255-P255)/400)))*(N206+P206)</f>
        <v>#REF!</v>
      </c>
      <c r="O256" s="68"/>
      <c r="P256" s="68" t="e">
        <f>1/(1+(10^-((P255-N255)/400)))*(N206+P206)</f>
        <v>#REF!</v>
      </c>
      <c r="Q256" s="68">
        <f>1/(1+(10^-((Q255-S255)/400)))*(Q206+S206)</f>
        <v>0</v>
      </c>
      <c r="R256" s="68"/>
      <c r="S256" s="68">
        <f>1/(1+(10^-((S255-Q255)/400)))*(Q206+S206)</f>
        <v>0</v>
      </c>
      <c r="T256" s="68" t="e">
        <f>1/(1+(10^-((T255-V255)/400)))*(T206+V206)</f>
        <v>#N/A</v>
      </c>
      <c r="U256" s="68"/>
      <c r="V256" s="68" t="e">
        <f>1/(1+(10^-((V255-T255)/400)))*(T206+V206)</f>
        <v>#N/A</v>
      </c>
      <c r="W256" s="68" t="e">
        <f>1/(1+(10^-((W255-Y255)/400)))*(W206+Y206)</f>
        <v>#N/A</v>
      </c>
      <c r="X256" s="68"/>
      <c r="Y256" s="68" t="e">
        <f>1/(1+(10^-((Y255-W255)/400)))*(W206+Y206)</f>
        <v>#N/A</v>
      </c>
      <c r="Z256" s="68" t="e">
        <f>1/(1+(10^-((Z255-AB255)/400)))*(Z206+AB206)</f>
        <v>#N/A</v>
      </c>
      <c r="AA256" s="68"/>
      <c r="AB256" s="68" t="e">
        <f>1/(1+(10^-((AB255-Z255)/400)))*(Z206+AB206)</f>
        <v>#N/A</v>
      </c>
      <c r="AC256" s="68" t="e">
        <f>1/(1+(10^-((AC255-AE255)/400)))*(AC206+AE206)</f>
        <v>#N/A</v>
      </c>
      <c r="AD256" s="68"/>
      <c r="AE256" s="68" t="e">
        <f>1/(1+(10^-((AE255-AC255)/400)))*(AC206+AE206)</f>
        <v>#N/A</v>
      </c>
      <c r="AF256" s="69"/>
      <c r="AG256" s="70"/>
      <c r="AH256" s="70"/>
      <c r="AI256" s="70"/>
      <c r="AJ256" s="70"/>
      <c r="AK256" s="70"/>
      <c r="AL256" s="70"/>
      <c r="AM256" s="70"/>
      <c r="AN256" s="71"/>
      <c r="AO256" s="71"/>
      <c r="AP256" s="71"/>
      <c r="AQ256" s="71"/>
      <c r="AW256" s="73"/>
    </row>
    <row r="257" spans="1:49" s="78" customFormat="1" hidden="1" x14ac:dyDescent="0.2">
      <c r="A257" s="74" t="s">
        <v>118</v>
      </c>
      <c r="B257" s="74">
        <f>B255+(B206-B256)*$BA$1</f>
        <v>1311.0359638479608</v>
      </c>
      <c r="C257" s="74"/>
      <c r="D257" s="74">
        <f>D255+(D206-D256)*$BA$1</f>
        <v>1264.5509180669546</v>
      </c>
      <c r="E257" s="74">
        <f>E255+(E206-E256)*$BA$1</f>
        <v>1150.3582104110221</v>
      </c>
      <c r="F257" s="74"/>
      <c r="G257" s="74">
        <f>G255+(G206-G256)*$BA$1</f>
        <v>1259.2554340722693</v>
      </c>
      <c r="H257" s="74">
        <f>H255+(H206-H256)*$BA$1</f>
        <v>1320.1224701030078</v>
      </c>
      <c r="I257" s="74"/>
      <c r="J257" s="74">
        <f>J255+(J206-J256)*$BA$1</f>
        <v>1141.2717041559752</v>
      </c>
      <c r="K257" s="74">
        <f>K255+(K206-K256)*$BA$1</f>
        <v>1320.1224701030078</v>
      </c>
      <c r="L257" s="74"/>
      <c r="M257" s="74">
        <f>M255+(M206-M256)*$BA$1</f>
        <v>1259.2554340722693</v>
      </c>
      <c r="N257" s="74" t="e">
        <f>N255+(N206-N256)*$BA$1</f>
        <v>#REF!</v>
      </c>
      <c r="O257" s="74"/>
      <c r="P257" s="74" t="e">
        <f>P255+(P206-P256)*$BA$1</f>
        <v>#REF!</v>
      </c>
      <c r="Q257" s="74">
        <f>Q255+(Q206-Q256)*$BA$1</f>
        <v>1320.1224701030078</v>
      </c>
      <c r="R257" s="74"/>
      <c r="S257" s="74">
        <f>S255+(S206-S256)*$BA$1</f>
        <v>1141.2717041559752</v>
      </c>
      <c r="T257" s="74" t="e">
        <f>T255+(T206-T256)*$BA$1</f>
        <v>#N/A</v>
      </c>
      <c r="U257" s="74"/>
      <c r="V257" s="74" t="e">
        <f>V255+(V206-V256)*$BA$1</f>
        <v>#N/A</v>
      </c>
      <c r="W257" s="74" t="e">
        <f>W255+(W206-W256)*$BA$1</f>
        <v>#N/A</v>
      </c>
      <c r="X257" s="74"/>
      <c r="Y257" s="74" t="e">
        <f>Y255+(Y206-Y256)*$BA$1</f>
        <v>#N/A</v>
      </c>
      <c r="Z257" s="74" t="e">
        <f>Z255+(Z206-Z256)*$BA$1</f>
        <v>#N/A</v>
      </c>
      <c r="AA257" s="74"/>
      <c r="AB257" s="74" t="e">
        <f>AB255+(AB206-AB256)*$BA$1</f>
        <v>#N/A</v>
      </c>
      <c r="AC257" s="74" t="e">
        <f>AC255+(AC206-AC256)*$BA$1</f>
        <v>#N/A</v>
      </c>
      <c r="AD257" s="74"/>
      <c r="AE257" s="74" t="e">
        <f>AE255+(AE206-AE256)*$BA$1</f>
        <v>#N/A</v>
      </c>
      <c r="AF257" s="75"/>
      <c r="AG257" s="76"/>
      <c r="AH257" s="76"/>
      <c r="AI257" s="76"/>
      <c r="AJ257" s="76"/>
      <c r="AK257" s="76"/>
      <c r="AL257" s="76"/>
      <c r="AM257" s="76"/>
      <c r="AN257" s="77"/>
      <c r="AO257" s="77"/>
      <c r="AP257" s="77"/>
      <c r="AQ257" s="77"/>
      <c r="AW257" s="79"/>
    </row>
    <row r="258" spans="1:49" s="78" customFormat="1" hidden="1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5"/>
      <c r="AG258" s="76"/>
      <c r="AH258" s="76"/>
      <c r="AI258" s="76"/>
      <c r="AJ258" s="76"/>
      <c r="AK258" s="76"/>
      <c r="AL258" s="76"/>
      <c r="AM258" s="76"/>
      <c r="AN258" s="77"/>
      <c r="AO258" s="77"/>
      <c r="AP258" s="77"/>
      <c r="AQ258" s="77"/>
      <c r="AT258" s="79"/>
    </row>
    <row r="259" spans="1:49" s="63" customFormat="1" x14ac:dyDescent="0.2">
      <c r="A259" s="329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329"/>
      <c r="Q259" s="329"/>
      <c r="R259" s="329"/>
      <c r="S259" s="329"/>
      <c r="T259" s="329"/>
      <c r="U259" s="329"/>
      <c r="V259" s="329"/>
      <c r="W259" s="329"/>
      <c r="X259" s="329"/>
      <c r="Y259" s="329"/>
      <c r="Z259" s="329"/>
      <c r="AA259" s="329"/>
      <c r="AB259" s="329"/>
      <c r="AC259" s="329"/>
      <c r="AD259" s="329"/>
      <c r="AE259" s="329"/>
      <c r="AF259" s="329"/>
      <c r="AG259" s="329"/>
      <c r="AH259" s="329"/>
      <c r="AI259" s="329"/>
      <c r="AJ259" s="329"/>
      <c r="AK259" s="329"/>
      <c r="AL259" s="329"/>
      <c r="AM259" s="329"/>
      <c r="AN259" s="330"/>
      <c r="AO259" s="330"/>
      <c r="AP259" s="330"/>
      <c r="AQ259" s="330"/>
    </row>
    <row r="260" spans="1:49" s="63" customFormat="1" x14ac:dyDescent="0.2">
      <c r="A260" s="331"/>
      <c r="B260" s="331"/>
      <c r="C260" s="331"/>
      <c r="D260" s="331"/>
      <c r="E260" s="331"/>
      <c r="F260" s="331"/>
      <c r="G260" s="331"/>
      <c r="H260" s="331"/>
      <c r="I260" s="331"/>
      <c r="J260" s="331"/>
      <c r="K260" s="331"/>
      <c r="L260" s="331"/>
      <c r="M260" s="331"/>
      <c r="N260" s="331"/>
      <c r="O260" s="331"/>
      <c r="P260" s="331"/>
      <c r="Q260" s="331"/>
      <c r="R260" s="331"/>
      <c r="S260" s="331"/>
      <c r="T260" s="331"/>
      <c r="U260" s="331"/>
      <c r="V260" s="331"/>
      <c r="W260" s="331"/>
      <c r="X260" s="331"/>
      <c r="Y260" s="331"/>
      <c r="Z260" s="331"/>
      <c r="AA260" s="331"/>
      <c r="AB260" s="331"/>
      <c r="AC260" s="331"/>
      <c r="AD260" s="331"/>
      <c r="AE260" s="331"/>
      <c r="AF260" s="331"/>
      <c r="AG260" s="331"/>
      <c r="AH260" s="331"/>
      <c r="AI260" s="331"/>
      <c r="AJ260" s="331"/>
      <c r="AK260" s="331"/>
      <c r="AL260" s="331"/>
      <c r="AM260" s="331"/>
      <c r="AN260" s="331"/>
      <c r="AO260" s="331"/>
      <c r="AP260" s="331"/>
      <c r="AQ260" s="331"/>
    </row>
  </sheetData>
  <sheetProtection formatCells="0" selectLockedCells="1"/>
  <mergeCells count="416"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V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93 A178 A8">
    <cfRule type="expression" dxfId="6357" priority="342" stopIfTrue="1">
      <formula>IF(AK9&gt;0,0,1)</formula>
    </cfRule>
  </conditionalFormatting>
  <conditionalFormatting sqref="A95:A96 A180:A181 A10:A11">
    <cfRule type="expression" dxfId="6356" priority="341" stopIfTrue="1">
      <formula>IF(AK9&gt;1,0,1)</formula>
    </cfRule>
  </conditionalFormatting>
  <conditionalFormatting sqref="A97:A98 A182:A183 A12:A13">
    <cfRule type="expression" dxfId="6355" priority="340" stopIfTrue="1">
      <formula>IF(AK9&gt;2,0,1)</formula>
    </cfRule>
  </conditionalFormatting>
  <conditionalFormatting sqref="A99:A100 A184:A185 A14:A15">
    <cfRule type="expression" dxfId="6354" priority="339" stopIfTrue="1">
      <formula>IF(AK9&gt;3,0,1)</formula>
    </cfRule>
  </conditionalFormatting>
  <conditionalFormatting sqref="A101:A102 A186:A187 A16:A17">
    <cfRule type="expression" dxfId="6353" priority="338" stopIfTrue="1">
      <formula>IF(AK9&gt;4,0,1)</formula>
    </cfRule>
  </conditionalFormatting>
  <conditionalFormatting sqref="B8 B178 B93">
    <cfRule type="expression" dxfId="6352" priority="337" stopIfTrue="1">
      <formula>IF(AK9&gt;0,0,1)</formula>
    </cfRule>
  </conditionalFormatting>
  <conditionalFormatting sqref="B9 B179 B94">
    <cfRule type="expression" dxfId="6351" priority="336" stopIfTrue="1">
      <formula>IF(AK9&gt;0,0,1)</formula>
    </cfRule>
  </conditionalFormatting>
  <conditionalFormatting sqref="B10 B180 B95">
    <cfRule type="expression" dxfId="6350" priority="335" stopIfTrue="1">
      <formula>IF(AK9&gt;1,0,1)</formula>
    </cfRule>
  </conditionalFormatting>
  <conditionalFormatting sqref="B11:D11 B181:D181 B96:D96">
    <cfRule type="expression" dxfId="6349" priority="334" stopIfTrue="1">
      <formula>IF(AK9&gt;1,0,1)</formula>
    </cfRule>
  </conditionalFormatting>
  <conditionalFormatting sqref="B12:D12 B182:D182 B97:D97">
    <cfRule type="expression" dxfId="6348" priority="333" stopIfTrue="1">
      <formula>IF(AK9&gt;2,0,1)</formula>
    </cfRule>
  </conditionalFormatting>
  <conditionalFormatting sqref="B13:D13 B183:D183 B98:D98">
    <cfRule type="expression" dxfId="6347" priority="332" stopIfTrue="1">
      <formula>IF(AK9&gt;2,0,1)</formula>
    </cfRule>
  </conditionalFormatting>
  <conditionalFormatting sqref="B14:D14 B184:D184 B99:D99">
    <cfRule type="expression" dxfId="6346" priority="331" stopIfTrue="1">
      <formula>IF(AK9&gt;3,0,1)</formula>
    </cfRule>
  </conditionalFormatting>
  <conditionalFormatting sqref="B15:D15 B185:D185 B100:D100">
    <cfRule type="expression" dxfId="6345" priority="330" stopIfTrue="1">
      <formula>IF(AK9&gt;3,0,1)</formula>
    </cfRule>
  </conditionalFormatting>
  <conditionalFormatting sqref="B16:D16 B186:D186 B101:D101">
    <cfRule type="expression" dxfId="6344" priority="329" stopIfTrue="1">
      <formula>IF(AK9&gt;4,0,1)</formula>
    </cfRule>
  </conditionalFormatting>
  <conditionalFormatting sqref="B17:D17 B187:D187 B102:D102">
    <cfRule type="expression" dxfId="6343" priority="328" stopIfTrue="1">
      <formula>IF(AK9&gt;4,0,1)</formula>
    </cfRule>
  </conditionalFormatting>
  <conditionalFormatting sqref="E178">
    <cfRule type="expression" dxfId="6342" priority="327" stopIfTrue="1">
      <formula>IF(AK179&gt;0,0,1)</formula>
    </cfRule>
  </conditionalFormatting>
  <conditionalFormatting sqref="E179">
    <cfRule type="expression" dxfId="6341" priority="326" stopIfTrue="1">
      <formula>IF(AK179&gt;0,0,1)</formula>
    </cfRule>
  </conditionalFormatting>
  <conditionalFormatting sqref="E180">
    <cfRule type="expression" dxfId="6340" priority="325" stopIfTrue="1">
      <formula>IF(AK179&gt;1,0,1)</formula>
    </cfRule>
  </conditionalFormatting>
  <conditionalFormatting sqref="E181">
    <cfRule type="expression" dxfId="6339" priority="324" stopIfTrue="1">
      <formula>IF(AK179&gt;1,0,1)</formula>
    </cfRule>
  </conditionalFormatting>
  <conditionalFormatting sqref="E182">
    <cfRule type="expression" dxfId="6338" priority="323" stopIfTrue="1">
      <formula>IF(AK179&gt;2,0,1)</formula>
    </cfRule>
  </conditionalFormatting>
  <conditionalFormatting sqref="E183">
    <cfRule type="expression" dxfId="6337" priority="322" stopIfTrue="1">
      <formula>IF(AK179&gt;2,0,1)</formula>
    </cfRule>
  </conditionalFormatting>
  <conditionalFormatting sqref="E99 E184">
    <cfRule type="expression" dxfId="6336" priority="321" stopIfTrue="1">
      <formula>IF(AK94&gt;3,0,1)</formula>
    </cfRule>
  </conditionalFormatting>
  <conditionalFormatting sqref="E100 E185">
    <cfRule type="expression" dxfId="6335" priority="320" stopIfTrue="1">
      <formula>IF(AK94&gt;3,0,1)</formula>
    </cfRule>
  </conditionalFormatting>
  <conditionalFormatting sqref="E16 E101 E186">
    <cfRule type="expression" dxfId="6334" priority="319" stopIfTrue="1">
      <formula>IF(AK9&gt;4,0,1)</formula>
    </cfRule>
  </conditionalFormatting>
  <conditionalFormatting sqref="E17 E102 E187">
    <cfRule type="expression" dxfId="6333" priority="318" stopIfTrue="1">
      <formula>IF(AK9&gt;4,0,1)</formula>
    </cfRule>
  </conditionalFormatting>
  <conditionalFormatting sqref="AC93 AC178 AC8">
    <cfRule type="expression" dxfId="6332" priority="317" stopIfTrue="1">
      <formula>IF(AK11=1,IF(AK9&gt;0,0,1),1)</formula>
    </cfRule>
  </conditionalFormatting>
  <conditionalFormatting sqref="AC95:AE96 AC180:AE181 AC10:AE11">
    <cfRule type="expression" dxfId="6331" priority="316" stopIfTrue="1">
      <formula>IF(AK11=1,IF(AK9&gt;1,0,1),1)</formula>
    </cfRule>
  </conditionalFormatting>
  <conditionalFormatting sqref="AC97:AE98 AC182:AE183 AC12:AE13">
    <cfRule type="expression" dxfId="6330" priority="315" stopIfTrue="1">
      <formula>IF(AK11=1,IF(AK9&gt;2,0,1),1)</formula>
    </cfRule>
  </conditionalFormatting>
  <conditionalFormatting sqref="AC99:AE100 AC184:AE185 AC14:AE15">
    <cfRule type="expression" dxfId="6329" priority="314" stopIfTrue="1">
      <formula>IF(AK11=1,IF(AK9&gt;3,0,1),1)</formula>
    </cfRule>
  </conditionalFormatting>
  <conditionalFormatting sqref="AC101:AE102 AC186:AE187 AC16:AE17">
    <cfRule type="expression" dxfId="6328" priority="313" stopIfTrue="1">
      <formula>IF(AK11=1,IF(AK9&gt;4,0,1),1)</formula>
    </cfRule>
  </conditionalFormatting>
  <conditionalFormatting sqref="AH93 AH178 AH8">
    <cfRule type="expression" dxfId="6327" priority="312" stopIfTrue="1">
      <formula>IF(AK9&gt;0,0,1)</formula>
    </cfRule>
  </conditionalFormatting>
  <conditionalFormatting sqref="AH95:AI96 AH180:AI181 AH10:AI11">
    <cfRule type="expression" dxfId="6326" priority="311" stopIfTrue="1">
      <formula>IF(AK9&gt;1,0,1)</formula>
    </cfRule>
  </conditionalFormatting>
  <conditionalFormatting sqref="AH97:AI98 AH182:AI183 AH12:AI13">
    <cfRule type="expression" dxfId="6325" priority="310" stopIfTrue="1">
      <formula>IF(AK9&gt;2,0,1)</formula>
    </cfRule>
  </conditionalFormatting>
  <conditionalFormatting sqref="AH99:AI100 AH184:AI185 AH14:AI15">
    <cfRule type="expression" dxfId="6324" priority="309" stopIfTrue="1">
      <formula>IF(AK9&gt;3,0,1)</formula>
    </cfRule>
  </conditionalFormatting>
  <conditionalFormatting sqref="AH101:AI102 AH186:AI187 AH16:AI17">
    <cfRule type="expression" dxfId="6323" priority="308" stopIfTrue="1">
      <formula>IF(AK9&gt;4,0,1)</formula>
    </cfRule>
  </conditionalFormatting>
  <conditionalFormatting sqref="K189:M189 K19:M19 K104:M104">
    <cfRule type="expression" dxfId="6322" priority="307" stopIfTrue="1">
      <formula>IF(AK8&gt;3,0,1)</formula>
    </cfRule>
  </conditionalFormatting>
  <conditionalFormatting sqref="N189:P189 N19:P19 N104:P104">
    <cfRule type="expression" dxfId="6321" priority="306" stopIfTrue="1">
      <formula>IF(AK8&gt;4,0,1)</formula>
    </cfRule>
  </conditionalFormatting>
  <conditionalFormatting sqref="Q189:S189 Q19:S19 Q104:S104">
    <cfRule type="expression" dxfId="6320" priority="305" stopIfTrue="1">
      <formula>IF(AK8&gt;5,0,1)</formula>
    </cfRule>
  </conditionalFormatting>
  <conditionalFormatting sqref="T189:V189 T19:V19 T104:V104">
    <cfRule type="expression" dxfId="6319" priority="304" stopIfTrue="1">
      <formula>IF(AK8&gt;6,0,1)</formula>
    </cfRule>
  </conditionalFormatting>
  <conditionalFormatting sqref="W189:Y189 W19:Y19 W104:Y104">
    <cfRule type="expression" dxfId="6318" priority="303" stopIfTrue="1">
      <formula>IF(AK8&gt;7,0,1)</formula>
    </cfRule>
  </conditionalFormatting>
  <conditionalFormatting sqref="Z189:AB189 Z19:AB19 Z104:AB104">
    <cfRule type="expression" dxfId="6317" priority="302" stopIfTrue="1">
      <formula>IF(AK8&gt;8,0,1)</formula>
    </cfRule>
  </conditionalFormatting>
  <conditionalFormatting sqref="AC189:AE189 AC19:AE19 AC104:AE104">
    <cfRule type="expression" dxfId="6316" priority="301" stopIfTrue="1">
      <formula>IF(AK8&gt;9,0,1)</formula>
    </cfRule>
  </conditionalFormatting>
  <conditionalFormatting sqref="B20:D20 B105:D105 B190:D190">
    <cfRule type="expression" dxfId="6315" priority="300" stopIfTrue="1">
      <formula>IF(AK8&gt;0,0,1)</formula>
    </cfRule>
  </conditionalFormatting>
  <conditionalFormatting sqref="E20:G20 E105:G105 E190:G190">
    <cfRule type="expression" dxfId="6314" priority="299" stopIfTrue="1">
      <formula>IF(AK8&gt;1,0,1)</formula>
    </cfRule>
  </conditionalFormatting>
  <conditionalFormatting sqref="H20:J20 H105:J105 H190:J190">
    <cfRule type="expression" dxfId="6313" priority="298" stopIfTrue="1">
      <formula>IF(AK8&gt;2,0,1)</formula>
    </cfRule>
  </conditionalFormatting>
  <conditionalFormatting sqref="K190:M190 K105:M105 K20:M20">
    <cfRule type="expression" dxfId="6312" priority="297" stopIfTrue="1">
      <formula>IF(AK8&gt;3,0,1)</formula>
    </cfRule>
  </conditionalFormatting>
  <conditionalFormatting sqref="N190:P190 N105:P105 N20:P20">
    <cfRule type="expression" dxfId="6311" priority="296" stopIfTrue="1">
      <formula>IF(AK8&gt;4,0,1)</formula>
    </cfRule>
  </conditionalFormatting>
  <conditionalFormatting sqref="Q190:S190 Q105:S105 Q20:S20">
    <cfRule type="expression" dxfId="6310" priority="295" stopIfTrue="1">
      <formula>IF(AK8&gt;5,0,1)</formula>
    </cfRule>
  </conditionalFormatting>
  <conditionalFormatting sqref="T190:V190 T105:V105 T20:V20">
    <cfRule type="expression" dxfId="6309" priority="294" stopIfTrue="1">
      <formula>IF(AK8&gt;6,0,1)</formula>
    </cfRule>
  </conditionalFormatting>
  <conditionalFormatting sqref="W190:Y190 W105:Y105 W20:Y20">
    <cfRule type="expression" dxfId="6308" priority="293" stopIfTrue="1">
      <formula>IF(AK8&gt;7,0,1)</formula>
    </cfRule>
  </conditionalFormatting>
  <conditionalFormatting sqref="Z190:AB190 Z105:AB105 Z20:AB20">
    <cfRule type="expression" dxfId="6307" priority="292" stopIfTrue="1">
      <formula>IF(AK8&gt;8,0,1)</formula>
    </cfRule>
  </conditionalFormatting>
  <conditionalFormatting sqref="AC190:AE190 AC105:AE105 AC20:AE20">
    <cfRule type="expression" dxfId="6306" priority="291" stopIfTrue="1">
      <formula>IF(AK8&gt;9,0,1)</formula>
    </cfRule>
  </conditionalFormatting>
  <conditionalFormatting sqref="E192:G192">
    <cfRule type="expression" dxfId="6305" priority="290" stopIfTrue="1">
      <formula>IF(AK178&gt;1,0,1)</formula>
    </cfRule>
  </conditionalFormatting>
  <conditionalFormatting sqref="H192:J192">
    <cfRule type="expression" dxfId="6304" priority="289" stopIfTrue="1">
      <formula>IF(AK178&gt;2,0,1)</formula>
    </cfRule>
  </conditionalFormatting>
  <conditionalFormatting sqref="K192:M192">
    <cfRule type="expression" dxfId="6303" priority="288" stopIfTrue="1">
      <formula>IF(AK178&gt;3,0,1)</formula>
    </cfRule>
  </conditionalFormatting>
  <conditionalFormatting sqref="N192:P192">
    <cfRule type="expression" dxfId="6302" priority="287" stopIfTrue="1">
      <formula>IF(AK178&gt;4,0,1)</formula>
    </cfRule>
  </conditionalFormatting>
  <conditionalFormatting sqref="Q192:S192">
    <cfRule type="expression" dxfId="6301" priority="286" stopIfTrue="1">
      <formula>IF(AK178&gt;5,0,1)</formula>
    </cfRule>
  </conditionalFormatting>
  <conditionalFormatting sqref="T22:V22 T192:V192 T107:V107">
    <cfRule type="expression" dxfId="6300" priority="285" stopIfTrue="1">
      <formula>IF(AK8&gt;6,0,1)</formula>
    </cfRule>
  </conditionalFormatting>
  <conditionalFormatting sqref="W22:Y22 W192:Y192 W107:Y107">
    <cfRule type="expression" dxfId="6299" priority="284" stopIfTrue="1">
      <formula>IF(AK8&gt;7,0,1)</formula>
    </cfRule>
  </conditionalFormatting>
  <conditionalFormatting sqref="Z22:AB22 Z192:AB192 Z107:AB107">
    <cfRule type="expression" dxfId="6298" priority="283" stopIfTrue="1">
      <formula>IF(AK8&gt;8,0,1)</formula>
    </cfRule>
  </conditionalFormatting>
  <conditionalFormatting sqref="AC22:AE22 AC192:AE192 AC107:AE107">
    <cfRule type="expression" dxfId="6297" priority="282" stopIfTrue="1">
      <formula>IF(AK8&gt;9,0,1)</formula>
    </cfRule>
  </conditionalFormatting>
  <conditionalFormatting sqref="B194">
    <cfRule type="expression" dxfId="6296" priority="281" stopIfTrue="1">
      <formula>IF(AK178&gt;0,0,1)</formula>
    </cfRule>
  </conditionalFormatting>
  <conditionalFormatting sqref="C194">
    <cfRule type="expression" dxfId="6295" priority="280" stopIfTrue="1">
      <formula>IF(AK178&gt;0,0,1)</formula>
    </cfRule>
  </conditionalFormatting>
  <conditionalFormatting sqref="D194">
    <cfRule type="expression" dxfId="6294" priority="279" stopIfTrue="1">
      <formula>IF(AK178&gt;0,0,1)</formula>
    </cfRule>
  </conditionalFormatting>
  <conditionalFormatting sqref="E193:G193">
    <cfRule type="expression" dxfId="6293" priority="278" stopIfTrue="1">
      <formula>IF(AK178&gt;1,0,1)</formula>
    </cfRule>
  </conditionalFormatting>
  <conditionalFormatting sqref="F194">
    <cfRule type="expression" dxfId="6292" priority="277" stopIfTrue="1">
      <formula>IF(AK178&gt;1,0,1)</formula>
    </cfRule>
  </conditionalFormatting>
  <conditionalFormatting sqref="G194">
    <cfRule type="expression" dxfId="6291" priority="276" stopIfTrue="1">
      <formula>IF(AK178&gt;1,0,1)</formula>
    </cfRule>
  </conditionalFormatting>
  <conditionalFormatting sqref="H193:J193">
    <cfRule type="expression" dxfId="6290" priority="275" stopIfTrue="1">
      <formula>IF(AK178&gt;2,0,1)</formula>
    </cfRule>
  </conditionalFormatting>
  <conditionalFormatting sqref="I194">
    <cfRule type="expression" dxfId="6289" priority="274" stopIfTrue="1">
      <formula>IF(AK178&gt;2,0,1)</formula>
    </cfRule>
  </conditionalFormatting>
  <conditionalFormatting sqref="J194">
    <cfRule type="expression" dxfId="6288" priority="273" stopIfTrue="1">
      <formula>IF(AK178&gt;2,0,1)</formula>
    </cfRule>
  </conditionalFormatting>
  <conditionalFormatting sqref="K193:M193">
    <cfRule type="expression" dxfId="6287" priority="272" stopIfTrue="1">
      <formula>IF(AK178&gt;3,0,1)</formula>
    </cfRule>
  </conditionalFormatting>
  <conditionalFormatting sqref="L194">
    <cfRule type="expression" dxfId="6286" priority="271" stopIfTrue="1">
      <formula>IF(AK178&gt;3,0,1)</formula>
    </cfRule>
  </conditionalFormatting>
  <conditionalFormatting sqref="M194">
    <cfRule type="expression" dxfId="6285" priority="270" stopIfTrue="1">
      <formula>IF(AK178&gt;3,0,1)</formula>
    </cfRule>
  </conditionalFormatting>
  <conditionalFormatting sqref="N193:P193">
    <cfRule type="expression" dxfId="6284" priority="269" stopIfTrue="1">
      <formula>IF(AK178&gt;4,0,1)</formula>
    </cfRule>
  </conditionalFormatting>
  <conditionalFormatting sqref="O194">
    <cfRule type="expression" dxfId="6283" priority="268" stopIfTrue="1">
      <formula>IF(AK178&gt;4,0,1)</formula>
    </cfRule>
  </conditionalFormatting>
  <conditionalFormatting sqref="P194">
    <cfRule type="expression" dxfId="6282" priority="267" stopIfTrue="1">
      <formula>IF(AK178&gt;4,0,1)</formula>
    </cfRule>
  </conditionalFormatting>
  <conditionalFormatting sqref="Q193:S193">
    <cfRule type="expression" dxfId="6281" priority="266" stopIfTrue="1">
      <formula>IF(AK178&gt;5,0,1)</formula>
    </cfRule>
  </conditionalFormatting>
  <conditionalFormatting sqref="R194">
    <cfRule type="expression" dxfId="6280" priority="265" stopIfTrue="1">
      <formula>IF(AK178&gt;5,0,1)</formula>
    </cfRule>
  </conditionalFormatting>
  <conditionalFormatting sqref="S194">
    <cfRule type="expression" dxfId="6279" priority="264" stopIfTrue="1">
      <formula>IF(AK178&gt;5,0,1)</formula>
    </cfRule>
  </conditionalFormatting>
  <conditionalFormatting sqref="T193:V193 T108:V108 T23:V23">
    <cfRule type="expression" dxfId="6278" priority="263" stopIfTrue="1">
      <formula>IF(AK8&gt;6,0,1)</formula>
    </cfRule>
  </conditionalFormatting>
  <conditionalFormatting sqref="U24 U194 U109">
    <cfRule type="expression" dxfId="6277" priority="262" stopIfTrue="1">
      <formula>IF(AK8&gt;6,0,1)</formula>
    </cfRule>
  </conditionalFormatting>
  <conditionalFormatting sqref="V24 V194 V109">
    <cfRule type="expression" dxfId="6276" priority="261" stopIfTrue="1">
      <formula>IF(AK8&gt;6,0,1)</formula>
    </cfRule>
  </conditionalFormatting>
  <conditionalFormatting sqref="W193:Y193 W108:Y108 W23:Y23">
    <cfRule type="expression" dxfId="6275" priority="260" stopIfTrue="1">
      <formula>IF(AK8&gt;7,0,1)</formula>
    </cfRule>
  </conditionalFormatting>
  <conditionalFormatting sqref="X24 X194 X109">
    <cfRule type="expression" dxfId="6274" priority="259" stopIfTrue="1">
      <formula>IF(AK8&gt;7,0,1)</formula>
    </cfRule>
  </conditionalFormatting>
  <conditionalFormatting sqref="Y24 Y194 Y109">
    <cfRule type="expression" dxfId="6273" priority="258" stopIfTrue="1">
      <formula>IF(AK8&gt;7,0,1)</formula>
    </cfRule>
  </conditionalFormatting>
  <conditionalFormatting sqref="Z193:AB193 Z108:AB108 Z23:AB23">
    <cfRule type="expression" dxfId="6272" priority="257" stopIfTrue="1">
      <formula>IF(AK8&gt;8,0,1)</formula>
    </cfRule>
  </conditionalFormatting>
  <conditionalFormatting sqref="AA24 AA194 AA109">
    <cfRule type="expression" dxfId="6271" priority="256" stopIfTrue="1">
      <formula>IF(AK8&gt;8,0,1)</formula>
    </cfRule>
  </conditionalFormatting>
  <conditionalFormatting sqref="AB24 AB194 AB109">
    <cfRule type="expression" dxfId="6270" priority="255" stopIfTrue="1">
      <formula>IF(AK8&gt;8,0,1)</formula>
    </cfRule>
  </conditionalFormatting>
  <conditionalFormatting sqref="AC193:AE193 AC108:AE108 AC23:AE23">
    <cfRule type="expression" dxfId="6269" priority="254" stopIfTrue="1">
      <formula>IF(AK8&gt;9,0,1)</formula>
    </cfRule>
  </conditionalFormatting>
  <conditionalFormatting sqref="AD24 AD194 AD109">
    <cfRule type="expression" dxfId="6268" priority="253" stopIfTrue="1">
      <formula>IF(AK8&gt;9,0,1)</formula>
    </cfRule>
  </conditionalFormatting>
  <conditionalFormatting sqref="AE24 AE194 AE109">
    <cfRule type="expression" dxfId="6267" priority="252" stopIfTrue="1">
      <formula>IF(AK8&gt;9,0,1)</formula>
    </cfRule>
  </conditionalFormatting>
  <conditionalFormatting sqref="A26 A196 A111">
    <cfRule type="expression" dxfId="6266" priority="251" stopIfTrue="1">
      <formula>IF(AK7&gt;1,0,1)</formula>
    </cfRule>
  </conditionalFormatting>
  <conditionalFormatting sqref="A27 A197 A112">
    <cfRule type="expression" dxfId="6265" priority="250" stopIfTrue="1">
      <formula>IF(AK7&gt;2,0,1)</formula>
    </cfRule>
  </conditionalFormatting>
  <conditionalFormatting sqref="A28 A198 A113">
    <cfRule type="expression" dxfId="6264" priority="249" stopIfTrue="1">
      <formula>IF(AK7&gt;3,0,1)</formula>
    </cfRule>
  </conditionalFormatting>
  <conditionalFormatting sqref="A29 A199 A114">
    <cfRule type="expression" dxfId="6263" priority="248" stopIfTrue="1">
      <formula>IF(AK7&gt;4,0,1)</formula>
    </cfRule>
  </conditionalFormatting>
  <conditionalFormatting sqref="B195:D195">
    <cfRule type="expression" dxfId="6262" priority="247" stopIfTrue="1">
      <formula>IF($AK178&gt;0,0,1)</formula>
    </cfRule>
  </conditionalFormatting>
  <conditionalFormatting sqref="B196:D196">
    <cfRule type="expression" dxfId="6261" priority="246" stopIfTrue="1">
      <formula>IF($AK178&lt;1,1,IF($AK177&lt;2,1,0))</formula>
    </cfRule>
  </conditionalFormatting>
  <conditionalFormatting sqref="B27:D27 B197:D197 B112:D112">
    <cfRule type="expression" dxfId="6260" priority="245" stopIfTrue="1">
      <formula>IF($AK8&lt;1,1,IF($AK7&lt;3,1,0))</formula>
    </cfRule>
  </conditionalFormatting>
  <conditionalFormatting sqref="B28:D28 B198:D198 B113:D113">
    <cfRule type="expression" dxfId="6259" priority="244" stopIfTrue="1">
      <formula>IF($AK8&lt;1,1,IF($AK7&lt;4,1,0))</formula>
    </cfRule>
  </conditionalFormatting>
  <conditionalFormatting sqref="B29:D29 B199:D199 B114:D114">
    <cfRule type="expression" dxfId="6258" priority="243" stopIfTrue="1">
      <formula>IF($AK8&lt;1,1,IF($AK7&lt;5,1,0))</formula>
    </cfRule>
  </conditionalFormatting>
  <conditionalFormatting sqref="AF26 AF196 AF111">
    <cfRule type="expression" dxfId="6257" priority="242" stopIfTrue="1">
      <formula>IF($AK9&gt;2,0,1)</formula>
    </cfRule>
  </conditionalFormatting>
  <conditionalFormatting sqref="AF25 AF195 AF110">
    <cfRule type="expression" dxfId="6256" priority="241" stopIfTrue="1">
      <formula>IF($AK9&gt;1,0,1)</formula>
    </cfRule>
  </conditionalFormatting>
  <conditionalFormatting sqref="AF24 AF194 AF109">
    <cfRule type="expression" dxfId="6255" priority="240" stopIfTrue="1">
      <formula>IF($AK9&gt;0,0,1)</formula>
    </cfRule>
  </conditionalFormatting>
  <conditionalFormatting sqref="AF27 AF197 AF112">
    <cfRule type="expression" dxfId="6254" priority="239" stopIfTrue="1">
      <formula>IF($AK9&gt;3,0,1)</formula>
    </cfRule>
  </conditionalFormatting>
  <conditionalFormatting sqref="AF28 AF198 AF113">
    <cfRule type="expression" dxfId="6253" priority="238" stopIfTrue="1">
      <formula>IF($AK9&gt;4,0,1)</formula>
    </cfRule>
  </conditionalFormatting>
  <conditionalFormatting sqref="AG23 AG193 AG108">
    <cfRule type="expression" dxfId="6252" priority="237" stopIfTrue="1">
      <formula>IF($AK8&lt;1,1,0)</formula>
    </cfRule>
  </conditionalFormatting>
  <conditionalFormatting sqref="AH23 AH193 AH108">
    <cfRule type="expression" dxfId="6251" priority="236" stopIfTrue="1">
      <formula>IF($AK8&lt;2,1,0)</formula>
    </cfRule>
  </conditionalFormatting>
  <conditionalFormatting sqref="AI23 AI193 AI108">
    <cfRule type="expression" dxfId="6250" priority="235" stopIfTrue="1">
      <formula>IF($AK8&lt;3,1,0)</formula>
    </cfRule>
  </conditionalFormatting>
  <conditionalFormatting sqref="AJ23 AJ193 AJ108">
    <cfRule type="expression" dxfId="6249" priority="234" stopIfTrue="1">
      <formula>IF($AK8&lt;4,1,0)</formula>
    </cfRule>
  </conditionalFormatting>
  <conditionalFormatting sqref="AK23 AK193 AK108">
    <cfRule type="expression" dxfId="6248" priority="233" stopIfTrue="1">
      <formula>IF($AK8&lt;5,1,0)</formula>
    </cfRule>
  </conditionalFormatting>
  <conditionalFormatting sqref="AL23 AL193 AL108">
    <cfRule type="expression" dxfId="6247" priority="232" stopIfTrue="1">
      <formula>IF($AK8&lt;6,1,0)</formula>
    </cfRule>
  </conditionalFormatting>
  <conditionalFormatting sqref="AM23 AM193 AM108">
    <cfRule type="expression" dxfId="6246" priority="231" stopIfTrue="1">
      <formula>IF($AK8&lt;7,1,0)</formula>
    </cfRule>
  </conditionalFormatting>
  <conditionalFormatting sqref="AN23 AN193 AN108">
    <cfRule type="expression" dxfId="6245" priority="230" stopIfTrue="1">
      <formula>IF($AK8&lt;8,1,0)</formula>
    </cfRule>
  </conditionalFormatting>
  <conditionalFormatting sqref="AO23 AO193 AO108">
    <cfRule type="expression" dxfId="6244" priority="229" stopIfTrue="1">
      <formula>IF($AK8&lt;9,1,0)</formula>
    </cfRule>
  </conditionalFormatting>
  <conditionalFormatting sqref="AP23 AP193 AP108">
    <cfRule type="expression" dxfId="6243" priority="228" stopIfTrue="1">
      <formula>IF($AK8&lt;10,1,0)</formula>
    </cfRule>
  </conditionalFormatting>
  <conditionalFormatting sqref="AQ24 AQ194 AQ109">
    <cfRule type="expression" dxfId="6242" priority="227" stopIfTrue="1">
      <formula>IF($AK9&gt;0,0,1)</formula>
    </cfRule>
  </conditionalFormatting>
  <conditionalFormatting sqref="AQ25 AQ195 AQ110">
    <cfRule type="expression" dxfId="6241" priority="226" stopIfTrue="1">
      <formula>IF($AK9&gt;1,0,1)</formula>
    </cfRule>
  </conditionalFormatting>
  <conditionalFormatting sqref="AQ26 AQ196 AQ111 H195:J195">
    <cfRule type="expression" dxfId="6240" priority="225" stopIfTrue="1">
      <formula>IF($AK9&gt;2,0,1)</formula>
    </cfRule>
  </conditionalFormatting>
  <conditionalFormatting sqref="K195:M195">
    <cfRule type="expression" dxfId="6239" priority="224" stopIfTrue="1">
      <formula>IF($AK178&gt;3,0,1)</formula>
    </cfRule>
  </conditionalFormatting>
  <conditionalFormatting sqref="AQ28 AQ198 AQ113">
    <cfRule type="expression" dxfId="6238" priority="223" stopIfTrue="1">
      <formula>IF($AK9&gt;4,0,1)</formula>
    </cfRule>
  </conditionalFormatting>
  <conditionalFormatting sqref="E196:G196">
    <cfRule type="expression" dxfId="6237" priority="222" stopIfTrue="1">
      <formula>IF($AK178&lt;2,1,IF($AK177&lt;2,1,0))</formula>
    </cfRule>
  </conditionalFormatting>
  <conditionalFormatting sqref="E27:G27 E197:G197 E112:G112">
    <cfRule type="expression" dxfId="6236" priority="221" stopIfTrue="1">
      <formula>IF($AK8&lt;2,1,IF($AK7&lt;3,1,0))</formula>
    </cfRule>
  </conditionalFormatting>
  <conditionalFormatting sqref="E28:G28 E198:G198 E113:G113">
    <cfRule type="expression" dxfId="6235" priority="220" stopIfTrue="1">
      <formula>IF($AK8&lt;2,1,IF($AK7&lt;4,1,0))</formula>
    </cfRule>
  </conditionalFormatting>
  <conditionalFormatting sqref="E29:G29 E199:G199 E114:G114">
    <cfRule type="expression" dxfId="6234" priority="219" stopIfTrue="1">
      <formula>IF($AK8&lt;2,1,IF($AK7&lt;5,1,0))</formula>
    </cfRule>
  </conditionalFormatting>
  <conditionalFormatting sqref="N195:P195">
    <cfRule type="expression" dxfId="6233" priority="218" stopIfTrue="1">
      <formula>IF($AK178&gt;4,0,1)</formula>
    </cfRule>
  </conditionalFormatting>
  <conditionalFormatting sqref="Q195:S195">
    <cfRule type="expression" dxfId="6232" priority="217" stopIfTrue="1">
      <formula>IF($AK178&gt;5,0,1)</formula>
    </cfRule>
  </conditionalFormatting>
  <conditionalFormatting sqref="T25:V25 T195:V195 T110:V110">
    <cfRule type="expression" dxfId="6231" priority="216" stopIfTrue="1">
      <formula>IF($AK8&gt;6,0,1)</formula>
    </cfRule>
  </conditionalFormatting>
  <conditionalFormatting sqref="W25:Y25 W195:Y195 W110:Y110">
    <cfRule type="expression" dxfId="6230" priority="215" stopIfTrue="1">
      <formula>IF($AK8&gt;7,0,1)</formula>
    </cfRule>
  </conditionalFormatting>
  <conditionalFormatting sqref="Z25:AB25 Z195:AB195 Z110:AB110">
    <cfRule type="expression" dxfId="6229" priority="214" stopIfTrue="1">
      <formula>IF($AK8&gt;8,0,1)</formula>
    </cfRule>
  </conditionalFormatting>
  <conditionalFormatting sqref="AC25:AE25 AC195:AE195 AC110:AE110">
    <cfRule type="expression" dxfId="6228" priority="213" stopIfTrue="1">
      <formula>IF($AK8&gt;9,0,1)</formula>
    </cfRule>
  </conditionalFormatting>
  <conditionalFormatting sqref="H196:J196">
    <cfRule type="expression" dxfId="6227" priority="212" stopIfTrue="1">
      <formula>IF($AK178&lt;3,1,IF($AK177&lt;2,1,0))</formula>
    </cfRule>
  </conditionalFormatting>
  <conditionalFormatting sqref="K196:M196">
    <cfRule type="expression" dxfId="6226" priority="211" stopIfTrue="1">
      <formula>IF($AK178&lt;4,1,IF($AK177&lt;2,1,0))</formula>
    </cfRule>
  </conditionalFormatting>
  <conditionalFormatting sqref="N196:P196">
    <cfRule type="expression" dxfId="6225" priority="210" stopIfTrue="1">
      <formula>IF($AK178&lt;5,1,IF($AK177&lt;2,1,0))</formula>
    </cfRule>
  </conditionalFormatting>
  <conditionalFormatting sqref="Q196:S196">
    <cfRule type="expression" dxfId="6224" priority="209" stopIfTrue="1">
      <formula>IF($AK178&lt;6,1,IF($AK177&lt;2,1,0))</formula>
    </cfRule>
  </conditionalFormatting>
  <conditionalFormatting sqref="T26:V26 T196:V196 T111:V111">
    <cfRule type="expression" dxfId="6223" priority="208" stopIfTrue="1">
      <formula>IF($AK8&lt;7,1,IF($AK7&lt;2,1,0))</formula>
    </cfRule>
  </conditionalFormatting>
  <conditionalFormatting sqref="W26:Y26 W196:Y196 W111:Y111">
    <cfRule type="expression" dxfId="6222" priority="207" stopIfTrue="1">
      <formula>IF($AK8&lt;8,1,IF($AK7&lt;2,1,0))</formula>
    </cfRule>
  </conditionalFormatting>
  <conditionalFormatting sqref="Z26:AB26 Z196:AB196 Z111:AB111">
    <cfRule type="expression" dxfId="6221" priority="206" stopIfTrue="1">
      <formula>IF($AK8&lt;9,1,IF($AK7&lt;2,1,0))</formula>
    </cfRule>
  </conditionalFormatting>
  <conditionalFormatting sqref="AC26:AE26 AC196:AE196 AC111:AE111">
    <cfRule type="expression" dxfId="6220" priority="205" stopIfTrue="1">
      <formula>IF($AK8&lt;10,1,IF($AK7&lt;2,1,0))</formula>
    </cfRule>
  </conditionalFormatting>
  <conditionalFormatting sqref="H27:J27 H197:J197 H112:J112">
    <cfRule type="expression" dxfId="6219" priority="204" stopIfTrue="1">
      <formula>IF($AK8&lt;3,1,IF($AK7&lt;3,1,0))</formula>
    </cfRule>
  </conditionalFormatting>
  <conditionalFormatting sqref="K27:M27 K197:M197 K112:M112">
    <cfRule type="expression" dxfId="6218" priority="203" stopIfTrue="1">
      <formula>IF($AK8&lt;4,1,IF($AK7&lt;3,1,0))</formula>
    </cfRule>
  </conditionalFormatting>
  <conditionalFormatting sqref="N27:P27 N197:P197 N112:P112">
    <cfRule type="expression" dxfId="6217" priority="202" stopIfTrue="1">
      <formula>IF($AK8&lt;5,1,IF($AK7&lt;3,1,0))</formula>
    </cfRule>
  </conditionalFormatting>
  <conditionalFormatting sqref="Q27:S27 Q197:S197 Q112:S112">
    <cfRule type="expression" dxfId="6216" priority="201" stopIfTrue="1">
      <formula>IF($AK8&lt;6,1,IF($AK7&lt;3,1,0))</formula>
    </cfRule>
  </conditionalFormatting>
  <conditionalFormatting sqref="T27:V27 T197:V197 T112:V112">
    <cfRule type="expression" dxfId="6215" priority="200" stopIfTrue="1">
      <formula>IF($AK8&lt;7,1,IF($AK7&lt;3,1,0))</formula>
    </cfRule>
  </conditionalFormatting>
  <conditionalFormatting sqref="W27:Y27 W197:Y197 W112:Y112">
    <cfRule type="expression" dxfId="6214" priority="199" stopIfTrue="1">
      <formula>IF($AK8&lt;8,1,IF($AK7&lt;3,1,0))</formula>
    </cfRule>
  </conditionalFormatting>
  <conditionalFormatting sqref="Z27:AB27 Z197:AB197 Z112:AB112">
    <cfRule type="expression" dxfId="6213" priority="198" stopIfTrue="1">
      <formula>IF($AK8&lt;9,1,IF($AK7&lt;3,1,0))</formula>
    </cfRule>
  </conditionalFormatting>
  <conditionalFormatting sqref="AC27:AE27 AC197:AE197 AC112:AE112">
    <cfRule type="expression" dxfId="6212" priority="197" stopIfTrue="1">
      <formula>IF($AK8&lt;10,1,IF($AK7&lt;3,1,0))</formula>
    </cfRule>
  </conditionalFormatting>
  <conditionalFormatting sqref="H28:J28 H198:J198 H113:J113">
    <cfRule type="expression" dxfId="6211" priority="196" stopIfTrue="1">
      <formula>IF($AK8&lt;3,1,IF($AK7&lt;4,1,0))</formula>
    </cfRule>
  </conditionalFormatting>
  <conditionalFormatting sqref="K28:M28 K198:M198 K113:M113">
    <cfRule type="expression" dxfId="6210" priority="195" stopIfTrue="1">
      <formula>IF($AK8&lt;4,1,IF($AK7&lt;4,1,0))</formula>
    </cfRule>
  </conditionalFormatting>
  <conditionalFormatting sqref="N28:P28 N198:P198 N113:P113">
    <cfRule type="expression" dxfId="6209" priority="194" stopIfTrue="1">
      <formula>IF($AK8&lt;5,1,IF($AK7&lt;4,1,0))</formula>
    </cfRule>
  </conditionalFormatting>
  <conditionalFormatting sqref="Q28:S28 Q198:S198 Q113:S113">
    <cfRule type="expression" dxfId="6208" priority="193" stopIfTrue="1">
      <formula>IF($AK8&lt;6,1,IF($AK7&lt;4,1,0))</formula>
    </cfRule>
  </conditionalFormatting>
  <conditionalFormatting sqref="T28:V28 T198:V198 T113:V113">
    <cfRule type="expression" dxfId="6207" priority="192" stopIfTrue="1">
      <formula>IF($AK8&lt;7,1,IF($AK7&lt;4,1,0))</formula>
    </cfRule>
  </conditionalFormatting>
  <conditionalFormatting sqref="W28:Y28 W198:Y198 W113:Y113">
    <cfRule type="expression" dxfId="6206" priority="191" stopIfTrue="1">
      <formula>IF($AK8&lt;8,1,IF($AK7&lt;4,1,0))</formula>
    </cfRule>
  </conditionalFormatting>
  <conditionalFormatting sqref="Z28:AB28 Z198:AB198 Z113:AB113">
    <cfRule type="expression" dxfId="6205" priority="190" stopIfTrue="1">
      <formula>IF($AK8&lt;9,1,IF($AK7&lt;4,1,0))</formula>
    </cfRule>
  </conditionalFormatting>
  <conditionalFormatting sqref="AC28:AE28 AC198:AE198 AC113:AE113">
    <cfRule type="expression" dxfId="6204" priority="189" stopIfTrue="1">
      <formula>IF($AK8&lt;10,1,IF($AK7&lt;4,1,0))</formula>
    </cfRule>
  </conditionalFormatting>
  <conditionalFormatting sqref="H29:J29 H199:J199 H114:J114">
    <cfRule type="expression" dxfId="6203" priority="188" stopIfTrue="1">
      <formula>IF($AK8&lt;3,1,IF($AK7&lt;5,1,0))</formula>
    </cfRule>
  </conditionalFormatting>
  <conditionalFormatting sqref="K29:M29 K199:M199 K114:M114">
    <cfRule type="expression" dxfId="6202" priority="187" stopIfTrue="1">
      <formula>IF($AK8&lt;4,1,IF($AK7&lt;5,1,0))</formula>
    </cfRule>
  </conditionalFormatting>
  <conditionalFormatting sqref="N29:P29 N199:P199 N114:P114">
    <cfRule type="expression" dxfId="6201" priority="186" stopIfTrue="1">
      <formula>IF($AK8&lt;5,1,IF($AK7&lt;5,1,0))</formula>
    </cfRule>
  </conditionalFormatting>
  <conditionalFormatting sqref="Q29:S29 Q199:S199 Q114:S114">
    <cfRule type="expression" dxfId="6200" priority="185" stopIfTrue="1">
      <formula>IF($AK8&lt;6,1,IF($AK7&lt;5,1,0))</formula>
    </cfRule>
  </conditionalFormatting>
  <conditionalFormatting sqref="T29:V29 T199:V199 T114:V114">
    <cfRule type="expression" dxfId="6199" priority="184" stopIfTrue="1">
      <formula>IF($AK8&lt;7,1,IF($AK7&lt;5,1,0))</formula>
    </cfRule>
  </conditionalFormatting>
  <conditionalFormatting sqref="W29:Y29 W199:Y199 W114:Y114">
    <cfRule type="expression" dxfId="6198" priority="183" stopIfTrue="1">
      <formula>IF($AK8&lt;8,1,IF($AK7&lt;5,1,0))</formula>
    </cfRule>
  </conditionalFormatting>
  <conditionalFormatting sqref="Z29:AB29 Z199:AB199 Z114:AB114">
    <cfRule type="expression" dxfId="6197" priority="182" stopIfTrue="1">
      <formula>IF($AK8&lt;9,1,IF($AK7&lt;5,1,0))</formula>
    </cfRule>
  </conditionalFormatting>
  <conditionalFormatting sqref="AC29:AE29 AC199:AE199 AC114:AE114">
    <cfRule type="expression" dxfId="6196" priority="181" stopIfTrue="1">
      <formula>IF($AK8&lt;10,1,IF($AK7&lt;5,1,0))</formula>
    </cfRule>
  </conditionalFormatting>
  <conditionalFormatting sqref="R184:AB185 AF184:AF185 L184:P185 R14:AB15 AF14:AF15 L14:P15 R99:AB100 AF99:AF100 L99:P100 AG14 AG99 AG184">
    <cfRule type="expression" dxfId="6195" priority="180" stopIfTrue="1">
      <formula>IF($AK9&gt;3,0,1)</formula>
    </cfRule>
  </conditionalFormatting>
  <conditionalFormatting sqref="R186:AB187 AF186:AF187 L186:P187 R16:AB17 AF16:AF17 L16:P17 R101:AB102 AF101:AF102 L101:P102 AG16 AG101 AG186">
    <cfRule type="expression" dxfId="6194" priority="179" stopIfTrue="1">
      <formula>IF($AK9&gt;4,0,1)</formula>
    </cfRule>
  </conditionalFormatting>
  <conditionalFormatting sqref="R178:AB179 AF178:AF179 L178:P179 R8:AB9 AF8:AF9 L8:P9 R93:AB94 AF93:AF94 L93:P94 AG8 AG93 AG178">
    <cfRule type="expression" dxfId="6193" priority="178" stopIfTrue="1">
      <formula>IF($AK9&gt;0,0,1)</formula>
    </cfRule>
  </conditionalFormatting>
  <conditionalFormatting sqref="R180:AB181 AF180:AF181 L180:P181 R10:AB11 AF10:AF11 L10:P11 R95:AB96 AF95:AF96 L95:P96 AG10 AG95 AG180">
    <cfRule type="expression" dxfId="6192" priority="177" stopIfTrue="1">
      <formula>IF($AK9&gt;1,0,1)</formula>
    </cfRule>
  </conditionalFormatting>
  <conditionalFormatting sqref="R182:AB183 AF182:AF183 L182:P183 R12:AB13 AF12:AF13 L12:P13 R97:AB98 AF97:AF98 L97:P98 AG12 AG97 AG182">
    <cfRule type="expression" dxfId="6191" priority="176" stopIfTrue="1">
      <formula>IF($AK9&gt;2,0,1)</formula>
    </cfRule>
  </conditionalFormatting>
  <conditionalFormatting sqref="E194">
    <cfRule type="expression" dxfId="6190" priority="175" stopIfTrue="1">
      <formula>IF(AK178&gt;1,0,1)</formula>
    </cfRule>
  </conditionalFormatting>
  <conditionalFormatting sqref="H194">
    <cfRule type="expression" dxfId="6189" priority="174" stopIfTrue="1">
      <formula>IF(AK178&gt;2,0,1)</formula>
    </cfRule>
  </conditionalFormatting>
  <conditionalFormatting sqref="K194">
    <cfRule type="expression" dxfId="6188" priority="173" stopIfTrue="1">
      <formula>IF(AK178&gt;3,0,1)</formula>
    </cfRule>
  </conditionalFormatting>
  <conditionalFormatting sqref="N194">
    <cfRule type="expression" dxfId="6187" priority="172" stopIfTrue="1">
      <formula>IF(AK178&gt;4,0,1)</formula>
    </cfRule>
  </conditionalFormatting>
  <conditionalFormatting sqref="Q194">
    <cfRule type="expression" dxfId="6186" priority="171" stopIfTrue="1">
      <formula>IF(AK178&gt;5,0,1)</formula>
    </cfRule>
  </conditionalFormatting>
  <conditionalFormatting sqref="T194 T109 T24">
    <cfRule type="expression" dxfId="6185" priority="170" stopIfTrue="1">
      <formula>IF(AK8&gt;6,0,1)</formula>
    </cfRule>
  </conditionalFormatting>
  <conditionalFormatting sqref="W194 W109 W24">
    <cfRule type="expression" dxfId="6184" priority="169" stopIfTrue="1">
      <formula>IF(AK8&gt;7,0,1)</formula>
    </cfRule>
  </conditionalFormatting>
  <conditionalFormatting sqref="Z194 Z109 Z24">
    <cfRule type="expression" dxfId="6183" priority="168" stopIfTrue="1">
      <formula>IF(AK8&gt;8,0,1)</formula>
    </cfRule>
  </conditionalFormatting>
  <conditionalFormatting sqref="AC194 AC109 AC24">
    <cfRule type="expression" dxfId="6182" priority="167" stopIfTrue="1">
      <formula>IF(AK8&gt;9,0,1)</formula>
    </cfRule>
  </conditionalFormatting>
  <conditionalFormatting sqref="AQ197 AQ112 AQ27">
    <cfRule type="expression" dxfId="6181" priority="166" stopIfTrue="1">
      <formula>IF($AK9&gt;3,0,1)</formula>
    </cfRule>
  </conditionalFormatting>
  <conditionalFormatting sqref="E195:G195">
    <cfRule type="expression" dxfId="6180" priority="165" stopIfTrue="1">
      <formula>IF($AK178&gt;1,0,1)</formula>
    </cfRule>
  </conditionalFormatting>
  <conditionalFormatting sqref="B21:D21 B106:D106 B191:D191">
    <cfRule type="expression" dxfId="6179" priority="164" stopIfTrue="1">
      <formula>IF(AK8&gt;0,0,1)</formula>
    </cfRule>
  </conditionalFormatting>
  <conditionalFormatting sqref="E21:G21 E106:G106 E191:G191">
    <cfRule type="expression" dxfId="6178" priority="163" stopIfTrue="1">
      <formula>IF(AK8&gt;1,0,1)</formula>
    </cfRule>
  </conditionalFormatting>
  <conditionalFormatting sqref="H21:J21 H106:J106 H191:J191">
    <cfRule type="expression" dxfId="6177" priority="162" stopIfTrue="1">
      <formula>IF(AK8&gt;2,0,1)</formula>
    </cfRule>
  </conditionalFormatting>
  <conditionalFormatting sqref="K191:M191 K106:M106 K21:M21">
    <cfRule type="expression" dxfId="6176" priority="161" stopIfTrue="1">
      <formula>IF(AK8&gt;3,0,1)</formula>
    </cfRule>
  </conditionalFormatting>
  <conditionalFormatting sqref="N191:P191 N106:P106 N21:P21">
    <cfRule type="expression" dxfId="6175" priority="160" stopIfTrue="1">
      <formula>IF(AK8&gt;4,0,1)</formula>
    </cfRule>
  </conditionalFormatting>
  <conditionalFormatting sqref="Q191:S191 Q106:S106 Q21:S21">
    <cfRule type="expression" dxfId="6174" priority="159" stopIfTrue="1">
      <formula>IF(AK8&gt;5,0,1)</formula>
    </cfRule>
  </conditionalFormatting>
  <conditionalFormatting sqref="T191:V191 T106:V106 T21:V21">
    <cfRule type="expression" dxfId="6173" priority="158" stopIfTrue="1">
      <formula>IF(AK8&gt;6,0,1)</formula>
    </cfRule>
  </conditionalFormatting>
  <conditionalFormatting sqref="W191:Y191 W106:Y106 W21:Y21">
    <cfRule type="expression" dxfId="6172" priority="157" stopIfTrue="1">
      <formula>IF(AK8&gt;7,0,1)</formula>
    </cfRule>
  </conditionalFormatting>
  <conditionalFormatting sqref="Z191:AB191 Z106:AB106 Z21:AB21">
    <cfRule type="expression" dxfId="6171" priority="156" stopIfTrue="1">
      <formula>IF(AK8&gt;8,0,1)</formula>
    </cfRule>
  </conditionalFormatting>
  <conditionalFormatting sqref="AC191:AE191 AC106:AE106 AC21:AE21">
    <cfRule type="expression" dxfId="6170" priority="155" stopIfTrue="1">
      <formula>IF(AK8&gt;9,0,1)</formula>
    </cfRule>
  </conditionalFormatting>
  <conditionalFormatting sqref="AG194:AP198 AG24:AP28 AG109:AP113">
    <cfRule type="cellIs" dxfId="6169" priority="154" stopIfTrue="1" operator="notBetween">
      <formula>-9999</formula>
      <formula>9999</formula>
    </cfRule>
  </conditionalFormatting>
  <conditionalFormatting sqref="AC92 AC177 AC7">
    <cfRule type="expression" dxfId="6168" priority="153" stopIfTrue="1">
      <formula>IF($AK$11=0,1,0)</formula>
    </cfRule>
  </conditionalFormatting>
  <conditionalFormatting sqref="B18">
    <cfRule type="expression" dxfId="6167" priority="152" stopIfTrue="1">
      <formula>IF($AK$9&gt;0,0,1)</formula>
    </cfRule>
  </conditionalFormatting>
  <conditionalFormatting sqref="B192:D193">
    <cfRule type="cellIs" dxfId="6166" priority="151" stopIfTrue="1" operator="equal">
      <formula>99</formula>
    </cfRule>
  </conditionalFormatting>
  <conditionalFormatting sqref="B20:D20">
    <cfRule type="expression" dxfId="6165" priority="150" stopIfTrue="1">
      <formula>IF(AK8&gt;0,0,1)</formula>
    </cfRule>
  </conditionalFormatting>
  <conditionalFormatting sqref="E20:G20">
    <cfRule type="expression" dxfId="6164" priority="149" stopIfTrue="1">
      <formula>IF(AK8&gt;1,0,1)</formula>
    </cfRule>
  </conditionalFormatting>
  <conditionalFormatting sqref="H20:J20">
    <cfRule type="expression" dxfId="6163" priority="148" stopIfTrue="1">
      <formula>IF(AK8&gt;2,0,1)</formula>
    </cfRule>
  </conditionalFormatting>
  <conditionalFormatting sqref="B21:D21">
    <cfRule type="expression" dxfId="6162" priority="147" stopIfTrue="1">
      <formula>IF(AK8&gt;0,0,1)</formula>
    </cfRule>
  </conditionalFormatting>
  <conditionalFormatting sqref="E21:G21">
    <cfRule type="expression" dxfId="6161" priority="146" stopIfTrue="1">
      <formula>IF(AK8&gt;1,0,1)</formula>
    </cfRule>
  </conditionalFormatting>
  <conditionalFormatting sqref="H21:J21">
    <cfRule type="expression" dxfId="6160" priority="145" stopIfTrue="1">
      <formula>IF(AK8&gt;2,0,1)</formula>
    </cfRule>
  </conditionalFormatting>
  <conditionalFormatting sqref="B105:D105">
    <cfRule type="expression" dxfId="6159" priority="144" stopIfTrue="1">
      <formula>IF(AK93&gt;0,0,1)</formula>
    </cfRule>
  </conditionalFormatting>
  <conditionalFormatting sqref="E105:G105">
    <cfRule type="expression" dxfId="6158" priority="143" stopIfTrue="1">
      <formula>IF(AK93&gt;1,0,1)</formula>
    </cfRule>
  </conditionalFormatting>
  <conditionalFormatting sqref="H105:J105">
    <cfRule type="expression" dxfId="6157" priority="142" stopIfTrue="1">
      <formula>IF(AK93&gt;2,0,1)</formula>
    </cfRule>
  </conditionalFormatting>
  <conditionalFormatting sqref="B106:D106">
    <cfRule type="expression" dxfId="6156" priority="141" stopIfTrue="1">
      <formula>IF(AK93&gt;0,0,1)</formula>
    </cfRule>
  </conditionalFormatting>
  <conditionalFormatting sqref="E106:G106">
    <cfRule type="expression" dxfId="6155" priority="140" stopIfTrue="1">
      <formula>IF(AK93&gt;1,0,1)</formula>
    </cfRule>
  </conditionalFormatting>
  <conditionalFormatting sqref="H106:J106">
    <cfRule type="expression" dxfId="6154" priority="139" stopIfTrue="1">
      <formula>IF(AK93&gt;2,0,1)</formula>
    </cfRule>
  </conditionalFormatting>
  <conditionalFormatting sqref="B190:D190">
    <cfRule type="expression" dxfId="6153" priority="138" stopIfTrue="1">
      <formula>IF(AK178&gt;0,0,1)</formula>
    </cfRule>
  </conditionalFormatting>
  <conditionalFormatting sqref="E190:G190">
    <cfRule type="expression" dxfId="6152" priority="137" stopIfTrue="1">
      <formula>IF(AK178&gt;1,0,1)</formula>
    </cfRule>
  </conditionalFormatting>
  <conditionalFormatting sqref="H190:J190">
    <cfRule type="expression" dxfId="6151" priority="136" stopIfTrue="1">
      <formula>IF(AK178&gt;2,0,1)</formula>
    </cfRule>
  </conditionalFormatting>
  <conditionalFormatting sqref="E192:G192">
    <cfRule type="expression" dxfId="6150" priority="135" stopIfTrue="1">
      <formula>IF(AK178&gt;1,0,1)</formula>
    </cfRule>
  </conditionalFormatting>
  <conditionalFormatting sqref="H192:J192">
    <cfRule type="expression" dxfId="6149" priority="134" stopIfTrue="1">
      <formula>IF(AK178&gt;2,0,1)</formula>
    </cfRule>
  </conditionalFormatting>
  <conditionalFormatting sqref="B194">
    <cfRule type="expression" dxfId="6148" priority="133" stopIfTrue="1">
      <formula>IF(AK178&gt;0,0,1)</formula>
    </cfRule>
  </conditionalFormatting>
  <conditionalFormatting sqref="C194">
    <cfRule type="expression" dxfId="6147" priority="132" stopIfTrue="1">
      <formula>IF(AK178&gt;0,0,1)</formula>
    </cfRule>
  </conditionalFormatting>
  <conditionalFormatting sqref="D194">
    <cfRule type="expression" dxfId="6146" priority="131" stopIfTrue="1">
      <formula>IF(AK178&gt;0,0,1)</formula>
    </cfRule>
  </conditionalFormatting>
  <conditionalFormatting sqref="E193:G193">
    <cfRule type="expression" dxfId="6145" priority="130" stopIfTrue="1">
      <formula>IF(AK178&gt;1,0,1)</formula>
    </cfRule>
  </conditionalFormatting>
  <conditionalFormatting sqref="F194">
    <cfRule type="expression" dxfId="6144" priority="129" stopIfTrue="1">
      <formula>IF(AK178&gt;1,0,1)</formula>
    </cfRule>
  </conditionalFormatting>
  <conditionalFormatting sqref="G194">
    <cfRule type="expression" dxfId="6143" priority="128" stopIfTrue="1">
      <formula>IF(AK178&gt;1,0,1)</formula>
    </cfRule>
  </conditionalFormatting>
  <conditionalFormatting sqref="H193:J193">
    <cfRule type="expression" dxfId="6142" priority="127" stopIfTrue="1">
      <formula>IF(AK178&gt;2,0,1)</formula>
    </cfRule>
  </conditionalFormatting>
  <conditionalFormatting sqref="I194">
    <cfRule type="expression" dxfId="6141" priority="126" stopIfTrue="1">
      <formula>IF(AK178&gt;2,0,1)</formula>
    </cfRule>
  </conditionalFormatting>
  <conditionalFormatting sqref="J194">
    <cfRule type="expression" dxfId="6140" priority="125" stopIfTrue="1">
      <formula>IF(AK178&gt;2,0,1)</formula>
    </cfRule>
  </conditionalFormatting>
  <conditionalFormatting sqref="B195:D195">
    <cfRule type="expression" dxfId="6139" priority="124" stopIfTrue="1">
      <formula>IF($AK178&gt;0,0,1)</formula>
    </cfRule>
  </conditionalFormatting>
  <conditionalFormatting sqref="H195:J195">
    <cfRule type="expression" dxfId="6138" priority="123" stopIfTrue="1">
      <formula>IF($AK178&gt;2,0,1)</formula>
    </cfRule>
  </conditionalFormatting>
  <conditionalFormatting sqref="E194">
    <cfRule type="expression" dxfId="6137" priority="122" stopIfTrue="1">
      <formula>IF(AK178&gt;1,0,1)</formula>
    </cfRule>
  </conditionalFormatting>
  <conditionalFormatting sqref="H194">
    <cfRule type="expression" dxfId="6136" priority="121" stopIfTrue="1">
      <formula>IF(AK178&gt;2,0,1)</formula>
    </cfRule>
  </conditionalFormatting>
  <conditionalFormatting sqref="E195:G195">
    <cfRule type="expression" dxfId="6135" priority="120" stopIfTrue="1">
      <formula>IF($AK178&gt;1,0,1)</formula>
    </cfRule>
  </conditionalFormatting>
  <conditionalFormatting sqref="B191:D191">
    <cfRule type="expression" dxfId="6134" priority="119" stopIfTrue="1">
      <formula>IF(AK178&gt;0,0,1)</formula>
    </cfRule>
  </conditionalFormatting>
  <conditionalFormatting sqref="E191:G191">
    <cfRule type="expression" dxfId="6133" priority="118" stopIfTrue="1">
      <formula>IF(AK178&gt;1,0,1)</formula>
    </cfRule>
  </conditionalFormatting>
  <conditionalFormatting sqref="H191:J191">
    <cfRule type="expression" dxfId="6132" priority="117" stopIfTrue="1">
      <formula>IF(AK178&gt;2,0,1)</formula>
    </cfRule>
  </conditionalFormatting>
  <conditionalFormatting sqref="B103">
    <cfRule type="expression" dxfId="6131" priority="116" stopIfTrue="1">
      <formula>IF($AK$9&gt;0,0,1)</formula>
    </cfRule>
  </conditionalFormatting>
  <conditionalFormatting sqref="B188">
    <cfRule type="expression" dxfId="6130" priority="115" stopIfTrue="1">
      <formula>IF($AK$9&gt;0,0,1)</formula>
    </cfRule>
  </conditionalFormatting>
  <conditionalFormatting sqref="B104:D104">
    <cfRule type="expression" dxfId="6129" priority="108" stopIfTrue="1">
      <formula>IF(AK93&gt;0,0,1)</formula>
    </cfRule>
  </conditionalFormatting>
  <conditionalFormatting sqref="E104:G104">
    <cfRule type="expression" dxfId="6128" priority="107" stopIfTrue="1">
      <formula>IF(AK93&gt;1,0,1)</formula>
    </cfRule>
  </conditionalFormatting>
  <conditionalFormatting sqref="H104:J104">
    <cfRule type="expression" dxfId="6127" priority="106" stopIfTrue="1">
      <formula>IF(AK93&gt;2,0,1)</formula>
    </cfRule>
  </conditionalFormatting>
  <conditionalFormatting sqref="B104:D104">
    <cfRule type="expression" dxfId="6126" priority="105" stopIfTrue="1">
      <formula>IF(AK93&gt;0,0,1)</formula>
    </cfRule>
  </conditionalFormatting>
  <conditionalFormatting sqref="E104:G104">
    <cfRule type="expression" dxfId="6125" priority="104" stopIfTrue="1">
      <formula>IF(AK93&gt;1,0,1)</formula>
    </cfRule>
  </conditionalFormatting>
  <conditionalFormatting sqref="H104:J104">
    <cfRule type="expression" dxfId="6124" priority="103" stopIfTrue="1">
      <formula>IF(AK93&gt;2,0,1)</formula>
    </cfRule>
  </conditionalFormatting>
  <conditionalFormatting sqref="B19:D19">
    <cfRule type="expression" dxfId="6123" priority="114" stopIfTrue="1">
      <formula>IF(AK8&gt;0,0,1)</formula>
    </cfRule>
  </conditionalFormatting>
  <conditionalFormatting sqref="E19:G19">
    <cfRule type="expression" dxfId="6122" priority="113" stopIfTrue="1">
      <formula>IF(AK8&gt;1,0,1)</formula>
    </cfRule>
  </conditionalFormatting>
  <conditionalFormatting sqref="H19:J19">
    <cfRule type="expression" dxfId="6121" priority="112" stopIfTrue="1">
      <formula>IF(AK8&gt;2,0,1)</formula>
    </cfRule>
  </conditionalFormatting>
  <conditionalFormatting sqref="B19:D19">
    <cfRule type="expression" dxfId="6120" priority="111" stopIfTrue="1">
      <formula>IF(AK8&gt;0,0,1)</formula>
    </cfRule>
  </conditionalFormatting>
  <conditionalFormatting sqref="E19:G19">
    <cfRule type="expression" dxfId="6119" priority="110" stopIfTrue="1">
      <formula>IF(AK8&gt;1,0,1)</formula>
    </cfRule>
  </conditionalFormatting>
  <conditionalFormatting sqref="H19:J19">
    <cfRule type="expression" dxfId="6118" priority="109" stopIfTrue="1">
      <formula>IF(AK8&gt;2,0,1)</formula>
    </cfRule>
  </conditionalFormatting>
  <conditionalFormatting sqref="B189:D189">
    <cfRule type="expression" dxfId="6117" priority="102" stopIfTrue="1">
      <formula>IF(AK178&gt;0,0,1)</formula>
    </cfRule>
  </conditionalFormatting>
  <conditionalFormatting sqref="E189:G189">
    <cfRule type="expression" dxfId="6116" priority="101" stopIfTrue="1">
      <formula>IF(AK178&gt;1,0,1)</formula>
    </cfRule>
  </conditionalFormatting>
  <conditionalFormatting sqref="H189:J189">
    <cfRule type="expression" dxfId="6115" priority="100" stopIfTrue="1">
      <formula>IF(AK178&gt;2,0,1)</formula>
    </cfRule>
  </conditionalFormatting>
  <conditionalFormatting sqref="B189:D189">
    <cfRule type="expression" dxfId="6114" priority="99" stopIfTrue="1">
      <formula>IF(AK178&gt;0,0,1)</formula>
    </cfRule>
  </conditionalFormatting>
  <conditionalFormatting sqref="E189:G189">
    <cfRule type="expression" dxfId="6113" priority="98" stopIfTrue="1">
      <formula>IF(AK178&gt;1,0,1)</formula>
    </cfRule>
  </conditionalFormatting>
  <conditionalFormatting sqref="H189:J189">
    <cfRule type="expression" dxfId="6112" priority="97" stopIfTrue="1">
      <formula>IF(AK178&gt;2,0,1)</formula>
    </cfRule>
  </conditionalFormatting>
  <conditionalFormatting sqref="E8">
    <cfRule type="expression" dxfId="6111" priority="96" stopIfTrue="1">
      <formula>IF(AK9&gt;0,0,1)</formula>
    </cfRule>
  </conditionalFormatting>
  <conditionalFormatting sqref="E9">
    <cfRule type="expression" dxfId="6110" priority="95" stopIfTrue="1">
      <formula>IF(AK9&gt;0,0,1)</formula>
    </cfRule>
  </conditionalFormatting>
  <conditionalFormatting sqref="E10">
    <cfRule type="expression" dxfId="6109" priority="94" stopIfTrue="1">
      <formula>IF(AK9&gt;1,0,1)</formula>
    </cfRule>
  </conditionalFormatting>
  <conditionalFormatting sqref="E11">
    <cfRule type="expression" dxfId="6108" priority="93" stopIfTrue="1">
      <formula>IF(AK9&gt;1,0,1)</formula>
    </cfRule>
  </conditionalFormatting>
  <conditionalFormatting sqref="E12">
    <cfRule type="expression" dxfId="6107" priority="92" stopIfTrue="1">
      <formula>IF(AK9&gt;2,0,1)</formula>
    </cfRule>
  </conditionalFormatting>
  <conditionalFormatting sqref="E13">
    <cfRule type="expression" dxfId="6106" priority="91" stopIfTrue="1">
      <formula>IF(AK9&gt;2,0,1)</formula>
    </cfRule>
  </conditionalFormatting>
  <conditionalFormatting sqref="E14">
    <cfRule type="expression" dxfId="6105" priority="90" stopIfTrue="1">
      <formula>IF(AK9&gt;3,0,1)</formula>
    </cfRule>
  </conditionalFormatting>
  <conditionalFormatting sqref="E15">
    <cfRule type="expression" dxfId="6104" priority="89" stopIfTrue="1">
      <formula>IF(AK9&gt;3,0,1)</formula>
    </cfRule>
  </conditionalFormatting>
  <conditionalFormatting sqref="E93">
    <cfRule type="expression" dxfId="6103" priority="88" stopIfTrue="1">
      <formula>IF(AK94&gt;0,0,1)</formula>
    </cfRule>
  </conditionalFormatting>
  <conditionalFormatting sqref="E94">
    <cfRule type="expression" dxfId="6102" priority="87" stopIfTrue="1">
      <formula>IF(AK94&gt;0,0,1)</formula>
    </cfRule>
  </conditionalFormatting>
  <conditionalFormatting sqref="E95">
    <cfRule type="expression" dxfId="6101" priority="86" stopIfTrue="1">
      <formula>IF(AK94&gt;1,0,1)</formula>
    </cfRule>
  </conditionalFormatting>
  <conditionalFormatting sqref="E96">
    <cfRule type="expression" dxfId="6100" priority="85" stopIfTrue="1">
      <formula>IF(AK94&gt;1,0,1)</formula>
    </cfRule>
  </conditionalFormatting>
  <conditionalFormatting sqref="E97">
    <cfRule type="expression" dxfId="6099" priority="84" stopIfTrue="1">
      <formula>IF(AK94&gt;2,0,1)</formula>
    </cfRule>
  </conditionalFormatting>
  <conditionalFormatting sqref="E98">
    <cfRule type="expression" dxfId="6098" priority="83" stopIfTrue="1">
      <formula>IF(AK94&gt;2,0,1)</formula>
    </cfRule>
  </conditionalFormatting>
  <conditionalFormatting sqref="E22:G22">
    <cfRule type="expression" dxfId="6097" priority="82" stopIfTrue="1">
      <formula>IF(AK8&gt;1,0,1)</formula>
    </cfRule>
  </conditionalFormatting>
  <conditionalFormatting sqref="H22:J22">
    <cfRule type="expression" dxfId="6096" priority="81" stopIfTrue="1">
      <formula>IF(AK8&gt;2,0,1)</formula>
    </cfRule>
  </conditionalFormatting>
  <conditionalFormatting sqref="K22:M22">
    <cfRule type="expression" dxfId="6095" priority="80" stopIfTrue="1">
      <formula>IF(AK8&gt;3,0,1)</formula>
    </cfRule>
  </conditionalFormatting>
  <conditionalFormatting sqref="N22:P22">
    <cfRule type="expression" dxfId="6094" priority="79" stopIfTrue="1">
      <formula>IF(AK8&gt;4,0,1)</formula>
    </cfRule>
  </conditionalFormatting>
  <conditionalFormatting sqref="Q22:S22">
    <cfRule type="expression" dxfId="6093" priority="78" stopIfTrue="1">
      <formula>IF(AK8&gt;5,0,1)</formula>
    </cfRule>
  </conditionalFormatting>
  <conditionalFormatting sqref="B24">
    <cfRule type="expression" dxfId="6092" priority="77" stopIfTrue="1">
      <formula>IF(AK8&gt;0,0,1)</formula>
    </cfRule>
  </conditionalFormatting>
  <conditionalFormatting sqref="C24">
    <cfRule type="expression" dxfId="6091" priority="76" stopIfTrue="1">
      <formula>IF(AK8&gt;0,0,1)</formula>
    </cfRule>
  </conditionalFormatting>
  <conditionalFormatting sqref="D24">
    <cfRule type="expression" dxfId="6090" priority="75" stopIfTrue="1">
      <formula>IF(AK8&gt;0,0,1)</formula>
    </cfRule>
  </conditionalFormatting>
  <conditionalFormatting sqref="E23:G23">
    <cfRule type="expression" dxfId="6089" priority="74" stopIfTrue="1">
      <formula>IF(AK8&gt;1,0,1)</formula>
    </cfRule>
  </conditionalFormatting>
  <conditionalFormatting sqref="F24">
    <cfRule type="expression" dxfId="6088" priority="73" stopIfTrue="1">
      <formula>IF(AK8&gt;1,0,1)</formula>
    </cfRule>
  </conditionalFormatting>
  <conditionalFormatting sqref="G24">
    <cfRule type="expression" dxfId="6087" priority="72" stopIfTrue="1">
      <formula>IF(AK8&gt;1,0,1)</formula>
    </cfRule>
  </conditionalFormatting>
  <conditionalFormatting sqref="H23:J23">
    <cfRule type="expression" dxfId="6086" priority="71" stopIfTrue="1">
      <formula>IF(AK8&gt;2,0,1)</formula>
    </cfRule>
  </conditionalFormatting>
  <conditionalFormatting sqref="I24">
    <cfRule type="expression" dxfId="6085" priority="70" stopIfTrue="1">
      <formula>IF(AK8&gt;2,0,1)</formula>
    </cfRule>
  </conditionalFormatting>
  <conditionalFormatting sqref="J24">
    <cfRule type="expression" dxfId="6084" priority="69" stopIfTrue="1">
      <formula>IF(AK8&gt;2,0,1)</formula>
    </cfRule>
  </conditionalFormatting>
  <conditionalFormatting sqref="K23:M23">
    <cfRule type="expression" dxfId="6083" priority="68" stopIfTrue="1">
      <formula>IF(AK8&gt;3,0,1)</formula>
    </cfRule>
  </conditionalFormatting>
  <conditionalFormatting sqref="L24">
    <cfRule type="expression" dxfId="6082" priority="67" stopIfTrue="1">
      <formula>IF(AK8&gt;3,0,1)</formula>
    </cfRule>
  </conditionalFormatting>
  <conditionalFormatting sqref="M24">
    <cfRule type="expression" dxfId="6081" priority="66" stopIfTrue="1">
      <formula>IF(AK8&gt;3,0,1)</formula>
    </cfRule>
  </conditionalFormatting>
  <conditionalFormatting sqref="N23:P23">
    <cfRule type="expression" dxfId="6080" priority="65" stopIfTrue="1">
      <formula>IF(AK8&gt;4,0,1)</formula>
    </cfRule>
  </conditionalFormatting>
  <conditionalFormatting sqref="O24">
    <cfRule type="expression" dxfId="6079" priority="64" stopIfTrue="1">
      <formula>IF(AK8&gt;4,0,1)</formula>
    </cfRule>
  </conditionalFormatting>
  <conditionalFormatting sqref="P24">
    <cfRule type="expression" dxfId="6078" priority="63" stopIfTrue="1">
      <formula>IF(AK8&gt;4,0,1)</formula>
    </cfRule>
  </conditionalFormatting>
  <conditionalFormatting sqref="Q23:S23">
    <cfRule type="expression" dxfId="6077" priority="62" stopIfTrue="1">
      <formula>IF(AK8&gt;5,0,1)</formula>
    </cfRule>
  </conditionalFormatting>
  <conditionalFormatting sqref="R24">
    <cfRule type="expression" dxfId="6076" priority="61" stopIfTrue="1">
      <formula>IF(AK8&gt;5,0,1)</formula>
    </cfRule>
  </conditionalFormatting>
  <conditionalFormatting sqref="S24">
    <cfRule type="expression" dxfId="6075" priority="60" stopIfTrue="1">
      <formula>IF(AK8&gt;5,0,1)</formula>
    </cfRule>
  </conditionalFormatting>
  <conditionalFormatting sqref="B25:D25">
    <cfRule type="expression" dxfId="6074" priority="59" stopIfTrue="1">
      <formula>IF($AK8&gt;0,0,1)</formula>
    </cfRule>
  </conditionalFormatting>
  <conditionalFormatting sqref="B26:D26">
    <cfRule type="expression" dxfId="6073" priority="58" stopIfTrue="1">
      <formula>IF($AK8&lt;1,1,IF($AK7&lt;2,1,0))</formula>
    </cfRule>
  </conditionalFormatting>
  <conditionalFormatting sqref="H25:J25">
    <cfRule type="expression" dxfId="6072" priority="57" stopIfTrue="1">
      <formula>IF($AK8&gt;2,0,1)</formula>
    </cfRule>
  </conditionalFormatting>
  <conditionalFormatting sqref="K25:M25">
    <cfRule type="expression" dxfId="6071" priority="56" stopIfTrue="1">
      <formula>IF($AK8&gt;3,0,1)</formula>
    </cfRule>
  </conditionalFormatting>
  <conditionalFormatting sqref="E26:G26">
    <cfRule type="expression" dxfId="6070" priority="55" stopIfTrue="1">
      <formula>IF($AK8&lt;2,1,IF($AK7&lt;2,1,0))</formula>
    </cfRule>
  </conditionalFormatting>
  <conditionalFormatting sqref="N25:P25">
    <cfRule type="expression" dxfId="6069" priority="54" stopIfTrue="1">
      <formula>IF($AK8&gt;4,0,1)</formula>
    </cfRule>
  </conditionalFormatting>
  <conditionalFormatting sqref="Q25:S25">
    <cfRule type="expression" dxfId="6068" priority="53" stopIfTrue="1">
      <formula>IF($AK8&gt;5,0,1)</formula>
    </cfRule>
  </conditionalFormatting>
  <conditionalFormatting sqref="H26:J26">
    <cfRule type="expression" dxfId="6067" priority="52" stopIfTrue="1">
      <formula>IF($AK8&lt;3,1,IF($AK7&lt;2,1,0))</formula>
    </cfRule>
  </conditionalFormatting>
  <conditionalFormatting sqref="K26:M26">
    <cfRule type="expression" dxfId="6066" priority="51" stopIfTrue="1">
      <formula>IF($AK8&lt;4,1,IF($AK7&lt;2,1,0))</formula>
    </cfRule>
  </conditionalFormatting>
  <conditionalFormatting sqref="N26:P26">
    <cfRule type="expression" dxfId="6065" priority="50" stopIfTrue="1">
      <formula>IF($AK8&lt;5,1,IF($AK7&lt;2,1,0))</formula>
    </cfRule>
  </conditionalFormatting>
  <conditionalFormatting sqref="Q26:S26">
    <cfRule type="expression" dxfId="6064" priority="49" stopIfTrue="1">
      <formula>IF($AK8&lt;6,1,IF($AK7&lt;2,1,0))</formula>
    </cfRule>
  </conditionalFormatting>
  <conditionalFormatting sqref="E24">
    <cfRule type="expression" dxfId="6063" priority="48" stopIfTrue="1">
      <formula>IF(AK8&gt;1,0,1)</formula>
    </cfRule>
  </conditionalFormatting>
  <conditionalFormatting sqref="H24">
    <cfRule type="expression" dxfId="6062" priority="47" stopIfTrue="1">
      <formula>IF(AK8&gt;2,0,1)</formula>
    </cfRule>
  </conditionalFormatting>
  <conditionalFormatting sqref="K24">
    <cfRule type="expression" dxfId="6061" priority="46" stopIfTrue="1">
      <formula>IF(AK8&gt;3,0,1)</formula>
    </cfRule>
  </conditionalFormatting>
  <conditionalFormatting sqref="N24">
    <cfRule type="expression" dxfId="6060" priority="45" stopIfTrue="1">
      <formula>IF(AK8&gt;4,0,1)</formula>
    </cfRule>
  </conditionalFormatting>
  <conditionalFormatting sqref="Q24">
    <cfRule type="expression" dxfId="6059" priority="44" stopIfTrue="1">
      <formula>IF(AK8&gt;5,0,1)</formula>
    </cfRule>
  </conditionalFormatting>
  <conditionalFormatting sqref="E25:G25">
    <cfRule type="expression" dxfId="6058" priority="43" stopIfTrue="1">
      <formula>IF($AK8&gt;1,0,1)</formula>
    </cfRule>
  </conditionalFormatting>
  <conditionalFormatting sqref="B22:D23">
    <cfRule type="cellIs" dxfId="6057" priority="42" stopIfTrue="1" operator="equal">
      <formula>99</formula>
    </cfRule>
  </conditionalFormatting>
  <conditionalFormatting sqref="E107:G107">
    <cfRule type="expression" dxfId="6056" priority="41" stopIfTrue="1">
      <formula>IF(AK93&gt;1,0,1)</formula>
    </cfRule>
  </conditionalFormatting>
  <conditionalFormatting sqref="H107:J107">
    <cfRule type="expression" dxfId="6055" priority="40" stopIfTrue="1">
      <formula>IF(AK93&gt;2,0,1)</formula>
    </cfRule>
  </conditionalFormatting>
  <conditionalFormatting sqref="K107:M107">
    <cfRule type="expression" dxfId="6054" priority="39" stopIfTrue="1">
      <formula>IF(AK93&gt;3,0,1)</formula>
    </cfRule>
  </conditionalFormatting>
  <conditionalFormatting sqref="N107:P107">
    <cfRule type="expression" dxfId="6053" priority="38" stopIfTrue="1">
      <formula>IF(AK93&gt;4,0,1)</formula>
    </cfRule>
  </conditionalFormatting>
  <conditionalFormatting sqref="Q107:S107">
    <cfRule type="expression" dxfId="6052" priority="37" stopIfTrue="1">
      <formula>IF(AK93&gt;5,0,1)</formula>
    </cfRule>
  </conditionalFormatting>
  <conditionalFormatting sqref="B109">
    <cfRule type="expression" dxfId="6051" priority="36" stopIfTrue="1">
      <formula>IF(AK93&gt;0,0,1)</formula>
    </cfRule>
  </conditionalFormatting>
  <conditionalFormatting sqref="C109">
    <cfRule type="expression" dxfId="6050" priority="35" stopIfTrue="1">
      <formula>IF(AK93&gt;0,0,1)</formula>
    </cfRule>
  </conditionalFormatting>
  <conditionalFormatting sqref="D109">
    <cfRule type="expression" dxfId="6049" priority="34" stopIfTrue="1">
      <formula>IF(AK93&gt;0,0,1)</formula>
    </cfRule>
  </conditionalFormatting>
  <conditionalFormatting sqref="E108:G108">
    <cfRule type="expression" dxfId="6048" priority="33" stopIfTrue="1">
      <formula>IF(AK93&gt;1,0,1)</formula>
    </cfRule>
  </conditionalFormatting>
  <conditionalFormatting sqref="F109">
    <cfRule type="expression" dxfId="6047" priority="32" stopIfTrue="1">
      <formula>IF(AK93&gt;1,0,1)</formula>
    </cfRule>
  </conditionalFormatting>
  <conditionalFormatting sqref="G109">
    <cfRule type="expression" dxfId="6046" priority="31" stopIfTrue="1">
      <formula>IF(AK93&gt;1,0,1)</formula>
    </cfRule>
  </conditionalFormatting>
  <conditionalFormatting sqref="H108:J108">
    <cfRule type="expression" dxfId="6045" priority="30" stopIfTrue="1">
      <formula>IF(AK93&gt;2,0,1)</formula>
    </cfRule>
  </conditionalFormatting>
  <conditionalFormatting sqref="I109">
    <cfRule type="expression" dxfId="6044" priority="29" stopIfTrue="1">
      <formula>IF(AK93&gt;2,0,1)</formula>
    </cfRule>
  </conditionalFormatting>
  <conditionalFormatting sqref="J109">
    <cfRule type="expression" dxfId="6043" priority="28" stopIfTrue="1">
      <formula>IF(AK93&gt;2,0,1)</formula>
    </cfRule>
  </conditionalFormatting>
  <conditionalFormatting sqref="K108">
    <cfRule type="expression" dxfId="6042" priority="27" stopIfTrue="1">
      <formula>IF(AK93&gt;3,0,1)</formula>
    </cfRule>
  </conditionalFormatting>
  <conditionalFormatting sqref="L109">
    <cfRule type="expression" dxfId="6041" priority="26" stopIfTrue="1">
      <formula>IF(AK93&gt;3,0,1)</formula>
    </cfRule>
  </conditionalFormatting>
  <conditionalFormatting sqref="M109">
    <cfRule type="expression" dxfId="6040" priority="25" stopIfTrue="1">
      <formula>IF(AK93&gt;3,0,1)</formula>
    </cfRule>
  </conditionalFormatting>
  <conditionalFormatting sqref="N108">
    <cfRule type="expression" dxfId="6039" priority="24" stopIfTrue="1">
      <formula>IF(AK93&gt;4,0,1)</formula>
    </cfRule>
  </conditionalFormatting>
  <conditionalFormatting sqref="O109">
    <cfRule type="expression" dxfId="6038" priority="23" stopIfTrue="1">
      <formula>IF(AK93&gt;4,0,1)</formula>
    </cfRule>
  </conditionalFormatting>
  <conditionalFormatting sqref="P109">
    <cfRule type="expression" dxfId="6037" priority="22" stopIfTrue="1">
      <formula>IF(AK93&gt;4,0,1)</formula>
    </cfRule>
  </conditionalFormatting>
  <conditionalFormatting sqref="Q108">
    <cfRule type="expression" dxfId="6036" priority="21" stopIfTrue="1">
      <formula>IF(AK93&gt;5,0,1)</formula>
    </cfRule>
  </conditionalFormatting>
  <conditionalFormatting sqref="R109">
    <cfRule type="expression" dxfId="6035" priority="20" stopIfTrue="1">
      <formula>IF(AK93&gt;5,0,1)</formula>
    </cfRule>
  </conditionalFormatting>
  <conditionalFormatting sqref="S109">
    <cfRule type="expression" dxfId="6034" priority="19" stopIfTrue="1">
      <formula>IF(AK93&gt;5,0,1)</formula>
    </cfRule>
  </conditionalFormatting>
  <conditionalFormatting sqref="B110:D110">
    <cfRule type="expression" dxfId="6033" priority="18" stopIfTrue="1">
      <formula>IF($AK93&gt;0,0,1)</formula>
    </cfRule>
  </conditionalFormatting>
  <conditionalFormatting sqref="B111:D111">
    <cfRule type="expression" dxfId="6032" priority="17" stopIfTrue="1">
      <formula>IF($AK93&lt;1,1,IF($AK92&lt;2,1,0))</formula>
    </cfRule>
  </conditionalFormatting>
  <conditionalFormatting sqref="H110:J110">
    <cfRule type="expression" dxfId="6031" priority="16" stopIfTrue="1">
      <formula>IF($AK93&gt;2,0,1)</formula>
    </cfRule>
  </conditionalFormatting>
  <conditionalFormatting sqref="K110:M110">
    <cfRule type="expression" dxfId="6030" priority="15" stopIfTrue="1">
      <formula>IF($AK93&gt;3,0,1)</formula>
    </cfRule>
  </conditionalFormatting>
  <conditionalFormatting sqref="E111:G111">
    <cfRule type="expression" dxfId="6029" priority="14" stopIfTrue="1">
      <formula>IF($AK93&lt;2,1,IF($AK92&lt;2,1,0))</formula>
    </cfRule>
  </conditionalFormatting>
  <conditionalFormatting sqref="N110:P110">
    <cfRule type="expression" dxfId="6028" priority="13" stopIfTrue="1">
      <formula>IF($AK93&gt;4,0,1)</formula>
    </cfRule>
  </conditionalFormatting>
  <conditionalFormatting sqref="Q110:S110">
    <cfRule type="expression" dxfId="6027" priority="12" stopIfTrue="1">
      <formula>IF($AK93&gt;5,0,1)</formula>
    </cfRule>
  </conditionalFormatting>
  <conditionalFormatting sqref="H111:J111">
    <cfRule type="expression" dxfId="6026" priority="11" stopIfTrue="1">
      <formula>IF($AK93&lt;3,1,IF($AK92&lt;2,1,0))</formula>
    </cfRule>
  </conditionalFormatting>
  <conditionalFormatting sqref="K111:M111">
    <cfRule type="expression" dxfId="6025" priority="10" stopIfTrue="1">
      <formula>IF($AK93&lt;4,1,IF($AK92&lt;2,1,0))</formula>
    </cfRule>
  </conditionalFormatting>
  <conditionalFormatting sqref="N111:P111">
    <cfRule type="expression" dxfId="6024" priority="9" stopIfTrue="1">
      <formula>IF($AK93&lt;5,1,IF($AK92&lt;2,1,0))</formula>
    </cfRule>
  </conditionalFormatting>
  <conditionalFormatting sqref="Q111:S111">
    <cfRule type="expression" dxfId="6023" priority="8" stopIfTrue="1">
      <formula>IF($AK93&lt;6,1,IF($AK92&lt;2,1,0))</formula>
    </cfRule>
  </conditionalFormatting>
  <conditionalFormatting sqref="E109">
    <cfRule type="expression" dxfId="6022" priority="7" stopIfTrue="1">
      <formula>IF(AK93&gt;1,0,1)</formula>
    </cfRule>
  </conditionalFormatting>
  <conditionalFormatting sqref="H109">
    <cfRule type="expression" dxfId="6021" priority="6" stopIfTrue="1">
      <formula>IF(AK93&gt;2,0,1)</formula>
    </cfRule>
  </conditionalFormatting>
  <conditionalFormatting sqref="K109">
    <cfRule type="expression" dxfId="6020" priority="5" stopIfTrue="1">
      <formula>IF(AK93&gt;3,0,1)</formula>
    </cfRule>
  </conditionalFormatting>
  <conditionalFormatting sqref="N109">
    <cfRule type="expression" dxfId="6019" priority="4" stopIfTrue="1">
      <formula>IF(AK93&gt;4,0,1)</formula>
    </cfRule>
  </conditionalFormatting>
  <conditionalFormatting sqref="Q109">
    <cfRule type="expression" dxfId="6018" priority="3" stopIfTrue="1">
      <formula>IF(AK93&gt;5,0,1)</formula>
    </cfRule>
  </conditionalFormatting>
  <conditionalFormatting sqref="E110:G110">
    <cfRule type="expression" dxfId="6017" priority="2" stopIfTrue="1">
      <formula>IF($AK93&gt;1,0,1)</formula>
    </cfRule>
  </conditionalFormatting>
  <conditionalFormatting sqref="B107:D108">
    <cfRule type="cellIs" dxfId="6016" priority="1" stopIfTrue="1" operator="equal">
      <formula>99</formula>
    </cfRule>
  </conditionalFormatting>
  <pageMargins left="0.25" right="0.25" top="0.25" bottom="0.25" header="0" footer="0"/>
  <pageSetup scale="80" fitToHeight="8" orientation="landscape" r:id="rId1"/>
  <headerFooter alignWithMargins="0"/>
  <rowBreaks count="2" manualBreakCount="2">
    <brk id="90" max="42" man="1"/>
    <brk id="175" max="42" man="1"/>
  </rowBreaks>
  <drawing r:id="rId2"/>
  <legacyDrawing r:id="rId3"/>
  <controls>
    <mc:AlternateContent xmlns:mc="http://schemas.openxmlformats.org/markup-compatibility/2006">
      <mc:Choice Requires="x14">
        <control shapeId="18433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260</xdr:row>
                <xdr:rowOff>0</xdr:rowOff>
              </from>
              <to>
                <xdr:col>41</xdr:col>
                <xdr:colOff>228600</xdr:colOff>
                <xdr:row>260</xdr:row>
                <xdr:rowOff>0</xdr:rowOff>
              </to>
            </anchor>
          </controlPr>
        </control>
      </mc:Choice>
      <mc:Fallback>
        <control shapeId="18433" r:id="rId4" name="Pool4RecalcFinish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00B0F0"/>
  </sheetPr>
  <dimension ref="A1:BY658"/>
  <sheetViews>
    <sheetView topLeftCell="A25" zoomScale="70" zoomScaleNormal="70" workbookViewId="0">
      <selection activeCell="AV7" sqref="AV7"/>
    </sheetView>
  </sheetViews>
  <sheetFormatPr defaultColWidth="8.85546875" defaultRowHeight="12.75" x14ac:dyDescent="0.2"/>
  <cols>
    <col min="1" max="1" width="8.85546875" style="4"/>
    <col min="2" max="2" width="3.5703125" style="4" customWidth="1"/>
    <col min="3" max="3" width="2.42578125" style="4" customWidth="1"/>
    <col min="4" max="5" width="3.5703125" style="4" customWidth="1"/>
    <col min="6" max="6" width="2.42578125" style="4" customWidth="1"/>
    <col min="7" max="8" width="3.5703125" style="4" customWidth="1"/>
    <col min="9" max="9" width="2.42578125" style="4" customWidth="1"/>
    <col min="10" max="11" width="3.5703125" style="4" customWidth="1"/>
    <col min="12" max="12" width="2.42578125" style="4" customWidth="1"/>
    <col min="13" max="14" width="3.5703125" style="4" customWidth="1"/>
    <col min="15" max="15" width="2.42578125" style="4" customWidth="1"/>
    <col min="16" max="17" width="3.5703125" style="4" customWidth="1"/>
    <col min="18" max="18" width="2.42578125" style="4" customWidth="1"/>
    <col min="19" max="20" width="3.5703125" style="4" customWidth="1"/>
    <col min="21" max="21" width="2.42578125" style="4" customWidth="1"/>
    <col min="22" max="23" width="3.5703125" style="4" customWidth="1"/>
    <col min="24" max="24" width="2.42578125" style="4" customWidth="1"/>
    <col min="25" max="26" width="3.5703125" style="4" customWidth="1"/>
    <col min="27" max="27" width="2.42578125" style="4" customWidth="1"/>
    <col min="28" max="29" width="3.5703125" style="4" customWidth="1"/>
    <col min="30" max="30" width="2.42578125" style="4" customWidth="1"/>
    <col min="31" max="31" width="3.5703125" style="4" customWidth="1"/>
    <col min="32" max="32" width="9.5703125" style="4" customWidth="1"/>
    <col min="33" max="42" width="3.570312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42578125" style="130" customWidth="1"/>
    <col min="50" max="50" width="10.42578125" style="4" customWidth="1"/>
    <col min="51" max="51" width="11.42578125" style="4" customWidth="1"/>
    <col min="52" max="52" width="25" style="4" customWidth="1"/>
    <col min="53" max="53" width="6" style="4" customWidth="1"/>
    <col min="54" max="257" width="8.85546875" style="4"/>
    <col min="258" max="258" width="3.5703125" style="4" customWidth="1"/>
    <col min="259" max="259" width="2.42578125" style="4" customWidth="1"/>
    <col min="260" max="261" width="3.5703125" style="4" customWidth="1"/>
    <col min="262" max="262" width="2.42578125" style="4" customWidth="1"/>
    <col min="263" max="264" width="3.5703125" style="4" customWidth="1"/>
    <col min="265" max="265" width="2.42578125" style="4" customWidth="1"/>
    <col min="266" max="267" width="3.5703125" style="4" customWidth="1"/>
    <col min="268" max="268" width="2.42578125" style="4" customWidth="1"/>
    <col min="269" max="270" width="3.5703125" style="4" customWidth="1"/>
    <col min="271" max="271" width="2.42578125" style="4" customWidth="1"/>
    <col min="272" max="273" width="3.5703125" style="4" customWidth="1"/>
    <col min="274" max="274" width="2.42578125" style="4" customWidth="1"/>
    <col min="275" max="276" width="3.5703125" style="4" customWidth="1"/>
    <col min="277" max="277" width="2.42578125" style="4" customWidth="1"/>
    <col min="278" max="279" width="3.5703125" style="4" customWidth="1"/>
    <col min="280" max="280" width="2.42578125" style="4" customWidth="1"/>
    <col min="281" max="282" width="3.5703125" style="4" customWidth="1"/>
    <col min="283" max="283" width="2.42578125" style="4" customWidth="1"/>
    <col min="284" max="285" width="3.5703125" style="4" customWidth="1"/>
    <col min="286" max="286" width="2.42578125" style="4" customWidth="1"/>
    <col min="287" max="287" width="3.5703125" style="4" customWidth="1"/>
    <col min="288" max="288" width="9.5703125" style="4" customWidth="1"/>
    <col min="289" max="298" width="3.570312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42578125" style="4" customWidth="1"/>
    <col min="306" max="306" width="10.42578125" style="4" customWidth="1"/>
    <col min="307" max="307" width="11.42578125" style="4" customWidth="1"/>
    <col min="308" max="308" width="25" style="4" customWidth="1"/>
    <col min="309" max="309" width="6" style="4" customWidth="1"/>
    <col min="310" max="513" width="8.85546875" style="4"/>
    <col min="514" max="514" width="3.5703125" style="4" customWidth="1"/>
    <col min="515" max="515" width="2.42578125" style="4" customWidth="1"/>
    <col min="516" max="517" width="3.5703125" style="4" customWidth="1"/>
    <col min="518" max="518" width="2.42578125" style="4" customWidth="1"/>
    <col min="519" max="520" width="3.5703125" style="4" customWidth="1"/>
    <col min="521" max="521" width="2.42578125" style="4" customWidth="1"/>
    <col min="522" max="523" width="3.5703125" style="4" customWidth="1"/>
    <col min="524" max="524" width="2.42578125" style="4" customWidth="1"/>
    <col min="525" max="526" width="3.5703125" style="4" customWidth="1"/>
    <col min="527" max="527" width="2.42578125" style="4" customWidth="1"/>
    <col min="528" max="529" width="3.5703125" style="4" customWidth="1"/>
    <col min="530" max="530" width="2.42578125" style="4" customWidth="1"/>
    <col min="531" max="532" width="3.5703125" style="4" customWidth="1"/>
    <col min="533" max="533" width="2.42578125" style="4" customWidth="1"/>
    <col min="534" max="535" width="3.5703125" style="4" customWidth="1"/>
    <col min="536" max="536" width="2.42578125" style="4" customWidth="1"/>
    <col min="537" max="538" width="3.5703125" style="4" customWidth="1"/>
    <col min="539" max="539" width="2.42578125" style="4" customWidth="1"/>
    <col min="540" max="541" width="3.5703125" style="4" customWidth="1"/>
    <col min="542" max="542" width="2.42578125" style="4" customWidth="1"/>
    <col min="543" max="543" width="3.5703125" style="4" customWidth="1"/>
    <col min="544" max="544" width="9.5703125" style="4" customWidth="1"/>
    <col min="545" max="554" width="3.570312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42578125" style="4" customWidth="1"/>
    <col min="562" max="562" width="10.42578125" style="4" customWidth="1"/>
    <col min="563" max="563" width="11.42578125" style="4" customWidth="1"/>
    <col min="564" max="564" width="25" style="4" customWidth="1"/>
    <col min="565" max="565" width="6" style="4" customWidth="1"/>
    <col min="566" max="769" width="8.85546875" style="4"/>
    <col min="770" max="770" width="3.5703125" style="4" customWidth="1"/>
    <col min="771" max="771" width="2.42578125" style="4" customWidth="1"/>
    <col min="772" max="773" width="3.5703125" style="4" customWidth="1"/>
    <col min="774" max="774" width="2.42578125" style="4" customWidth="1"/>
    <col min="775" max="776" width="3.5703125" style="4" customWidth="1"/>
    <col min="777" max="777" width="2.42578125" style="4" customWidth="1"/>
    <col min="778" max="779" width="3.5703125" style="4" customWidth="1"/>
    <col min="780" max="780" width="2.42578125" style="4" customWidth="1"/>
    <col min="781" max="782" width="3.5703125" style="4" customWidth="1"/>
    <col min="783" max="783" width="2.42578125" style="4" customWidth="1"/>
    <col min="784" max="785" width="3.5703125" style="4" customWidth="1"/>
    <col min="786" max="786" width="2.42578125" style="4" customWidth="1"/>
    <col min="787" max="788" width="3.5703125" style="4" customWidth="1"/>
    <col min="789" max="789" width="2.42578125" style="4" customWidth="1"/>
    <col min="790" max="791" width="3.5703125" style="4" customWidth="1"/>
    <col min="792" max="792" width="2.42578125" style="4" customWidth="1"/>
    <col min="793" max="794" width="3.5703125" style="4" customWidth="1"/>
    <col min="795" max="795" width="2.42578125" style="4" customWidth="1"/>
    <col min="796" max="797" width="3.5703125" style="4" customWidth="1"/>
    <col min="798" max="798" width="2.42578125" style="4" customWidth="1"/>
    <col min="799" max="799" width="3.5703125" style="4" customWidth="1"/>
    <col min="800" max="800" width="9.5703125" style="4" customWidth="1"/>
    <col min="801" max="810" width="3.570312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42578125" style="4" customWidth="1"/>
    <col min="818" max="818" width="10.42578125" style="4" customWidth="1"/>
    <col min="819" max="819" width="11.42578125" style="4" customWidth="1"/>
    <col min="820" max="820" width="25" style="4" customWidth="1"/>
    <col min="821" max="821" width="6" style="4" customWidth="1"/>
    <col min="822" max="1025" width="8.85546875" style="4"/>
    <col min="1026" max="1026" width="3.5703125" style="4" customWidth="1"/>
    <col min="1027" max="1027" width="2.42578125" style="4" customWidth="1"/>
    <col min="1028" max="1029" width="3.5703125" style="4" customWidth="1"/>
    <col min="1030" max="1030" width="2.42578125" style="4" customWidth="1"/>
    <col min="1031" max="1032" width="3.5703125" style="4" customWidth="1"/>
    <col min="1033" max="1033" width="2.42578125" style="4" customWidth="1"/>
    <col min="1034" max="1035" width="3.5703125" style="4" customWidth="1"/>
    <col min="1036" max="1036" width="2.42578125" style="4" customWidth="1"/>
    <col min="1037" max="1038" width="3.5703125" style="4" customWidth="1"/>
    <col min="1039" max="1039" width="2.42578125" style="4" customWidth="1"/>
    <col min="1040" max="1041" width="3.5703125" style="4" customWidth="1"/>
    <col min="1042" max="1042" width="2.42578125" style="4" customWidth="1"/>
    <col min="1043" max="1044" width="3.5703125" style="4" customWidth="1"/>
    <col min="1045" max="1045" width="2.42578125" style="4" customWidth="1"/>
    <col min="1046" max="1047" width="3.5703125" style="4" customWidth="1"/>
    <col min="1048" max="1048" width="2.42578125" style="4" customWidth="1"/>
    <col min="1049" max="1050" width="3.5703125" style="4" customWidth="1"/>
    <col min="1051" max="1051" width="2.42578125" style="4" customWidth="1"/>
    <col min="1052" max="1053" width="3.5703125" style="4" customWidth="1"/>
    <col min="1054" max="1054" width="2.42578125" style="4" customWidth="1"/>
    <col min="1055" max="1055" width="3.5703125" style="4" customWidth="1"/>
    <col min="1056" max="1056" width="9.5703125" style="4" customWidth="1"/>
    <col min="1057" max="1066" width="3.570312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42578125" style="4" customWidth="1"/>
    <col min="1074" max="1074" width="10.42578125" style="4" customWidth="1"/>
    <col min="1075" max="1075" width="11.42578125" style="4" customWidth="1"/>
    <col min="1076" max="1076" width="25" style="4" customWidth="1"/>
    <col min="1077" max="1077" width="6" style="4" customWidth="1"/>
    <col min="1078" max="1281" width="8.85546875" style="4"/>
    <col min="1282" max="1282" width="3.5703125" style="4" customWidth="1"/>
    <col min="1283" max="1283" width="2.42578125" style="4" customWidth="1"/>
    <col min="1284" max="1285" width="3.5703125" style="4" customWidth="1"/>
    <col min="1286" max="1286" width="2.42578125" style="4" customWidth="1"/>
    <col min="1287" max="1288" width="3.5703125" style="4" customWidth="1"/>
    <col min="1289" max="1289" width="2.42578125" style="4" customWidth="1"/>
    <col min="1290" max="1291" width="3.5703125" style="4" customWidth="1"/>
    <col min="1292" max="1292" width="2.42578125" style="4" customWidth="1"/>
    <col min="1293" max="1294" width="3.5703125" style="4" customWidth="1"/>
    <col min="1295" max="1295" width="2.42578125" style="4" customWidth="1"/>
    <col min="1296" max="1297" width="3.5703125" style="4" customWidth="1"/>
    <col min="1298" max="1298" width="2.42578125" style="4" customWidth="1"/>
    <col min="1299" max="1300" width="3.5703125" style="4" customWidth="1"/>
    <col min="1301" max="1301" width="2.42578125" style="4" customWidth="1"/>
    <col min="1302" max="1303" width="3.5703125" style="4" customWidth="1"/>
    <col min="1304" max="1304" width="2.42578125" style="4" customWidth="1"/>
    <col min="1305" max="1306" width="3.5703125" style="4" customWidth="1"/>
    <col min="1307" max="1307" width="2.42578125" style="4" customWidth="1"/>
    <col min="1308" max="1309" width="3.5703125" style="4" customWidth="1"/>
    <col min="1310" max="1310" width="2.42578125" style="4" customWidth="1"/>
    <col min="1311" max="1311" width="3.5703125" style="4" customWidth="1"/>
    <col min="1312" max="1312" width="9.5703125" style="4" customWidth="1"/>
    <col min="1313" max="1322" width="3.570312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42578125" style="4" customWidth="1"/>
    <col min="1330" max="1330" width="10.42578125" style="4" customWidth="1"/>
    <col min="1331" max="1331" width="11.42578125" style="4" customWidth="1"/>
    <col min="1332" max="1332" width="25" style="4" customWidth="1"/>
    <col min="1333" max="1333" width="6" style="4" customWidth="1"/>
    <col min="1334" max="1537" width="8.85546875" style="4"/>
    <col min="1538" max="1538" width="3.5703125" style="4" customWidth="1"/>
    <col min="1539" max="1539" width="2.42578125" style="4" customWidth="1"/>
    <col min="1540" max="1541" width="3.5703125" style="4" customWidth="1"/>
    <col min="1542" max="1542" width="2.42578125" style="4" customWidth="1"/>
    <col min="1543" max="1544" width="3.5703125" style="4" customWidth="1"/>
    <col min="1545" max="1545" width="2.42578125" style="4" customWidth="1"/>
    <col min="1546" max="1547" width="3.5703125" style="4" customWidth="1"/>
    <col min="1548" max="1548" width="2.42578125" style="4" customWidth="1"/>
    <col min="1549" max="1550" width="3.5703125" style="4" customWidth="1"/>
    <col min="1551" max="1551" width="2.42578125" style="4" customWidth="1"/>
    <col min="1552" max="1553" width="3.5703125" style="4" customWidth="1"/>
    <col min="1554" max="1554" width="2.42578125" style="4" customWidth="1"/>
    <col min="1555" max="1556" width="3.5703125" style="4" customWidth="1"/>
    <col min="1557" max="1557" width="2.42578125" style="4" customWidth="1"/>
    <col min="1558" max="1559" width="3.5703125" style="4" customWidth="1"/>
    <col min="1560" max="1560" width="2.42578125" style="4" customWidth="1"/>
    <col min="1561" max="1562" width="3.5703125" style="4" customWidth="1"/>
    <col min="1563" max="1563" width="2.42578125" style="4" customWidth="1"/>
    <col min="1564" max="1565" width="3.5703125" style="4" customWidth="1"/>
    <col min="1566" max="1566" width="2.42578125" style="4" customWidth="1"/>
    <col min="1567" max="1567" width="3.5703125" style="4" customWidth="1"/>
    <col min="1568" max="1568" width="9.5703125" style="4" customWidth="1"/>
    <col min="1569" max="1578" width="3.570312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42578125" style="4" customWidth="1"/>
    <col min="1586" max="1586" width="10.42578125" style="4" customWidth="1"/>
    <col min="1587" max="1587" width="11.42578125" style="4" customWidth="1"/>
    <col min="1588" max="1588" width="25" style="4" customWidth="1"/>
    <col min="1589" max="1589" width="6" style="4" customWidth="1"/>
    <col min="1590" max="1793" width="8.85546875" style="4"/>
    <col min="1794" max="1794" width="3.5703125" style="4" customWidth="1"/>
    <col min="1795" max="1795" width="2.42578125" style="4" customWidth="1"/>
    <col min="1796" max="1797" width="3.5703125" style="4" customWidth="1"/>
    <col min="1798" max="1798" width="2.42578125" style="4" customWidth="1"/>
    <col min="1799" max="1800" width="3.5703125" style="4" customWidth="1"/>
    <col min="1801" max="1801" width="2.42578125" style="4" customWidth="1"/>
    <col min="1802" max="1803" width="3.5703125" style="4" customWidth="1"/>
    <col min="1804" max="1804" width="2.42578125" style="4" customWidth="1"/>
    <col min="1805" max="1806" width="3.5703125" style="4" customWidth="1"/>
    <col min="1807" max="1807" width="2.42578125" style="4" customWidth="1"/>
    <col min="1808" max="1809" width="3.5703125" style="4" customWidth="1"/>
    <col min="1810" max="1810" width="2.42578125" style="4" customWidth="1"/>
    <col min="1811" max="1812" width="3.5703125" style="4" customWidth="1"/>
    <col min="1813" max="1813" width="2.42578125" style="4" customWidth="1"/>
    <col min="1814" max="1815" width="3.5703125" style="4" customWidth="1"/>
    <col min="1816" max="1816" width="2.42578125" style="4" customWidth="1"/>
    <col min="1817" max="1818" width="3.5703125" style="4" customWidth="1"/>
    <col min="1819" max="1819" width="2.42578125" style="4" customWidth="1"/>
    <col min="1820" max="1821" width="3.5703125" style="4" customWidth="1"/>
    <col min="1822" max="1822" width="2.42578125" style="4" customWidth="1"/>
    <col min="1823" max="1823" width="3.5703125" style="4" customWidth="1"/>
    <col min="1824" max="1824" width="9.5703125" style="4" customWidth="1"/>
    <col min="1825" max="1834" width="3.570312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42578125" style="4" customWidth="1"/>
    <col min="1842" max="1842" width="10.42578125" style="4" customWidth="1"/>
    <col min="1843" max="1843" width="11.42578125" style="4" customWidth="1"/>
    <col min="1844" max="1844" width="25" style="4" customWidth="1"/>
    <col min="1845" max="1845" width="6" style="4" customWidth="1"/>
    <col min="1846" max="2049" width="8.85546875" style="4"/>
    <col min="2050" max="2050" width="3.5703125" style="4" customWidth="1"/>
    <col min="2051" max="2051" width="2.42578125" style="4" customWidth="1"/>
    <col min="2052" max="2053" width="3.5703125" style="4" customWidth="1"/>
    <col min="2054" max="2054" width="2.42578125" style="4" customWidth="1"/>
    <col min="2055" max="2056" width="3.5703125" style="4" customWidth="1"/>
    <col min="2057" max="2057" width="2.42578125" style="4" customWidth="1"/>
    <col min="2058" max="2059" width="3.5703125" style="4" customWidth="1"/>
    <col min="2060" max="2060" width="2.42578125" style="4" customWidth="1"/>
    <col min="2061" max="2062" width="3.5703125" style="4" customWidth="1"/>
    <col min="2063" max="2063" width="2.42578125" style="4" customWidth="1"/>
    <col min="2064" max="2065" width="3.5703125" style="4" customWidth="1"/>
    <col min="2066" max="2066" width="2.42578125" style="4" customWidth="1"/>
    <col min="2067" max="2068" width="3.5703125" style="4" customWidth="1"/>
    <col min="2069" max="2069" width="2.42578125" style="4" customWidth="1"/>
    <col min="2070" max="2071" width="3.5703125" style="4" customWidth="1"/>
    <col min="2072" max="2072" width="2.42578125" style="4" customWidth="1"/>
    <col min="2073" max="2074" width="3.5703125" style="4" customWidth="1"/>
    <col min="2075" max="2075" width="2.42578125" style="4" customWidth="1"/>
    <col min="2076" max="2077" width="3.5703125" style="4" customWidth="1"/>
    <col min="2078" max="2078" width="2.42578125" style="4" customWidth="1"/>
    <col min="2079" max="2079" width="3.5703125" style="4" customWidth="1"/>
    <col min="2080" max="2080" width="9.5703125" style="4" customWidth="1"/>
    <col min="2081" max="2090" width="3.570312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42578125" style="4" customWidth="1"/>
    <col min="2098" max="2098" width="10.42578125" style="4" customWidth="1"/>
    <col min="2099" max="2099" width="11.42578125" style="4" customWidth="1"/>
    <col min="2100" max="2100" width="25" style="4" customWidth="1"/>
    <col min="2101" max="2101" width="6" style="4" customWidth="1"/>
    <col min="2102" max="2305" width="8.85546875" style="4"/>
    <col min="2306" max="2306" width="3.5703125" style="4" customWidth="1"/>
    <col min="2307" max="2307" width="2.42578125" style="4" customWidth="1"/>
    <col min="2308" max="2309" width="3.5703125" style="4" customWidth="1"/>
    <col min="2310" max="2310" width="2.42578125" style="4" customWidth="1"/>
    <col min="2311" max="2312" width="3.5703125" style="4" customWidth="1"/>
    <col min="2313" max="2313" width="2.42578125" style="4" customWidth="1"/>
    <col min="2314" max="2315" width="3.5703125" style="4" customWidth="1"/>
    <col min="2316" max="2316" width="2.42578125" style="4" customWidth="1"/>
    <col min="2317" max="2318" width="3.5703125" style="4" customWidth="1"/>
    <col min="2319" max="2319" width="2.42578125" style="4" customWidth="1"/>
    <col min="2320" max="2321" width="3.5703125" style="4" customWidth="1"/>
    <col min="2322" max="2322" width="2.42578125" style="4" customWidth="1"/>
    <col min="2323" max="2324" width="3.5703125" style="4" customWidth="1"/>
    <col min="2325" max="2325" width="2.42578125" style="4" customWidth="1"/>
    <col min="2326" max="2327" width="3.5703125" style="4" customWidth="1"/>
    <col min="2328" max="2328" width="2.42578125" style="4" customWidth="1"/>
    <col min="2329" max="2330" width="3.5703125" style="4" customWidth="1"/>
    <col min="2331" max="2331" width="2.42578125" style="4" customWidth="1"/>
    <col min="2332" max="2333" width="3.5703125" style="4" customWidth="1"/>
    <col min="2334" max="2334" width="2.42578125" style="4" customWidth="1"/>
    <col min="2335" max="2335" width="3.5703125" style="4" customWidth="1"/>
    <col min="2336" max="2336" width="9.5703125" style="4" customWidth="1"/>
    <col min="2337" max="2346" width="3.570312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42578125" style="4" customWidth="1"/>
    <col min="2354" max="2354" width="10.42578125" style="4" customWidth="1"/>
    <col min="2355" max="2355" width="11.42578125" style="4" customWidth="1"/>
    <col min="2356" max="2356" width="25" style="4" customWidth="1"/>
    <col min="2357" max="2357" width="6" style="4" customWidth="1"/>
    <col min="2358" max="2561" width="8.85546875" style="4"/>
    <col min="2562" max="2562" width="3.5703125" style="4" customWidth="1"/>
    <col min="2563" max="2563" width="2.42578125" style="4" customWidth="1"/>
    <col min="2564" max="2565" width="3.5703125" style="4" customWidth="1"/>
    <col min="2566" max="2566" width="2.42578125" style="4" customWidth="1"/>
    <col min="2567" max="2568" width="3.5703125" style="4" customWidth="1"/>
    <col min="2569" max="2569" width="2.42578125" style="4" customWidth="1"/>
    <col min="2570" max="2571" width="3.5703125" style="4" customWidth="1"/>
    <col min="2572" max="2572" width="2.42578125" style="4" customWidth="1"/>
    <col min="2573" max="2574" width="3.5703125" style="4" customWidth="1"/>
    <col min="2575" max="2575" width="2.42578125" style="4" customWidth="1"/>
    <col min="2576" max="2577" width="3.5703125" style="4" customWidth="1"/>
    <col min="2578" max="2578" width="2.42578125" style="4" customWidth="1"/>
    <col min="2579" max="2580" width="3.5703125" style="4" customWidth="1"/>
    <col min="2581" max="2581" width="2.42578125" style="4" customWidth="1"/>
    <col min="2582" max="2583" width="3.5703125" style="4" customWidth="1"/>
    <col min="2584" max="2584" width="2.42578125" style="4" customWidth="1"/>
    <col min="2585" max="2586" width="3.5703125" style="4" customWidth="1"/>
    <col min="2587" max="2587" width="2.42578125" style="4" customWidth="1"/>
    <col min="2588" max="2589" width="3.5703125" style="4" customWidth="1"/>
    <col min="2590" max="2590" width="2.42578125" style="4" customWidth="1"/>
    <col min="2591" max="2591" width="3.5703125" style="4" customWidth="1"/>
    <col min="2592" max="2592" width="9.5703125" style="4" customWidth="1"/>
    <col min="2593" max="2602" width="3.570312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42578125" style="4" customWidth="1"/>
    <col min="2610" max="2610" width="10.42578125" style="4" customWidth="1"/>
    <col min="2611" max="2611" width="11.42578125" style="4" customWidth="1"/>
    <col min="2612" max="2612" width="25" style="4" customWidth="1"/>
    <col min="2613" max="2613" width="6" style="4" customWidth="1"/>
    <col min="2614" max="2817" width="8.85546875" style="4"/>
    <col min="2818" max="2818" width="3.5703125" style="4" customWidth="1"/>
    <col min="2819" max="2819" width="2.42578125" style="4" customWidth="1"/>
    <col min="2820" max="2821" width="3.5703125" style="4" customWidth="1"/>
    <col min="2822" max="2822" width="2.42578125" style="4" customWidth="1"/>
    <col min="2823" max="2824" width="3.5703125" style="4" customWidth="1"/>
    <col min="2825" max="2825" width="2.42578125" style="4" customWidth="1"/>
    <col min="2826" max="2827" width="3.5703125" style="4" customWidth="1"/>
    <col min="2828" max="2828" width="2.42578125" style="4" customWidth="1"/>
    <col min="2829" max="2830" width="3.5703125" style="4" customWidth="1"/>
    <col min="2831" max="2831" width="2.42578125" style="4" customWidth="1"/>
    <col min="2832" max="2833" width="3.5703125" style="4" customWidth="1"/>
    <col min="2834" max="2834" width="2.42578125" style="4" customWidth="1"/>
    <col min="2835" max="2836" width="3.5703125" style="4" customWidth="1"/>
    <col min="2837" max="2837" width="2.42578125" style="4" customWidth="1"/>
    <col min="2838" max="2839" width="3.5703125" style="4" customWidth="1"/>
    <col min="2840" max="2840" width="2.42578125" style="4" customWidth="1"/>
    <col min="2841" max="2842" width="3.5703125" style="4" customWidth="1"/>
    <col min="2843" max="2843" width="2.42578125" style="4" customWidth="1"/>
    <col min="2844" max="2845" width="3.5703125" style="4" customWidth="1"/>
    <col min="2846" max="2846" width="2.42578125" style="4" customWidth="1"/>
    <col min="2847" max="2847" width="3.5703125" style="4" customWidth="1"/>
    <col min="2848" max="2848" width="9.5703125" style="4" customWidth="1"/>
    <col min="2849" max="2858" width="3.570312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42578125" style="4" customWidth="1"/>
    <col min="2866" max="2866" width="10.42578125" style="4" customWidth="1"/>
    <col min="2867" max="2867" width="11.42578125" style="4" customWidth="1"/>
    <col min="2868" max="2868" width="25" style="4" customWidth="1"/>
    <col min="2869" max="2869" width="6" style="4" customWidth="1"/>
    <col min="2870" max="3073" width="8.85546875" style="4"/>
    <col min="3074" max="3074" width="3.5703125" style="4" customWidth="1"/>
    <col min="3075" max="3075" width="2.42578125" style="4" customWidth="1"/>
    <col min="3076" max="3077" width="3.5703125" style="4" customWidth="1"/>
    <col min="3078" max="3078" width="2.42578125" style="4" customWidth="1"/>
    <col min="3079" max="3080" width="3.5703125" style="4" customWidth="1"/>
    <col min="3081" max="3081" width="2.42578125" style="4" customWidth="1"/>
    <col min="3082" max="3083" width="3.5703125" style="4" customWidth="1"/>
    <col min="3084" max="3084" width="2.42578125" style="4" customWidth="1"/>
    <col min="3085" max="3086" width="3.5703125" style="4" customWidth="1"/>
    <col min="3087" max="3087" width="2.42578125" style="4" customWidth="1"/>
    <col min="3088" max="3089" width="3.5703125" style="4" customWidth="1"/>
    <col min="3090" max="3090" width="2.42578125" style="4" customWidth="1"/>
    <col min="3091" max="3092" width="3.5703125" style="4" customWidth="1"/>
    <col min="3093" max="3093" width="2.42578125" style="4" customWidth="1"/>
    <col min="3094" max="3095" width="3.5703125" style="4" customWidth="1"/>
    <col min="3096" max="3096" width="2.42578125" style="4" customWidth="1"/>
    <col min="3097" max="3098" width="3.5703125" style="4" customWidth="1"/>
    <col min="3099" max="3099" width="2.42578125" style="4" customWidth="1"/>
    <col min="3100" max="3101" width="3.5703125" style="4" customWidth="1"/>
    <col min="3102" max="3102" width="2.42578125" style="4" customWidth="1"/>
    <col min="3103" max="3103" width="3.5703125" style="4" customWidth="1"/>
    <col min="3104" max="3104" width="9.5703125" style="4" customWidth="1"/>
    <col min="3105" max="3114" width="3.570312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42578125" style="4" customWidth="1"/>
    <col min="3122" max="3122" width="10.42578125" style="4" customWidth="1"/>
    <col min="3123" max="3123" width="11.42578125" style="4" customWidth="1"/>
    <col min="3124" max="3124" width="25" style="4" customWidth="1"/>
    <col min="3125" max="3125" width="6" style="4" customWidth="1"/>
    <col min="3126" max="3329" width="8.85546875" style="4"/>
    <col min="3330" max="3330" width="3.5703125" style="4" customWidth="1"/>
    <col min="3331" max="3331" width="2.42578125" style="4" customWidth="1"/>
    <col min="3332" max="3333" width="3.5703125" style="4" customWidth="1"/>
    <col min="3334" max="3334" width="2.42578125" style="4" customWidth="1"/>
    <col min="3335" max="3336" width="3.5703125" style="4" customWidth="1"/>
    <col min="3337" max="3337" width="2.42578125" style="4" customWidth="1"/>
    <col min="3338" max="3339" width="3.5703125" style="4" customWidth="1"/>
    <col min="3340" max="3340" width="2.42578125" style="4" customWidth="1"/>
    <col min="3341" max="3342" width="3.5703125" style="4" customWidth="1"/>
    <col min="3343" max="3343" width="2.42578125" style="4" customWidth="1"/>
    <col min="3344" max="3345" width="3.5703125" style="4" customWidth="1"/>
    <col min="3346" max="3346" width="2.42578125" style="4" customWidth="1"/>
    <col min="3347" max="3348" width="3.5703125" style="4" customWidth="1"/>
    <col min="3349" max="3349" width="2.42578125" style="4" customWidth="1"/>
    <col min="3350" max="3351" width="3.5703125" style="4" customWidth="1"/>
    <col min="3352" max="3352" width="2.42578125" style="4" customWidth="1"/>
    <col min="3353" max="3354" width="3.5703125" style="4" customWidth="1"/>
    <col min="3355" max="3355" width="2.42578125" style="4" customWidth="1"/>
    <col min="3356" max="3357" width="3.5703125" style="4" customWidth="1"/>
    <col min="3358" max="3358" width="2.42578125" style="4" customWidth="1"/>
    <col min="3359" max="3359" width="3.5703125" style="4" customWidth="1"/>
    <col min="3360" max="3360" width="9.5703125" style="4" customWidth="1"/>
    <col min="3361" max="3370" width="3.570312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42578125" style="4" customWidth="1"/>
    <col min="3378" max="3378" width="10.42578125" style="4" customWidth="1"/>
    <col min="3379" max="3379" width="11.42578125" style="4" customWidth="1"/>
    <col min="3380" max="3380" width="25" style="4" customWidth="1"/>
    <col min="3381" max="3381" width="6" style="4" customWidth="1"/>
    <col min="3382" max="3585" width="8.85546875" style="4"/>
    <col min="3586" max="3586" width="3.5703125" style="4" customWidth="1"/>
    <col min="3587" max="3587" width="2.42578125" style="4" customWidth="1"/>
    <col min="3588" max="3589" width="3.5703125" style="4" customWidth="1"/>
    <col min="3590" max="3590" width="2.42578125" style="4" customWidth="1"/>
    <col min="3591" max="3592" width="3.5703125" style="4" customWidth="1"/>
    <col min="3593" max="3593" width="2.42578125" style="4" customWidth="1"/>
    <col min="3594" max="3595" width="3.5703125" style="4" customWidth="1"/>
    <col min="3596" max="3596" width="2.42578125" style="4" customWidth="1"/>
    <col min="3597" max="3598" width="3.5703125" style="4" customWidth="1"/>
    <col min="3599" max="3599" width="2.42578125" style="4" customWidth="1"/>
    <col min="3600" max="3601" width="3.5703125" style="4" customWidth="1"/>
    <col min="3602" max="3602" width="2.42578125" style="4" customWidth="1"/>
    <col min="3603" max="3604" width="3.5703125" style="4" customWidth="1"/>
    <col min="3605" max="3605" width="2.42578125" style="4" customWidth="1"/>
    <col min="3606" max="3607" width="3.5703125" style="4" customWidth="1"/>
    <col min="3608" max="3608" width="2.42578125" style="4" customWidth="1"/>
    <col min="3609" max="3610" width="3.5703125" style="4" customWidth="1"/>
    <col min="3611" max="3611" width="2.42578125" style="4" customWidth="1"/>
    <col min="3612" max="3613" width="3.5703125" style="4" customWidth="1"/>
    <col min="3614" max="3614" width="2.42578125" style="4" customWidth="1"/>
    <col min="3615" max="3615" width="3.5703125" style="4" customWidth="1"/>
    <col min="3616" max="3616" width="9.5703125" style="4" customWidth="1"/>
    <col min="3617" max="3626" width="3.570312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42578125" style="4" customWidth="1"/>
    <col min="3634" max="3634" width="10.42578125" style="4" customWidth="1"/>
    <col min="3635" max="3635" width="11.42578125" style="4" customWidth="1"/>
    <col min="3636" max="3636" width="25" style="4" customWidth="1"/>
    <col min="3637" max="3637" width="6" style="4" customWidth="1"/>
    <col min="3638" max="3841" width="8.85546875" style="4"/>
    <col min="3842" max="3842" width="3.5703125" style="4" customWidth="1"/>
    <col min="3843" max="3843" width="2.42578125" style="4" customWidth="1"/>
    <col min="3844" max="3845" width="3.5703125" style="4" customWidth="1"/>
    <col min="3846" max="3846" width="2.42578125" style="4" customWidth="1"/>
    <col min="3847" max="3848" width="3.5703125" style="4" customWidth="1"/>
    <col min="3849" max="3849" width="2.42578125" style="4" customWidth="1"/>
    <col min="3850" max="3851" width="3.5703125" style="4" customWidth="1"/>
    <col min="3852" max="3852" width="2.42578125" style="4" customWidth="1"/>
    <col min="3853" max="3854" width="3.5703125" style="4" customWidth="1"/>
    <col min="3855" max="3855" width="2.42578125" style="4" customWidth="1"/>
    <col min="3856" max="3857" width="3.5703125" style="4" customWidth="1"/>
    <col min="3858" max="3858" width="2.42578125" style="4" customWidth="1"/>
    <col min="3859" max="3860" width="3.5703125" style="4" customWidth="1"/>
    <col min="3861" max="3861" width="2.42578125" style="4" customWidth="1"/>
    <col min="3862" max="3863" width="3.5703125" style="4" customWidth="1"/>
    <col min="3864" max="3864" width="2.42578125" style="4" customWidth="1"/>
    <col min="3865" max="3866" width="3.5703125" style="4" customWidth="1"/>
    <col min="3867" max="3867" width="2.42578125" style="4" customWidth="1"/>
    <col min="3868" max="3869" width="3.5703125" style="4" customWidth="1"/>
    <col min="3870" max="3870" width="2.42578125" style="4" customWidth="1"/>
    <col min="3871" max="3871" width="3.5703125" style="4" customWidth="1"/>
    <col min="3872" max="3872" width="9.5703125" style="4" customWidth="1"/>
    <col min="3873" max="3882" width="3.570312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42578125" style="4" customWidth="1"/>
    <col min="3890" max="3890" width="10.42578125" style="4" customWidth="1"/>
    <col min="3891" max="3891" width="11.42578125" style="4" customWidth="1"/>
    <col min="3892" max="3892" width="25" style="4" customWidth="1"/>
    <col min="3893" max="3893" width="6" style="4" customWidth="1"/>
    <col min="3894" max="4097" width="8.85546875" style="4"/>
    <col min="4098" max="4098" width="3.5703125" style="4" customWidth="1"/>
    <col min="4099" max="4099" width="2.42578125" style="4" customWidth="1"/>
    <col min="4100" max="4101" width="3.5703125" style="4" customWidth="1"/>
    <col min="4102" max="4102" width="2.42578125" style="4" customWidth="1"/>
    <col min="4103" max="4104" width="3.5703125" style="4" customWidth="1"/>
    <col min="4105" max="4105" width="2.42578125" style="4" customWidth="1"/>
    <col min="4106" max="4107" width="3.5703125" style="4" customWidth="1"/>
    <col min="4108" max="4108" width="2.42578125" style="4" customWidth="1"/>
    <col min="4109" max="4110" width="3.5703125" style="4" customWidth="1"/>
    <col min="4111" max="4111" width="2.42578125" style="4" customWidth="1"/>
    <col min="4112" max="4113" width="3.5703125" style="4" customWidth="1"/>
    <col min="4114" max="4114" width="2.42578125" style="4" customWidth="1"/>
    <col min="4115" max="4116" width="3.5703125" style="4" customWidth="1"/>
    <col min="4117" max="4117" width="2.42578125" style="4" customWidth="1"/>
    <col min="4118" max="4119" width="3.5703125" style="4" customWidth="1"/>
    <col min="4120" max="4120" width="2.42578125" style="4" customWidth="1"/>
    <col min="4121" max="4122" width="3.5703125" style="4" customWidth="1"/>
    <col min="4123" max="4123" width="2.42578125" style="4" customWidth="1"/>
    <col min="4124" max="4125" width="3.5703125" style="4" customWidth="1"/>
    <col min="4126" max="4126" width="2.42578125" style="4" customWidth="1"/>
    <col min="4127" max="4127" width="3.5703125" style="4" customWidth="1"/>
    <col min="4128" max="4128" width="9.5703125" style="4" customWidth="1"/>
    <col min="4129" max="4138" width="3.570312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42578125" style="4" customWidth="1"/>
    <col min="4146" max="4146" width="10.42578125" style="4" customWidth="1"/>
    <col min="4147" max="4147" width="11.42578125" style="4" customWidth="1"/>
    <col min="4148" max="4148" width="25" style="4" customWidth="1"/>
    <col min="4149" max="4149" width="6" style="4" customWidth="1"/>
    <col min="4150" max="4353" width="8.85546875" style="4"/>
    <col min="4354" max="4354" width="3.5703125" style="4" customWidth="1"/>
    <col min="4355" max="4355" width="2.42578125" style="4" customWidth="1"/>
    <col min="4356" max="4357" width="3.5703125" style="4" customWidth="1"/>
    <col min="4358" max="4358" width="2.42578125" style="4" customWidth="1"/>
    <col min="4359" max="4360" width="3.5703125" style="4" customWidth="1"/>
    <col min="4361" max="4361" width="2.42578125" style="4" customWidth="1"/>
    <col min="4362" max="4363" width="3.5703125" style="4" customWidth="1"/>
    <col min="4364" max="4364" width="2.42578125" style="4" customWidth="1"/>
    <col min="4365" max="4366" width="3.5703125" style="4" customWidth="1"/>
    <col min="4367" max="4367" width="2.42578125" style="4" customWidth="1"/>
    <col min="4368" max="4369" width="3.5703125" style="4" customWidth="1"/>
    <col min="4370" max="4370" width="2.42578125" style="4" customWidth="1"/>
    <col min="4371" max="4372" width="3.5703125" style="4" customWidth="1"/>
    <col min="4373" max="4373" width="2.42578125" style="4" customWidth="1"/>
    <col min="4374" max="4375" width="3.5703125" style="4" customWidth="1"/>
    <col min="4376" max="4376" width="2.42578125" style="4" customWidth="1"/>
    <col min="4377" max="4378" width="3.5703125" style="4" customWidth="1"/>
    <col min="4379" max="4379" width="2.42578125" style="4" customWidth="1"/>
    <col min="4380" max="4381" width="3.5703125" style="4" customWidth="1"/>
    <col min="4382" max="4382" width="2.42578125" style="4" customWidth="1"/>
    <col min="4383" max="4383" width="3.5703125" style="4" customWidth="1"/>
    <col min="4384" max="4384" width="9.5703125" style="4" customWidth="1"/>
    <col min="4385" max="4394" width="3.570312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42578125" style="4" customWidth="1"/>
    <col min="4402" max="4402" width="10.42578125" style="4" customWidth="1"/>
    <col min="4403" max="4403" width="11.42578125" style="4" customWidth="1"/>
    <col min="4404" max="4404" width="25" style="4" customWidth="1"/>
    <col min="4405" max="4405" width="6" style="4" customWidth="1"/>
    <col min="4406" max="4609" width="8.85546875" style="4"/>
    <col min="4610" max="4610" width="3.5703125" style="4" customWidth="1"/>
    <col min="4611" max="4611" width="2.42578125" style="4" customWidth="1"/>
    <col min="4612" max="4613" width="3.5703125" style="4" customWidth="1"/>
    <col min="4614" max="4614" width="2.42578125" style="4" customWidth="1"/>
    <col min="4615" max="4616" width="3.5703125" style="4" customWidth="1"/>
    <col min="4617" max="4617" width="2.42578125" style="4" customWidth="1"/>
    <col min="4618" max="4619" width="3.5703125" style="4" customWidth="1"/>
    <col min="4620" max="4620" width="2.42578125" style="4" customWidth="1"/>
    <col min="4621" max="4622" width="3.5703125" style="4" customWidth="1"/>
    <col min="4623" max="4623" width="2.42578125" style="4" customWidth="1"/>
    <col min="4624" max="4625" width="3.5703125" style="4" customWidth="1"/>
    <col min="4626" max="4626" width="2.42578125" style="4" customWidth="1"/>
    <col min="4627" max="4628" width="3.5703125" style="4" customWidth="1"/>
    <col min="4629" max="4629" width="2.42578125" style="4" customWidth="1"/>
    <col min="4630" max="4631" width="3.5703125" style="4" customWidth="1"/>
    <col min="4632" max="4632" width="2.42578125" style="4" customWidth="1"/>
    <col min="4633" max="4634" width="3.5703125" style="4" customWidth="1"/>
    <col min="4635" max="4635" width="2.42578125" style="4" customWidth="1"/>
    <col min="4636" max="4637" width="3.5703125" style="4" customWidth="1"/>
    <col min="4638" max="4638" width="2.42578125" style="4" customWidth="1"/>
    <col min="4639" max="4639" width="3.5703125" style="4" customWidth="1"/>
    <col min="4640" max="4640" width="9.5703125" style="4" customWidth="1"/>
    <col min="4641" max="4650" width="3.570312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42578125" style="4" customWidth="1"/>
    <col min="4658" max="4658" width="10.42578125" style="4" customWidth="1"/>
    <col min="4659" max="4659" width="11.42578125" style="4" customWidth="1"/>
    <col min="4660" max="4660" width="25" style="4" customWidth="1"/>
    <col min="4661" max="4661" width="6" style="4" customWidth="1"/>
    <col min="4662" max="4865" width="8.85546875" style="4"/>
    <col min="4866" max="4866" width="3.5703125" style="4" customWidth="1"/>
    <col min="4867" max="4867" width="2.42578125" style="4" customWidth="1"/>
    <col min="4868" max="4869" width="3.5703125" style="4" customWidth="1"/>
    <col min="4870" max="4870" width="2.42578125" style="4" customWidth="1"/>
    <col min="4871" max="4872" width="3.5703125" style="4" customWidth="1"/>
    <col min="4873" max="4873" width="2.42578125" style="4" customWidth="1"/>
    <col min="4874" max="4875" width="3.5703125" style="4" customWidth="1"/>
    <col min="4876" max="4876" width="2.42578125" style="4" customWidth="1"/>
    <col min="4877" max="4878" width="3.5703125" style="4" customWidth="1"/>
    <col min="4879" max="4879" width="2.42578125" style="4" customWidth="1"/>
    <col min="4880" max="4881" width="3.5703125" style="4" customWidth="1"/>
    <col min="4882" max="4882" width="2.42578125" style="4" customWidth="1"/>
    <col min="4883" max="4884" width="3.5703125" style="4" customWidth="1"/>
    <col min="4885" max="4885" width="2.42578125" style="4" customWidth="1"/>
    <col min="4886" max="4887" width="3.5703125" style="4" customWidth="1"/>
    <col min="4888" max="4888" width="2.42578125" style="4" customWidth="1"/>
    <col min="4889" max="4890" width="3.5703125" style="4" customWidth="1"/>
    <col min="4891" max="4891" width="2.42578125" style="4" customWidth="1"/>
    <col min="4892" max="4893" width="3.5703125" style="4" customWidth="1"/>
    <col min="4894" max="4894" width="2.42578125" style="4" customWidth="1"/>
    <col min="4895" max="4895" width="3.5703125" style="4" customWidth="1"/>
    <col min="4896" max="4896" width="9.5703125" style="4" customWidth="1"/>
    <col min="4897" max="4906" width="3.570312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42578125" style="4" customWidth="1"/>
    <col min="4914" max="4914" width="10.42578125" style="4" customWidth="1"/>
    <col min="4915" max="4915" width="11.42578125" style="4" customWidth="1"/>
    <col min="4916" max="4916" width="25" style="4" customWidth="1"/>
    <col min="4917" max="4917" width="6" style="4" customWidth="1"/>
    <col min="4918" max="5121" width="8.85546875" style="4"/>
    <col min="5122" max="5122" width="3.5703125" style="4" customWidth="1"/>
    <col min="5123" max="5123" width="2.42578125" style="4" customWidth="1"/>
    <col min="5124" max="5125" width="3.5703125" style="4" customWidth="1"/>
    <col min="5126" max="5126" width="2.42578125" style="4" customWidth="1"/>
    <col min="5127" max="5128" width="3.5703125" style="4" customWidth="1"/>
    <col min="5129" max="5129" width="2.42578125" style="4" customWidth="1"/>
    <col min="5130" max="5131" width="3.5703125" style="4" customWidth="1"/>
    <col min="5132" max="5132" width="2.42578125" style="4" customWidth="1"/>
    <col min="5133" max="5134" width="3.5703125" style="4" customWidth="1"/>
    <col min="5135" max="5135" width="2.42578125" style="4" customWidth="1"/>
    <col min="5136" max="5137" width="3.5703125" style="4" customWidth="1"/>
    <col min="5138" max="5138" width="2.42578125" style="4" customWidth="1"/>
    <col min="5139" max="5140" width="3.5703125" style="4" customWidth="1"/>
    <col min="5141" max="5141" width="2.42578125" style="4" customWidth="1"/>
    <col min="5142" max="5143" width="3.5703125" style="4" customWidth="1"/>
    <col min="5144" max="5144" width="2.42578125" style="4" customWidth="1"/>
    <col min="5145" max="5146" width="3.5703125" style="4" customWidth="1"/>
    <col min="5147" max="5147" width="2.42578125" style="4" customWidth="1"/>
    <col min="5148" max="5149" width="3.5703125" style="4" customWidth="1"/>
    <col min="5150" max="5150" width="2.42578125" style="4" customWidth="1"/>
    <col min="5151" max="5151" width="3.5703125" style="4" customWidth="1"/>
    <col min="5152" max="5152" width="9.5703125" style="4" customWidth="1"/>
    <col min="5153" max="5162" width="3.570312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42578125" style="4" customWidth="1"/>
    <col min="5170" max="5170" width="10.42578125" style="4" customWidth="1"/>
    <col min="5171" max="5171" width="11.42578125" style="4" customWidth="1"/>
    <col min="5172" max="5172" width="25" style="4" customWidth="1"/>
    <col min="5173" max="5173" width="6" style="4" customWidth="1"/>
    <col min="5174" max="5377" width="8.85546875" style="4"/>
    <col min="5378" max="5378" width="3.5703125" style="4" customWidth="1"/>
    <col min="5379" max="5379" width="2.42578125" style="4" customWidth="1"/>
    <col min="5380" max="5381" width="3.5703125" style="4" customWidth="1"/>
    <col min="5382" max="5382" width="2.42578125" style="4" customWidth="1"/>
    <col min="5383" max="5384" width="3.5703125" style="4" customWidth="1"/>
    <col min="5385" max="5385" width="2.42578125" style="4" customWidth="1"/>
    <col min="5386" max="5387" width="3.5703125" style="4" customWidth="1"/>
    <col min="5388" max="5388" width="2.42578125" style="4" customWidth="1"/>
    <col min="5389" max="5390" width="3.5703125" style="4" customWidth="1"/>
    <col min="5391" max="5391" width="2.42578125" style="4" customWidth="1"/>
    <col min="5392" max="5393" width="3.5703125" style="4" customWidth="1"/>
    <col min="5394" max="5394" width="2.42578125" style="4" customWidth="1"/>
    <col min="5395" max="5396" width="3.5703125" style="4" customWidth="1"/>
    <col min="5397" max="5397" width="2.42578125" style="4" customWidth="1"/>
    <col min="5398" max="5399" width="3.5703125" style="4" customWidth="1"/>
    <col min="5400" max="5400" width="2.42578125" style="4" customWidth="1"/>
    <col min="5401" max="5402" width="3.5703125" style="4" customWidth="1"/>
    <col min="5403" max="5403" width="2.42578125" style="4" customWidth="1"/>
    <col min="5404" max="5405" width="3.5703125" style="4" customWidth="1"/>
    <col min="5406" max="5406" width="2.42578125" style="4" customWidth="1"/>
    <col min="5407" max="5407" width="3.5703125" style="4" customWidth="1"/>
    <col min="5408" max="5408" width="9.5703125" style="4" customWidth="1"/>
    <col min="5409" max="5418" width="3.570312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42578125" style="4" customWidth="1"/>
    <col min="5426" max="5426" width="10.42578125" style="4" customWidth="1"/>
    <col min="5427" max="5427" width="11.42578125" style="4" customWidth="1"/>
    <col min="5428" max="5428" width="25" style="4" customWidth="1"/>
    <col min="5429" max="5429" width="6" style="4" customWidth="1"/>
    <col min="5430" max="5633" width="8.85546875" style="4"/>
    <col min="5634" max="5634" width="3.5703125" style="4" customWidth="1"/>
    <col min="5635" max="5635" width="2.42578125" style="4" customWidth="1"/>
    <col min="5636" max="5637" width="3.5703125" style="4" customWidth="1"/>
    <col min="5638" max="5638" width="2.42578125" style="4" customWidth="1"/>
    <col min="5639" max="5640" width="3.5703125" style="4" customWidth="1"/>
    <col min="5641" max="5641" width="2.42578125" style="4" customWidth="1"/>
    <col min="5642" max="5643" width="3.5703125" style="4" customWidth="1"/>
    <col min="5644" max="5644" width="2.42578125" style="4" customWidth="1"/>
    <col min="5645" max="5646" width="3.5703125" style="4" customWidth="1"/>
    <col min="5647" max="5647" width="2.42578125" style="4" customWidth="1"/>
    <col min="5648" max="5649" width="3.5703125" style="4" customWidth="1"/>
    <col min="5650" max="5650" width="2.42578125" style="4" customWidth="1"/>
    <col min="5651" max="5652" width="3.5703125" style="4" customWidth="1"/>
    <col min="5653" max="5653" width="2.42578125" style="4" customWidth="1"/>
    <col min="5654" max="5655" width="3.5703125" style="4" customWidth="1"/>
    <col min="5656" max="5656" width="2.42578125" style="4" customWidth="1"/>
    <col min="5657" max="5658" width="3.5703125" style="4" customWidth="1"/>
    <col min="5659" max="5659" width="2.42578125" style="4" customWidth="1"/>
    <col min="5660" max="5661" width="3.5703125" style="4" customWidth="1"/>
    <col min="5662" max="5662" width="2.42578125" style="4" customWidth="1"/>
    <col min="5663" max="5663" width="3.5703125" style="4" customWidth="1"/>
    <col min="5664" max="5664" width="9.5703125" style="4" customWidth="1"/>
    <col min="5665" max="5674" width="3.570312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42578125" style="4" customWidth="1"/>
    <col min="5682" max="5682" width="10.42578125" style="4" customWidth="1"/>
    <col min="5683" max="5683" width="11.42578125" style="4" customWidth="1"/>
    <col min="5684" max="5684" width="25" style="4" customWidth="1"/>
    <col min="5685" max="5685" width="6" style="4" customWidth="1"/>
    <col min="5686" max="5889" width="8.85546875" style="4"/>
    <col min="5890" max="5890" width="3.5703125" style="4" customWidth="1"/>
    <col min="5891" max="5891" width="2.42578125" style="4" customWidth="1"/>
    <col min="5892" max="5893" width="3.5703125" style="4" customWidth="1"/>
    <col min="5894" max="5894" width="2.42578125" style="4" customWidth="1"/>
    <col min="5895" max="5896" width="3.5703125" style="4" customWidth="1"/>
    <col min="5897" max="5897" width="2.42578125" style="4" customWidth="1"/>
    <col min="5898" max="5899" width="3.5703125" style="4" customWidth="1"/>
    <col min="5900" max="5900" width="2.42578125" style="4" customWidth="1"/>
    <col min="5901" max="5902" width="3.5703125" style="4" customWidth="1"/>
    <col min="5903" max="5903" width="2.42578125" style="4" customWidth="1"/>
    <col min="5904" max="5905" width="3.5703125" style="4" customWidth="1"/>
    <col min="5906" max="5906" width="2.42578125" style="4" customWidth="1"/>
    <col min="5907" max="5908" width="3.5703125" style="4" customWidth="1"/>
    <col min="5909" max="5909" width="2.42578125" style="4" customWidth="1"/>
    <col min="5910" max="5911" width="3.5703125" style="4" customWidth="1"/>
    <col min="5912" max="5912" width="2.42578125" style="4" customWidth="1"/>
    <col min="5913" max="5914" width="3.5703125" style="4" customWidth="1"/>
    <col min="5915" max="5915" width="2.42578125" style="4" customWidth="1"/>
    <col min="5916" max="5917" width="3.5703125" style="4" customWidth="1"/>
    <col min="5918" max="5918" width="2.42578125" style="4" customWidth="1"/>
    <col min="5919" max="5919" width="3.5703125" style="4" customWidth="1"/>
    <col min="5920" max="5920" width="9.5703125" style="4" customWidth="1"/>
    <col min="5921" max="5930" width="3.570312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42578125" style="4" customWidth="1"/>
    <col min="5938" max="5938" width="10.42578125" style="4" customWidth="1"/>
    <col min="5939" max="5939" width="11.42578125" style="4" customWidth="1"/>
    <col min="5940" max="5940" width="25" style="4" customWidth="1"/>
    <col min="5941" max="5941" width="6" style="4" customWidth="1"/>
    <col min="5942" max="6145" width="8.85546875" style="4"/>
    <col min="6146" max="6146" width="3.5703125" style="4" customWidth="1"/>
    <col min="6147" max="6147" width="2.42578125" style="4" customWidth="1"/>
    <col min="6148" max="6149" width="3.5703125" style="4" customWidth="1"/>
    <col min="6150" max="6150" width="2.42578125" style="4" customWidth="1"/>
    <col min="6151" max="6152" width="3.5703125" style="4" customWidth="1"/>
    <col min="6153" max="6153" width="2.42578125" style="4" customWidth="1"/>
    <col min="6154" max="6155" width="3.5703125" style="4" customWidth="1"/>
    <col min="6156" max="6156" width="2.42578125" style="4" customWidth="1"/>
    <col min="6157" max="6158" width="3.5703125" style="4" customWidth="1"/>
    <col min="6159" max="6159" width="2.42578125" style="4" customWidth="1"/>
    <col min="6160" max="6161" width="3.5703125" style="4" customWidth="1"/>
    <col min="6162" max="6162" width="2.42578125" style="4" customWidth="1"/>
    <col min="6163" max="6164" width="3.5703125" style="4" customWidth="1"/>
    <col min="6165" max="6165" width="2.42578125" style="4" customWidth="1"/>
    <col min="6166" max="6167" width="3.5703125" style="4" customWidth="1"/>
    <col min="6168" max="6168" width="2.42578125" style="4" customWidth="1"/>
    <col min="6169" max="6170" width="3.5703125" style="4" customWidth="1"/>
    <col min="6171" max="6171" width="2.42578125" style="4" customWidth="1"/>
    <col min="6172" max="6173" width="3.5703125" style="4" customWidth="1"/>
    <col min="6174" max="6174" width="2.42578125" style="4" customWidth="1"/>
    <col min="6175" max="6175" width="3.5703125" style="4" customWidth="1"/>
    <col min="6176" max="6176" width="9.5703125" style="4" customWidth="1"/>
    <col min="6177" max="6186" width="3.570312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42578125" style="4" customWidth="1"/>
    <col min="6194" max="6194" width="10.42578125" style="4" customWidth="1"/>
    <col min="6195" max="6195" width="11.42578125" style="4" customWidth="1"/>
    <col min="6196" max="6196" width="25" style="4" customWidth="1"/>
    <col min="6197" max="6197" width="6" style="4" customWidth="1"/>
    <col min="6198" max="6401" width="8.85546875" style="4"/>
    <col min="6402" max="6402" width="3.5703125" style="4" customWidth="1"/>
    <col min="6403" max="6403" width="2.42578125" style="4" customWidth="1"/>
    <col min="6404" max="6405" width="3.5703125" style="4" customWidth="1"/>
    <col min="6406" max="6406" width="2.42578125" style="4" customWidth="1"/>
    <col min="6407" max="6408" width="3.5703125" style="4" customWidth="1"/>
    <col min="6409" max="6409" width="2.42578125" style="4" customWidth="1"/>
    <col min="6410" max="6411" width="3.5703125" style="4" customWidth="1"/>
    <col min="6412" max="6412" width="2.42578125" style="4" customWidth="1"/>
    <col min="6413" max="6414" width="3.5703125" style="4" customWidth="1"/>
    <col min="6415" max="6415" width="2.42578125" style="4" customWidth="1"/>
    <col min="6416" max="6417" width="3.5703125" style="4" customWidth="1"/>
    <col min="6418" max="6418" width="2.42578125" style="4" customWidth="1"/>
    <col min="6419" max="6420" width="3.5703125" style="4" customWidth="1"/>
    <col min="6421" max="6421" width="2.42578125" style="4" customWidth="1"/>
    <col min="6422" max="6423" width="3.5703125" style="4" customWidth="1"/>
    <col min="6424" max="6424" width="2.42578125" style="4" customWidth="1"/>
    <col min="6425" max="6426" width="3.5703125" style="4" customWidth="1"/>
    <col min="6427" max="6427" width="2.42578125" style="4" customWidth="1"/>
    <col min="6428" max="6429" width="3.5703125" style="4" customWidth="1"/>
    <col min="6430" max="6430" width="2.42578125" style="4" customWidth="1"/>
    <col min="6431" max="6431" width="3.5703125" style="4" customWidth="1"/>
    <col min="6432" max="6432" width="9.5703125" style="4" customWidth="1"/>
    <col min="6433" max="6442" width="3.570312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42578125" style="4" customWidth="1"/>
    <col min="6450" max="6450" width="10.42578125" style="4" customWidth="1"/>
    <col min="6451" max="6451" width="11.42578125" style="4" customWidth="1"/>
    <col min="6452" max="6452" width="25" style="4" customWidth="1"/>
    <col min="6453" max="6453" width="6" style="4" customWidth="1"/>
    <col min="6454" max="6657" width="8.85546875" style="4"/>
    <col min="6658" max="6658" width="3.5703125" style="4" customWidth="1"/>
    <col min="6659" max="6659" width="2.42578125" style="4" customWidth="1"/>
    <col min="6660" max="6661" width="3.5703125" style="4" customWidth="1"/>
    <col min="6662" max="6662" width="2.42578125" style="4" customWidth="1"/>
    <col min="6663" max="6664" width="3.5703125" style="4" customWidth="1"/>
    <col min="6665" max="6665" width="2.42578125" style="4" customWidth="1"/>
    <col min="6666" max="6667" width="3.5703125" style="4" customWidth="1"/>
    <col min="6668" max="6668" width="2.42578125" style="4" customWidth="1"/>
    <col min="6669" max="6670" width="3.5703125" style="4" customWidth="1"/>
    <col min="6671" max="6671" width="2.42578125" style="4" customWidth="1"/>
    <col min="6672" max="6673" width="3.5703125" style="4" customWidth="1"/>
    <col min="6674" max="6674" width="2.42578125" style="4" customWidth="1"/>
    <col min="6675" max="6676" width="3.5703125" style="4" customWidth="1"/>
    <col min="6677" max="6677" width="2.42578125" style="4" customWidth="1"/>
    <col min="6678" max="6679" width="3.5703125" style="4" customWidth="1"/>
    <col min="6680" max="6680" width="2.42578125" style="4" customWidth="1"/>
    <col min="6681" max="6682" width="3.5703125" style="4" customWidth="1"/>
    <col min="6683" max="6683" width="2.42578125" style="4" customWidth="1"/>
    <col min="6684" max="6685" width="3.5703125" style="4" customWidth="1"/>
    <col min="6686" max="6686" width="2.42578125" style="4" customWidth="1"/>
    <col min="6687" max="6687" width="3.5703125" style="4" customWidth="1"/>
    <col min="6688" max="6688" width="9.5703125" style="4" customWidth="1"/>
    <col min="6689" max="6698" width="3.570312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42578125" style="4" customWidth="1"/>
    <col min="6706" max="6706" width="10.42578125" style="4" customWidth="1"/>
    <col min="6707" max="6707" width="11.42578125" style="4" customWidth="1"/>
    <col min="6708" max="6708" width="25" style="4" customWidth="1"/>
    <col min="6709" max="6709" width="6" style="4" customWidth="1"/>
    <col min="6710" max="6913" width="8.85546875" style="4"/>
    <col min="6914" max="6914" width="3.5703125" style="4" customWidth="1"/>
    <col min="6915" max="6915" width="2.42578125" style="4" customWidth="1"/>
    <col min="6916" max="6917" width="3.5703125" style="4" customWidth="1"/>
    <col min="6918" max="6918" width="2.42578125" style="4" customWidth="1"/>
    <col min="6919" max="6920" width="3.5703125" style="4" customWidth="1"/>
    <col min="6921" max="6921" width="2.42578125" style="4" customWidth="1"/>
    <col min="6922" max="6923" width="3.5703125" style="4" customWidth="1"/>
    <col min="6924" max="6924" width="2.42578125" style="4" customWidth="1"/>
    <col min="6925" max="6926" width="3.5703125" style="4" customWidth="1"/>
    <col min="6927" max="6927" width="2.42578125" style="4" customWidth="1"/>
    <col min="6928" max="6929" width="3.5703125" style="4" customWidth="1"/>
    <col min="6930" max="6930" width="2.42578125" style="4" customWidth="1"/>
    <col min="6931" max="6932" width="3.5703125" style="4" customWidth="1"/>
    <col min="6933" max="6933" width="2.42578125" style="4" customWidth="1"/>
    <col min="6934" max="6935" width="3.5703125" style="4" customWidth="1"/>
    <col min="6936" max="6936" width="2.42578125" style="4" customWidth="1"/>
    <col min="6937" max="6938" width="3.5703125" style="4" customWidth="1"/>
    <col min="6939" max="6939" width="2.42578125" style="4" customWidth="1"/>
    <col min="6940" max="6941" width="3.5703125" style="4" customWidth="1"/>
    <col min="6942" max="6942" width="2.42578125" style="4" customWidth="1"/>
    <col min="6943" max="6943" width="3.5703125" style="4" customWidth="1"/>
    <col min="6944" max="6944" width="9.5703125" style="4" customWidth="1"/>
    <col min="6945" max="6954" width="3.570312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42578125" style="4" customWidth="1"/>
    <col min="6962" max="6962" width="10.42578125" style="4" customWidth="1"/>
    <col min="6963" max="6963" width="11.42578125" style="4" customWidth="1"/>
    <col min="6964" max="6964" width="25" style="4" customWidth="1"/>
    <col min="6965" max="6965" width="6" style="4" customWidth="1"/>
    <col min="6966" max="7169" width="8.85546875" style="4"/>
    <col min="7170" max="7170" width="3.5703125" style="4" customWidth="1"/>
    <col min="7171" max="7171" width="2.42578125" style="4" customWidth="1"/>
    <col min="7172" max="7173" width="3.5703125" style="4" customWidth="1"/>
    <col min="7174" max="7174" width="2.42578125" style="4" customWidth="1"/>
    <col min="7175" max="7176" width="3.5703125" style="4" customWidth="1"/>
    <col min="7177" max="7177" width="2.42578125" style="4" customWidth="1"/>
    <col min="7178" max="7179" width="3.5703125" style="4" customWidth="1"/>
    <col min="7180" max="7180" width="2.42578125" style="4" customWidth="1"/>
    <col min="7181" max="7182" width="3.5703125" style="4" customWidth="1"/>
    <col min="7183" max="7183" width="2.42578125" style="4" customWidth="1"/>
    <col min="7184" max="7185" width="3.5703125" style="4" customWidth="1"/>
    <col min="7186" max="7186" width="2.42578125" style="4" customWidth="1"/>
    <col min="7187" max="7188" width="3.5703125" style="4" customWidth="1"/>
    <col min="7189" max="7189" width="2.42578125" style="4" customWidth="1"/>
    <col min="7190" max="7191" width="3.5703125" style="4" customWidth="1"/>
    <col min="7192" max="7192" width="2.42578125" style="4" customWidth="1"/>
    <col min="7193" max="7194" width="3.5703125" style="4" customWidth="1"/>
    <col min="7195" max="7195" width="2.42578125" style="4" customWidth="1"/>
    <col min="7196" max="7197" width="3.5703125" style="4" customWidth="1"/>
    <col min="7198" max="7198" width="2.42578125" style="4" customWidth="1"/>
    <col min="7199" max="7199" width="3.5703125" style="4" customWidth="1"/>
    <col min="7200" max="7200" width="9.5703125" style="4" customWidth="1"/>
    <col min="7201" max="7210" width="3.570312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42578125" style="4" customWidth="1"/>
    <col min="7218" max="7218" width="10.42578125" style="4" customWidth="1"/>
    <col min="7219" max="7219" width="11.42578125" style="4" customWidth="1"/>
    <col min="7220" max="7220" width="25" style="4" customWidth="1"/>
    <col min="7221" max="7221" width="6" style="4" customWidth="1"/>
    <col min="7222" max="7425" width="8.85546875" style="4"/>
    <col min="7426" max="7426" width="3.5703125" style="4" customWidth="1"/>
    <col min="7427" max="7427" width="2.42578125" style="4" customWidth="1"/>
    <col min="7428" max="7429" width="3.5703125" style="4" customWidth="1"/>
    <col min="7430" max="7430" width="2.42578125" style="4" customWidth="1"/>
    <col min="7431" max="7432" width="3.5703125" style="4" customWidth="1"/>
    <col min="7433" max="7433" width="2.42578125" style="4" customWidth="1"/>
    <col min="7434" max="7435" width="3.5703125" style="4" customWidth="1"/>
    <col min="7436" max="7436" width="2.42578125" style="4" customWidth="1"/>
    <col min="7437" max="7438" width="3.5703125" style="4" customWidth="1"/>
    <col min="7439" max="7439" width="2.42578125" style="4" customWidth="1"/>
    <col min="7440" max="7441" width="3.5703125" style="4" customWidth="1"/>
    <col min="7442" max="7442" width="2.42578125" style="4" customWidth="1"/>
    <col min="7443" max="7444" width="3.5703125" style="4" customWidth="1"/>
    <col min="7445" max="7445" width="2.42578125" style="4" customWidth="1"/>
    <col min="7446" max="7447" width="3.5703125" style="4" customWidth="1"/>
    <col min="7448" max="7448" width="2.42578125" style="4" customWidth="1"/>
    <col min="7449" max="7450" width="3.5703125" style="4" customWidth="1"/>
    <col min="7451" max="7451" width="2.42578125" style="4" customWidth="1"/>
    <col min="7452" max="7453" width="3.5703125" style="4" customWidth="1"/>
    <col min="7454" max="7454" width="2.42578125" style="4" customWidth="1"/>
    <col min="7455" max="7455" width="3.5703125" style="4" customWidth="1"/>
    <col min="7456" max="7456" width="9.5703125" style="4" customWidth="1"/>
    <col min="7457" max="7466" width="3.570312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42578125" style="4" customWidth="1"/>
    <col min="7474" max="7474" width="10.42578125" style="4" customWidth="1"/>
    <col min="7475" max="7475" width="11.42578125" style="4" customWidth="1"/>
    <col min="7476" max="7476" width="25" style="4" customWidth="1"/>
    <col min="7477" max="7477" width="6" style="4" customWidth="1"/>
    <col min="7478" max="7681" width="8.85546875" style="4"/>
    <col min="7682" max="7682" width="3.5703125" style="4" customWidth="1"/>
    <col min="7683" max="7683" width="2.42578125" style="4" customWidth="1"/>
    <col min="7684" max="7685" width="3.5703125" style="4" customWidth="1"/>
    <col min="7686" max="7686" width="2.42578125" style="4" customWidth="1"/>
    <col min="7687" max="7688" width="3.5703125" style="4" customWidth="1"/>
    <col min="7689" max="7689" width="2.42578125" style="4" customWidth="1"/>
    <col min="7690" max="7691" width="3.5703125" style="4" customWidth="1"/>
    <col min="7692" max="7692" width="2.42578125" style="4" customWidth="1"/>
    <col min="7693" max="7694" width="3.5703125" style="4" customWidth="1"/>
    <col min="7695" max="7695" width="2.42578125" style="4" customWidth="1"/>
    <col min="7696" max="7697" width="3.5703125" style="4" customWidth="1"/>
    <col min="7698" max="7698" width="2.42578125" style="4" customWidth="1"/>
    <col min="7699" max="7700" width="3.5703125" style="4" customWidth="1"/>
    <col min="7701" max="7701" width="2.42578125" style="4" customWidth="1"/>
    <col min="7702" max="7703" width="3.5703125" style="4" customWidth="1"/>
    <col min="7704" max="7704" width="2.42578125" style="4" customWidth="1"/>
    <col min="7705" max="7706" width="3.5703125" style="4" customWidth="1"/>
    <col min="7707" max="7707" width="2.42578125" style="4" customWidth="1"/>
    <col min="7708" max="7709" width="3.5703125" style="4" customWidth="1"/>
    <col min="7710" max="7710" width="2.42578125" style="4" customWidth="1"/>
    <col min="7711" max="7711" width="3.5703125" style="4" customWidth="1"/>
    <col min="7712" max="7712" width="9.5703125" style="4" customWidth="1"/>
    <col min="7713" max="7722" width="3.570312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42578125" style="4" customWidth="1"/>
    <col min="7730" max="7730" width="10.42578125" style="4" customWidth="1"/>
    <col min="7731" max="7731" width="11.42578125" style="4" customWidth="1"/>
    <col min="7732" max="7732" width="25" style="4" customWidth="1"/>
    <col min="7733" max="7733" width="6" style="4" customWidth="1"/>
    <col min="7734" max="7937" width="8.85546875" style="4"/>
    <col min="7938" max="7938" width="3.5703125" style="4" customWidth="1"/>
    <col min="7939" max="7939" width="2.42578125" style="4" customWidth="1"/>
    <col min="7940" max="7941" width="3.5703125" style="4" customWidth="1"/>
    <col min="7942" max="7942" width="2.42578125" style="4" customWidth="1"/>
    <col min="7943" max="7944" width="3.5703125" style="4" customWidth="1"/>
    <col min="7945" max="7945" width="2.42578125" style="4" customWidth="1"/>
    <col min="7946" max="7947" width="3.5703125" style="4" customWidth="1"/>
    <col min="7948" max="7948" width="2.42578125" style="4" customWidth="1"/>
    <col min="7949" max="7950" width="3.5703125" style="4" customWidth="1"/>
    <col min="7951" max="7951" width="2.42578125" style="4" customWidth="1"/>
    <col min="7952" max="7953" width="3.5703125" style="4" customWidth="1"/>
    <col min="7954" max="7954" width="2.42578125" style="4" customWidth="1"/>
    <col min="7955" max="7956" width="3.5703125" style="4" customWidth="1"/>
    <col min="7957" max="7957" width="2.42578125" style="4" customWidth="1"/>
    <col min="7958" max="7959" width="3.5703125" style="4" customWidth="1"/>
    <col min="7960" max="7960" width="2.42578125" style="4" customWidth="1"/>
    <col min="7961" max="7962" width="3.5703125" style="4" customWidth="1"/>
    <col min="7963" max="7963" width="2.42578125" style="4" customWidth="1"/>
    <col min="7964" max="7965" width="3.5703125" style="4" customWidth="1"/>
    <col min="7966" max="7966" width="2.42578125" style="4" customWidth="1"/>
    <col min="7967" max="7967" width="3.5703125" style="4" customWidth="1"/>
    <col min="7968" max="7968" width="9.5703125" style="4" customWidth="1"/>
    <col min="7969" max="7978" width="3.570312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42578125" style="4" customWidth="1"/>
    <col min="7986" max="7986" width="10.42578125" style="4" customWidth="1"/>
    <col min="7987" max="7987" width="11.42578125" style="4" customWidth="1"/>
    <col min="7988" max="7988" width="25" style="4" customWidth="1"/>
    <col min="7989" max="7989" width="6" style="4" customWidth="1"/>
    <col min="7990" max="8193" width="8.85546875" style="4"/>
    <col min="8194" max="8194" width="3.5703125" style="4" customWidth="1"/>
    <col min="8195" max="8195" width="2.42578125" style="4" customWidth="1"/>
    <col min="8196" max="8197" width="3.5703125" style="4" customWidth="1"/>
    <col min="8198" max="8198" width="2.42578125" style="4" customWidth="1"/>
    <col min="8199" max="8200" width="3.5703125" style="4" customWidth="1"/>
    <col min="8201" max="8201" width="2.42578125" style="4" customWidth="1"/>
    <col min="8202" max="8203" width="3.5703125" style="4" customWidth="1"/>
    <col min="8204" max="8204" width="2.42578125" style="4" customWidth="1"/>
    <col min="8205" max="8206" width="3.5703125" style="4" customWidth="1"/>
    <col min="8207" max="8207" width="2.42578125" style="4" customWidth="1"/>
    <col min="8208" max="8209" width="3.5703125" style="4" customWidth="1"/>
    <col min="8210" max="8210" width="2.42578125" style="4" customWidth="1"/>
    <col min="8211" max="8212" width="3.5703125" style="4" customWidth="1"/>
    <col min="8213" max="8213" width="2.42578125" style="4" customWidth="1"/>
    <col min="8214" max="8215" width="3.5703125" style="4" customWidth="1"/>
    <col min="8216" max="8216" width="2.42578125" style="4" customWidth="1"/>
    <col min="8217" max="8218" width="3.5703125" style="4" customWidth="1"/>
    <col min="8219" max="8219" width="2.42578125" style="4" customWidth="1"/>
    <col min="8220" max="8221" width="3.5703125" style="4" customWidth="1"/>
    <col min="8222" max="8222" width="2.42578125" style="4" customWidth="1"/>
    <col min="8223" max="8223" width="3.5703125" style="4" customWidth="1"/>
    <col min="8224" max="8224" width="9.5703125" style="4" customWidth="1"/>
    <col min="8225" max="8234" width="3.570312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42578125" style="4" customWidth="1"/>
    <col min="8242" max="8242" width="10.42578125" style="4" customWidth="1"/>
    <col min="8243" max="8243" width="11.42578125" style="4" customWidth="1"/>
    <col min="8244" max="8244" width="25" style="4" customWidth="1"/>
    <col min="8245" max="8245" width="6" style="4" customWidth="1"/>
    <col min="8246" max="8449" width="8.85546875" style="4"/>
    <col min="8450" max="8450" width="3.5703125" style="4" customWidth="1"/>
    <col min="8451" max="8451" width="2.42578125" style="4" customWidth="1"/>
    <col min="8452" max="8453" width="3.5703125" style="4" customWidth="1"/>
    <col min="8454" max="8454" width="2.42578125" style="4" customWidth="1"/>
    <col min="8455" max="8456" width="3.5703125" style="4" customWidth="1"/>
    <col min="8457" max="8457" width="2.42578125" style="4" customWidth="1"/>
    <col min="8458" max="8459" width="3.5703125" style="4" customWidth="1"/>
    <col min="8460" max="8460" width="2.42578125" style="4" customWidth="1"/>
    <col min="8461" max="8462" width="3.5703125" style="4" customWidth="1"/>
    <col min="8463" max="8463" width="2.42578125" style="4" customWidth="1"/>
    <col min="8464" max="8465" width="3.5703125" style="4" customWidth="1"/>
    <col min="8466" max="8466" width="2.42578125" style="4" customWidth="1"/>
    <col min="8467" max="8468" width="3.5703125" style="4" customWidth="1"/>
    <col min="8469" max="8469" width="2.42578125" style="4" customWidth="1"/>
    <col min="8470" max="8471" width="3.5703125" style="4" customWidth="1"/>
    <col min="8472" max="8472" width="2.42578125" style="4" customWidth="1"/>
    <col min="8473" max="8474" width="3.5703125" style="4" customWidth="1"/>
    <col min="8475" max="8475" width="2.42578125" style="4" customWidth="1"/>
    <col min="8476" max="8477" width="3.5703125" style="4" customWidth="1"/>
    <col min="8478" max="8478" width="2.42578125" style="4" customWidth="1"/>
    <col min="8479" max="8479" width="3.5703125" style="4" customWidth="1"/>
    <col min="8480" max="8480" width="9.5703125" style="4" customWidth="1"/>
    <col min="8481" max="8490" width="3.570312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42578125" style="4" customWidth="1"/>
    <col min="8498" max="8498" width="10.42578125" style="4" customWidth="1"/>
    <col min="8499" max="8499" width="11.42578125" style="4" customWidth="1"/>
    <col min="8500" max="8500" width="25" style="4" customWidth="1"/>
    <col min="8501" max="8501" width="6" style="4" customWidth="1"/>
    <col min="8502" max="8705" width="8.85546875" style="4"/>
    <col min="8706" max="8706" width="3.5703125" style="4" customWidth="1"/>
    <col min="8707" max="8707" width="2.42578125" style="4" customWidth="1"/>
    <col min="8708" max="8709" width="3.5703125" style="4" customWidth="1"/>
    <col min="8710" max="8710" width="2.42578125" style="4" customWidth="1"/>
    <col min="8711" max="8712" width="3.5703125" style="4" customWidth="1"/>
    <col min="8713" max="8713" width="2.42578125" style="4" customWidth="1"/>
    <col min="8714" max="8715" width="3.5703125" style="4" customWidth="1"/>
    <col min="8716" max="8716" width="2.42578125" style="4" customWidth="1"/>
    <col min="8717" max="8718" width="3.5703125" style="4" customWidth="1"/>
    <col min="8719" max="8719" width="2.42578125" style="4" customWidth="1"/>
    <col min="8720" max="8721" width="3.5703125" style="4" customWidth="1"/>
    <col min="8722" max="8722" width="2.42578125" style="4" customWidth="1"/>
    <col min="8723" max="8724" width="3.5703125" style="4" customWidth="1"/>
    <col min="8725" max="8725" width="2.42578125" style="4" customWidth="1"/>
    <col min="8726" max="8727" width="3.5703125" style="4" customWidth="1"/>
    <col min="8728" max="8728" width="2.42578125" style="4" customWidth="1"/>
    <col min="8729" max="8730" width="3.5703125" style="4" customWidth="1"/>
    <col min="8731" max="8731" width="2.42578125" style="4" customWidth="1"/>
    <col min="8732" max="8733" width="3.5703125" style="4" customWidth="1"/>
    <col min="8734" max="8734" width="2.42578125" style="4" customWidth="1"/>
    <col min="8735" max="8735" width="3.5703125" style="4" customWidth="1"/>
    <col min="8736" max="8736" width="9.5703125" style="4" customWidth="1"/>
    <col min="8737" max="8746" width="3.570312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42578125" style="4" customWidth="1"/>
    <col min="8754" max="8754" width="10.42578125" style="4" customWidth="1"/>
    <col min="8755" max="8755" width="11.42578125" style="4" customWidth="1"/>
    <col min="8756" max="8756" width="25" style="4" customWidth="1"/>
    <col min="8757" max="8757" width="6" style="4" customWidth="1"/>
    <col min="8758" max="8961" width="8.85546875" style="4"/>
    <col min="8962" max="8962" width="3.5703125" style="4" customWidth="1"/>
    <col min="8963" max="8963" width="2.42578125" style="4" customWidth="1"/>
    <col min="8964" max="8965" width="3.5703125" style="4" customWidth="1"/>
    <col min="8966" max="8966" width="2.42578125" style="4" customWidth="1"/>
    <col min="8967" max="8968" width="3.5703125" style="4" customWidth="1"/>
    <col min="8969" max="8969" width="2.42578125" style="4" customWidth="1"/>
    <col min="8970" max="8971" width="3.5703125" style="4" customWidth="1"/>
    <col min="8972" max="8972" width="2.42578125" style="4" customWidth="1"/>
    <col min="8973" max="8974" width="3.5703125" style="4" customWidth="1"/>
    <col min="8975" max="8975" width="2.42578125" style="4" customWidth="1"/>
    <col min="8976" max="8977" width="3.5703125" style="4" customWidth="1"/>
    <col min="8978" max="8978" width="2.42578125" style="4" customWidth="1"/>
    <col min="8979" max="8980" width="3.5703125" style="4" customWidth="1"/>
    <col min="8981" max="8981" width="2.42578125" style="4" customWidth="1"/>
    <col min="8982" max="8983" width="3.5703125" style="4" customWidth="1"/>
    <col min="8984" max="8984" width="2.42578125" style="4" customWidth="1"/>
    <col min="8985" max="8986" width="3.5703125" style="4" customWidth="1"/>
    <col min="8987" max="8987" width="2.42578125" style="4" customWidth="1"/>
    <col min="8988" max="8989" width="3.5703125" style="4" customWidth="1"/>
    <col min="8990" max="8990" width="2.42578125" style="4" customWidth="1"/>
    <col min="8991" max="8991" width="3.5703125" style="4" customWidth="1"/>
    <col min="8992" max="8992" width="9.5703125" style="4" customWidth="1"/>
    <col min="8993" max="9002" width="3.570312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42578125" style="4" customWidth="1"/>
    <col min="9010" max="9010" width="10.42578125" style="4" customWidth="1"/>
    <col min="9011" max="9011" width="11.42578125" style="4" customWidth="1"/>
    <col min="9012" max="9012" width="25" style="4" customWidth="1"/>
    <col min="9013" max="9013" width="6" style="4" customWidth="1"/>
    <col min="9014" max="9217" width="8.85546875" style="4"/>
    <col min="9218" max="9218" width="3.5703125" style="4" customWidth="1"/>
    <col min="9219" max="9219" width="2.42578125" style="4" customWidth="1"/>
    <col min="9220" max="9221" width="3.5703125" style="4" customWidth="1"/>
    <col min="9222" max="9222" width="2.42578125" style="4" customWidth="1"/>
    <col min="9223" max="9224" width="3.5703125" style="4" customWidth="1"/>
    <col min="9225" max="9225" width="2.42578125" style="4" customWidth="1"/>
    <col min="9226" max="9227" width="3.5703125" style="4" customWidth="1"/>
    <col min="9228" max="9228" width="2.42578125" style="4" customWidth="1"/>
    <col min="9229" max="9230" width="3.5703125" style="4" customWidth="1"/>
    <col min="9231" max="9231" width="2.42578125" style="4" customWidth="1"/>
    <col min="9232" max="9233" width="3.5703125" style="4" customWidth="1"/>
    <col min="9234" max="9234" width="2.42578125" style="4" customWidth="1"/>
    <col min="9235" max="9236" width="3.5703125" style="4" customWidth="1"/>
    <col min="9237" max="9237" width="2.42578125" style="4" customWidth="1"/>
    <col min="9238" max="9239" width="3.5703125" style="4" customWidth="1"/>
    <col min="9240" max="9240" width="2.42578125" style="4" customWidth="1"/>
    <col min="9241" max="9242" width="3.5703125" style="4" customWidth="1"/>
    <col min="9243" max="9243" width="2.42578125" style="4" customWidth="1"/>
    <col min="9244" max="9245" width="3.5703125" style="4" customWidth="1"/>
    <col min="9246" max="9246" width="2.42578125" style="4" customWidth="1"/>
    <col min="9247" max="9247" width="3.5703125" style="4" customWidth="1"/>
    <col min="9248" max="9248" width="9.5703125" style="4" customWidth="1"/>
    <col min="9249" max="9258" width="3.570312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42578125" style="4" customWidth="1"/>
    <col min="9266" max="9266" width="10.42578125" style="4" customWidth="1"/>
    <col min="9267" max="9267" width="11.42578125" style="4" customWidth="1"/>
    <col min="9268" max="9268" width="25" style="4" customWidth="1"/>
    <col min="9269" max="9269" width="6" style="4" customWidth="1"/>
    <col min="9270" max="9473" width="8.85546875" style="4"/>
    <col min="9474" max="9474" width="3.5703125" style="4" customWidth="1"/>
    <col min="9475" max="9475" width="2.42578125" style="4" customWidth="1"/>
    <col min="9476" max="9477" width="3.5703125" style="4" customWidth="1"/>
    <col min="9478" max="9478" width="2.42578125" style="4" customWidth="1"/>
    <col min="9479" max="9480" width="3.5703125" style="4" customWidth="1"/>
    <col min="9481" max="9481" width="2.42578125" style="4" customWidth="1"/>
    <col min="9482" max="9483" width="3.5703125" style="4" customWidth="1"/>
    <col min="9484" max="9484" width="2.42578125" style="4" customWidth="1"/>
    <col min="9485" max="9486" width="3.5703125" style="4" customWidth="1"/>
    <col min="9487" max="9487" width="2.42578125" style="4" customWidth="1"/>
    <col min="9488" max="9489" width="3.5703125" style="4" customWidth="1"/>
    <col min="9490" max="9490" width="2.42578125" style="4" customWidth="1"/>
    <col min="9491" max="9492" width="3.5703125" style="4" customWidth="1"/>
    <col min="9493" max="9493" width="2.42578125" style="4" customWidth="1"/>
    <col min="9494" max="9495" width="3.5703125" style="4" customWidth="1"/>
    <col min="9496" max="9496" width="2.42578125" style="4" customWidth="1"/>
    <col min="9497" max="9498" width="3.5703125" style="4" customWidth="1"/>
    <col min="9499" max="9499" width="2.42578125" style="4" customWidth="1"/>
    <col min="9500" max="9501" width="3.5703125" style="4" customWidth="1"/>
    <col min="9502" max="9502" width="2.42578125" style="4" customWidth="1"/>
    <col min="9503" max="9503" width="3.5703125" style="4" customWidth="1"/>
    <col min="9504" max="9504" width="9.5703125" style="4" customWidth="1"/>
    <col min="9505" max="9514" width="3.570312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42578125" style="4" customWidth="1"/>
    <col min="9522" max="9522" width="10.42578125" style="4" customWidth="1"/>
    <col min="9523" max="9523" width="11.42578125" style="4" customWidth="1"/>
    <col min="9524" max="9524" width="25" style="4" customWidth="1"/>
    <col min="9525" max="9525" width="6" style="4" customWidth="1"/>
    <col min="9526" max="9729" width="8.85546875" style="4"/>
    <col min="9730" max="9730" width="3.5703125" style="4" customWidth="1"/>
    <col min="9731" max="9731" width="2.42578125" style="4" customWidth="1"/>
    <col min="9732" max="9733" width="3.5703125" style="4" customWidth="1"/>
    <col min="9734" max="9734" width="2.42578125" style="4" customWidth="1"/>
    <col min="9735" max="9736" width="3.5703125" style="4" customWidth="1"/>
    <col min="9737" max="9737" width="2.42578125" style="4" customWidth="1"/>
    <col min="9738" max="9739" width="3.5703125" style="4" customWidth="1"/>
    <col min="9740" max="9740" width="2.42578125" style="4" customWidth="1"/>
    <col min="9741" max="9742" width="3.5703125" style="4" customWidth="1"/>
    <col min="9743" max="9743" width="2.42578125" style="4" customWidth="1"/>
    <col min="9744" max="9745" width="3.5703125" style="4" customWidth="1"/>
    <col min="9746" max="9746" width="2.42578125" style="4" customWidth="1"/>
    <col min="9747" max="9748" width="3.5703125" style="4" customWidth="1"/>
    <col min="9749" max="9749" width="2.42578125" style="4" customWidth="1"/>
    <col min="9750" max="9751" width="3.5703125" style="4" customWidth="1"/>
    <col min="9752" max="9752" width="2.42578125" style="4" customWidth="1"/>
    <col min="9753" max="9754" width="3.5703125" style="4" customWidth="1"/>
    <col min="9755" max="9755" width="2.42578125" style="4" customWidth="1"/>
    <col min="9756" max="9757" width="3.5703125" style="4" customWidth="1"/>
    <col min="9758" max="9758" width="2.42578125" style="4" customWidth="1"/>
    <col min="9759" max="9759" width="3.5703125" style="4" customWidth="1"/>
    <col min="9760" max="9760" width="9.5703125" style="4" customWidth="1"/>
    <col min="9761" max="9770" width="3.570312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42578125" style="4" customWidth="1"/>
    <col min="9778" max="9778" width="10.42578125" style="4" customWidth="1"/>
    <col min="9779" max="9779" width="11.42578125" style="4" customWidth="1"/>
    <col min="9780" max="9780" width="25" style="4" customWidth="1"/>
    <col min="9781" max="9781" width="6" style="4" customWidth="1"/>
    <col min="9782" max="9985" width="8.85546875" style="4"/>
    <col min="9986" max="9986" width="3.5703125" style="4" customWidth="1"/>
    <col min="9987" max="9987" width="2.42578125" style="4" customWidth="1"/>
    <col min="9988" max="9989" width="3.5703125" style="4" customWidth="1"/>
    <col min="9990" max="9990" width="2.42578125" style="4" customWidth="1"/>
    <col min="9991" max="9992" width="3.5703125" style="4" customWidth="1"/>
    <col min="9993" max="9993" width="2.42578125" style="4" customWidth="1"/>
    <col min="9994" max="9995" width="3.5703125" style="4" customWidth="1"/>
    <col min="9996" max="9996" width="2.42578125" style="4" customWidth="1"/>
    <col min="9997" max="9998" width="3.5703125" style="4" customWidth="1"/>
    <col min="9999" max="9999" width="2.42578125" style="4" customWidth="1"/>
    <col min="10000" max="10001" width="3.5703125" style="4" customWidth="1"/>
    <col min="10002" max="10002" width="2.42578125" style="4" customWidth="1"/>
    <col min="10003" max="10004" width="3.5703125" style="4" customWidth="1"/>
    <col min="10005" max="10005" width="2.42578125" style="4" customWidth="1"/>
    <col min="10006" max="10007" width="3.5703125" style="4" customWidth="1"/>
    <col min="10008" max="10008" width="2.42578125" style="4" customWidth="1"/>
    <col min="10009" max="10010" width="3.5703125" style="4" customWidth="1"/>
    <col min="10011" max="10011" width="2.42578125" style="4" customWidth="1"/>
    <col min="10012" max="10013" width="3.5703125" style="4" customWidth="1"/>
    <col min="10014" max="10014" width="2.42578125" style="4" customWidth="1"/>
    <col min="10015" max="10015" width="3.5703125" style="4" customWidth="1"/>
    <col min="10016" max="10016" width="9.5703125" style="4" customWidth="1"/>
    <col min="10017" max="10026" width="3.570312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42578125" style="4" customWidth="1"/>
    <col min="10034" max="10034" width="10.42578125" style="4" customWidth="1"/>
    <col min="10035" max="10035" width="11.425781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5703125" style="4" customWidth="1"/>
    <col min="10243" max="10243" width="2.42578125" style="4" customWidth="1"/>
    <col min="10244" max="10245" width="3.5703125" style="4" customWidth="1"/>
    <col min="10246" max="10246" width="2.42578125" style="4" customWidth="1"/>
    <col min="10247" max="10248" width="3.5703125" style="4" customWidth="1"/>
    <col min="10249" max="10249" width="2.42578125" style="4" customWidth="1"/>
    <col min="10250" max="10251" width="3.5703125" style="4" customWidth="1"/>
    <col min="10252" max="10252" width="2.42578125" style="4" customWidth="1"/>
    <col min="10253" max="10254" width="3.5703125" style="4" customWidth="1"/>
    <col min="10255" max="10255" width="2.42578125" style="4" customWidth="1"/>
    <col min="10256" max="10257" width="3.5703125" style="4" customWidth="1"/>
    <col min="10258" max="10258" width="2.42578125" style="4" customWidth="1"/>
    <col min="10259" max="10260" width="3.5703125" style="4" customWidth="1"/>
    <col min="10261" max="10261" width="2.42578125" style="4" customWidth="1"/>
    <col min="10262" max="10263" width="3.5703125" style="4" customWidth="1"/>
    <col min="10264" max="10264" width="2.42578125" style="4" customWidth="1"/>
    <col min="10265" max="10266" width="3.5703125" style="4" customWidth="1"/>
    <col min="10267" max="10267" width="2.42578125" style="4" customWidth="1"/>
    <col min="10268" max="10269" width="3.5703125" style="4" customWidth="1"/>
    <col min="10270" max="10270" width="2.42578125" style="4" customWidth="1"/>
    <col min="10271" max="10271" width="3.5703125" style="4" customWidth="1"/>
    <col min="10272" max="10272" width="9.5703125" style="4" customWidth="1"/>
    <col min="10273" max="10282" width="3.570312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42578125" style="4" customWidth="1"/>
    <col min="10290" max="10290" width="10.42578125" style="4" customWidth="1"/>
    <col min="10291" max="10291" width="11.425781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5703125" style="4" customWidth="1"/>
    <col min="10499" max="10499" width="2.42578125" style="4" customWidth="1"/>
    <col min="10500" max="10501" width="3.5703125" style="4" customWidth="1"/>
    <col min="10502" max="10502" width="2.42578125" style="4" customWidth="1"/>
    <col min="10503" max="10504" width="3.5703125" style="4" customWidth="1"/>
    <col min="10505" max="10505" width="2.42578125" style="4" customWidth="1"/>
    <col min="10506" max="10507" width="3.5703125" style="4" customWidth="1"/>
    <col min="10508" max="10508" width="2.42578125" style="4" customWidth="1"/>
    <col min="10509" max="10510" width="3.5703125" style="4" customWidth="1"/>
    <col min="10511" max="10511" width="2.42578125" style="4" customWidth="1"/>
    <col min="10512" max="10513" width="3.5703125" style="4" customWidth="1"/>
    <col min="10514" max="10514" width="2.42578125" style="4" customWidth="1"/>
    <col min="10515" max="10516" width="3.5703125" style="4" customWidth="1"/>
    <col min="10517" max="10517" width="2.42578125" style="4" customWidth="1"/>
    <col min="10518" max="10519" width="3.5703125" style="4" customWidth="1"/>
    <col min="10520" max="10520" width="2.42578125" style="4" customWidth="1"/>
    <col min="10521" max="10522" width="3.5703125" style="4" customWidth="1"/>
    <col min="10523" max="10523" width="2.42578125" style="4" customWidth="1"/>
    <col min="10524" max="10525" width="3.5703125" style="4" customWidth="1"/>
    <col min="10526" max="10526" width="2.42578125" style="4" customWidth="1"/>
    <col min="10527" max="10527" width="3.5703125" style="4" customWidth="1"/>
    <col min="10528" max="10528" width="9.5703125" style="4" customWidth="1"/>
    <col min="10529" max="10538" width="3.570312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42578125" style="4" customWidth="1"/>
    <col min="10546" max="10546" width="10.42578125" style="4" customWidth="1"/>
    <col min="10547" max="10547" width="11.425781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5703125" style="4" customWidth="1"/>
    <col min="10755" max="10755" width="2.42578125" style="4" customWidth="1"/>
    <col min="10756" max="10757" width="3.5703125" style="4" customWidth="1"/>
    <col min="10758" max="10758" width="2.42578125" style="4" customWidth="1"/>
    <col min="10759" max="10760" width="3.5703125" style="4" customWidth="1"/>
    <col min="10761" max="10761" width="2.42578125" style="4" customWidth="1"/>
    <col min="10762" max="10763" width="3.5703125" style="4" customWidth="1"/>
    <col min="10764" max="10764" width="2.42578125" style="4" customWidth="1"/>
    <col min="10765" max="10766" width="3.5703125" style="4" customWidth="1"/>
    <col min="10767" max="10767" width="2.42578125" style="4" customWidth="1"/>
    <col min="10768" max="10769" width="3.5703125" style="4" customWidth="1"/>
    <col min="10770" max="10770" width="2.42578125" style="4" customWidth="1"/>
    <col min="10771" max="10772" width="3.5703125" style="4" customWidth="1"/>
    <col min="10773" max="10773" width="2.42578125" style="4" customWidth="1"/>
    <col min="10774" max="10775" width="3.5703125" style="4" customWidth="1"/>
    <col min="10776" max="10776" width="2.42578125" style="4" customWidth="1"/>
    <col min="10777" max="10778" width="3.5703125" style="4" customWidth="1"/>
    <col min="10779" max="10779" width="2.42578125" style="4" customWidth="1"/>
    <col min="10780" max="10781" width="3.5703125" style="4" customWidth="1"/>
    <col min="10782" max="10782" width="2.42578125" style="4" customWidth="1"/>
    <col min="10783" max="10783" width="3.5703125" style="4" customWidth="1"/>
    <col min="10784" max="10784" width="9.5703125" style="4" customWidth="1"/>
    <col min="10785" max="10794" width="3.570312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42578125" style="4" customWidth="1"/>
    <col min="10802" max="10802" width="10.42578125" style="4" customWidth="1"/>
    <col min="10803" max="10803" width="11.425781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5703125" style="4" customWidth="1"/>
    <col min="11011" max="11011" width="2.42578125" style="4" customWidth="1"/>
    <col min="11012" max="11013" width="3.5703125" style="4" customWidth="1"/>
    <col min="11014" max="11014" width="2.42578125" style="4" customWidth="1"/>
    <col min="11015" max="11016" width="3.5703125" style="4" customWidth="1"/>
    <col min="11017" max="11017" width="2.42578125" style="4" customWidth="1"/>
    <col min="11018" max="11019" width="3.5703125" style="4" customWidth="1"/>
    <col min="11020" max="11020" width="2.42578125" style="4" customWidth="1"/>
    <col min="11021" max="11022" width="3.5703125" style="4" customWidth="1"/>
    <col min="11023" max="11023" width="2.42578125" style="4" customWidth="1"/>
    <col min="11024" max="11025" width="3.5703125" style="4" customWidth="1"/>
    <col min="11026" max="11026" width="2.42578125" style="4" customWidth="1"/>
    <col min="11027" max="11028" width="3.5703125" style="4" customWidth="1"/>
    <col min="11029" max="11029" width="2.42578125" style="4" customWidth="1"/>
    <col min="11030" max="11031" width="3.5703125" style="4" customWidth="1"/>
    <col min="11032" max="11032" width="2.42578125" style="4" customWidth="1"/>
    <col min="11033" max="11034" width="3.5703125" style="4" customWidth="1"/>
    <col min="11035" max="11035" width="2.42578125" style="4" customWidth="1"/>
    <col min="11036" max="11037" width="3.5703125" style="4" customWidth="1"/>
    <col min="11038" max="11038" width="2.42578125" style="4" customWidth="1"/>
    <col min="11039" max="11039" width="3.5703125" style="4" customWidth="1"/>
    <col min="11040" max="11040" width="9.5703125" style="4" customWidth="1"/>
    <col min="11041" max="11050" width="3.570312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42578125" style="4" customWidth="1"/>
    <col min="11058" max="11058" width="10.42578125" style="4" customWidth="1"/>
    <col min="11059" max="11059" width="11.425781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5703125" style="4" customWidth="1"/>
    <col min="11267" max="11267" width="2.42578125" style="4" customWidth="1"/>
    <col min="11268" max="11269" width="3.5703125" style="4" customWidth="1"/>
    <col min="11270" max="11270" width="2.42578125" style="4" customWidth="1"/>
    <col min="11271" max="11272" width="3.5703125" style="4" customWidth="1"/>
    <col min="11273" max="11273" width="2.42578125" style="4" customWidth="1"/>
    <col min="11274" max="11275" width="3.5703125" style="4" customWidth="1"/>
    <col min="11276" max="11276" width="2.42578125" style="4" customWidth="1"/>
    <col min="11277" max="11278" width="3.5703125" style="4" customWidth="1"/>
    <col min="11279" max="11279" width="2.42578125" style="4" customWidth="1"/>
    <col min="11280" max="11281" width="3.5703125" style="4" customWidth="1"/>
    <col min="11282" max="11282" width="2.42578125" style="4" customWidth="1"/>
    <col min="11283" max="11284" width="3.5703125" style="4" customWidth="1"/>
    <col min="11285" max="11285" width="2.42578125" style="4" customWidth="1"/>
    <col min="11286" max="11287" width="3.5703125" style="4" customWidth="1"/>
    <col min="11288" max="11288" width="2.42578125" style="4" customWidth="1"/>
    <col min="11289" max="11290" width="3.5703125" style="4" customWidth="1"/>
    <col min="11291" max="11291" width="2.42578125" style="4" customWidth="1"/>
    <col min="11292" max="11293" width="3.5703125" style="4" customWidth="1"/>
    <col min="11294" max="11294" width="2.42578125" style="4" customWidth="1"/>
    <col min="11295" max="11295" width="3.5703125" style="4" customWidth="1"/>
    <col min="11296" max="11296" width="9.5703125" style="4" customWidth="1"/>
    <col min="11297" max="11306" width="3.570312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42578125" style="4" customWidth="1"/>
    <col min="11314" max="11314" width="10.42578125" style="4" customWidth="1"/>
    <col min="11315" max="11315" width="11.425781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5703125" style="4" customWidth="1"/>
    <col min="11523" max="11523" width="2.42578125" style="4" customWidth="1"/>
    <col min="11524" max="11525" width="3.5703125" style="4" customWidth="1"/>
    <col min="11526" max="11526" width="2.42578125" style="4" customWidth="1"/>
    <col min="11527" max="11528" width="3.5703125" style="4" customWidth="1"/>
    <col min="11529" max="11529" width="2.42578125" style="4" customWidth="1"/>
    <col min="11530" max="11531" width="3.5703125" style="4" customWidth="1"/>
    <col min="11532" max="11532" width="2.42578125" style="4" customWidth="1"/>
    <col min="11533" max="11534" width="3.5703125" style="4" customWidth="1"/>
    <col min="11535" max="11535" width="2.42578125" style="4" customWidth="1"/>
    <col min="11536" max="11537" width="3.5703125" style="4" customWidth="1"/>
    <col min="11538" max="11538" width="2.42578125" style="4" customWidth="1"/>
    <col min="11539" max="11540" width="3.5703125" style="4" customWidth="1"/>
    <col min="11541" max="11541" width="2.42578125" style="4" customWidth="1"/>
    <col min="11542" max="11543" width="3.5703125" style="4" customWidth="1"/>
    <col min="11544" max="11544" width="2.42578125" style="4" customWidth="1"/>
    <col min="11545" max="11546" width="3.5703125" style="4" customWidth="1"/>
    <col min="11547" max="11547" width="2.42578125" style="4" customWidth="1"/>
    <col min="11548" max="11549" width="3.5703125" style="4" customWidth="1"/>
    <col min="11550" max="11550" width="2.42578125" style="4" customWidth="1"/>
    <col min="11551" max="11551" width="3.5703125" style="4" customWidth="1"/>
    <col min="11552" max="11552" width="9.5703125" style="4" customWidth="1"/>
    <col min="11553" max="11562" width="3.570312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42578125" style="4" customWidth="1"/>
    <col min="11570" max="11570" width="10.42578125" style="4" customWidth="1"/>
    <col min="11571" max="11571" width="11.425781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5703125" style="4" customWidth="1"/>
    <col min="11779" max="11779" width="2.42578125" style="4" customWidth="1"/>
    <col min="11780" max="11781" width="3.5703125" style="4" customWidth="1"/>
    <col min="11782" max="11782" width="2.42578125" style="4" customWidth="1"/>
    <col min="11783" max="11784" width="3.5703125" style="4" customWidth="1"/>
    <col min="11785" max="11785" width="2.42578125" style="4" customWidth="1"/>
    <col min="11786" max="11787" width="3.5703125" style="4" customWidth="1"/>
    <col min="11788" max="11788" width="2.42578125" style="4" customWidth="1"/>
    <col min="11789" max="11790" width="3.5703125" style="4" customWidth="1"/>
    <col min="11791" max="11791" width="2.42578125" style="4" customWidth="1"/>
    <col min="11792" max="11793" width="3.5703125" style="4" customWidth="1"/>
    <col min="11794" max="11794" width="2.42578125" style="4" customWidth="1"/>
    <col min="11795" max="11796" width="3.5703125" style="4" customWidth="1"/>
    <col min="11797" max="11797" width="2.42578125" style="4" customWidth="1"/>
    <col min="11798" max="11799" width="3.5703125" style="4" customWidth="1"/>
    <col min="11800" max="11800" width="2.42578125" style="4" customWidth="1"/>
    <col min="11801" max="11802" width="3.5703125" style="4" customWidth="1"/>
    <col min="11803" max="11803" width="2.42578125" style="4" customWidth="1"/>
    <col min="11804" max="11805" width="3.5703125" style="4" customWidth="1"/>
    <col min="11806" max="11806" width="2.42578125" style="4" customWidth="1"/>
    <col min="11807" max="11807" width="3.5703125" style="4" customWidth="1"/>
    <col min="11808" max="11808" width="9.5703125" style="4" customWidth="1"/>
    <col min="11809" max="11818" width="3.570312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42578125" style="4" customWidth="1"/>
    <col min="11826" max="11826" width="10.42578125" style="4" customWidth="1"/>
    <col min="11827" max="11827" width="11.425781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5703125" style="4" customWidth="1"/>
    <col min="12035" max="12035" width="2.42578125" style="4" customWidth="1"/>
    <col min="12036" max="12037" width="3.5703125" style="4" customWidth="1"/>
    <col min="12038" max="12038" width="2.42578125" style="4" customWidth="1"/>
    <col min="12039" max="12040" width="3.5703125" style="4" customWidth="1"/>
    <col min="12041" max="12041" width="2.42578125" style="4" customWidth="1"/>
    <col min="12042" max="12043" width="3.5703125" style="4" customWidth="1"/>
    <col min="12044" max="12044" width="2.42578125" style="4" customWidth="1"/>
    <col min="12045" max="12046" width="3.5703125" style="4" customWidth="1"/>
    <col min="12047" max="12047" width="2.42578125" style="4" customWidth="1"/>
    <col min="12048" max="12049" width="3.5703125" style="4" customWidth="1"/>
    <col min="12050" max="12050" width="2.42578125" style="4" customWidth="1"/>
    <col min="12051" max="12052" width="3.5703125" style="4" customWidth="1"/>
    <col min="12053" max="12053" width="2.42578125" style="4" customWidth="1"/>
    <col min="12054" max="12055" width="3.5703125" style="4" customWidth="1"/>
    <col min="12056" max="12056" width="2.42578125" style="4" customWidth="1"/>
    <col min="12057" max="12058" width="3.5703125" style="4" customWidth="1"/>
    <col min="12059" max="12059" width="2.42578125" style="4" customWidth="1"/>
    <col min="12060" max="12061" width="3.5703125" style="4" customWidth="1"/>
    <col min="12062" max="12062" width="2.42578125" style="4" customWidth="1"/>
    <col min="12063" max="12063" width="3.5703125" style="4" customWidth="1"/>
    <col min="12064" max="12064" width="9.5703125" style="4" customWidth="1"/>
    <col min="12065" max="12074" width="3.570312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42578125" style="4" customWidth="1"/>
    <col min="12082" max="12082" width="10.42578125" style="4" customWidth="1"/>
    <col min="12083" max="12083" width="11.425781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5703125" style="4" customWidth="1"/>
    <col min="12291" max="12291" width="2.42578125" style="4" customWidth="1"/>
    <col min="12292" max="12293" width="3.5703125" style="4" customWidth="1"/>
    <col min="12294" max="12294" width="2.42578125" style="4" customWidth="1"/>
    <col min="12295" max="12296" width="3.5703125" style="4" customWidth="1"/>
    <col min="12297" max="12297" width="2.42578125" style="4" customWidth="1"/>
    <col min="12298" max="12299" width="3.5703125" style="4" customWidth="1"/>
    <col min="12300" max="12300" width="2.42578125" style="4" customWidth="1"/>
    <col min="12301" max="12302" width="3.5703125" style="4" customWidth="1"/>
    <col min="12303" max="12303" width="2.42578125" style="4" customWidth="1"/>
    <col min="12304" max="12305" width="3.5703125" style="4" customWidth="1"/>
    <col min="12306" max="12306" width="2.42578125" style="4" customWidth="1"/>
    <col min="12307" max="12308" width="3.5703125" style="4" customWidth="1"/>
    <col min="12309" max="12309" width="2.42578125" style="4" customWidth="1"/>
    <col min="12310" max="12311" width="3.5703125" style="4" customWidth="1"/>
    <col min="12312" max="12312" width="2.42578125" style="4" customWidth="1"/>
    <col min="12313" max="12314" width="3.5703125" style="4" customWidth="1"/>
    <col min="12315" max="12315" width="2.42578125" style="4" customWidth="1"/>
    <col min="12316" max="12317" width="3.5703125" style="4" customWidth="1"/>
    <col min="12318" max="12318" width="2.42578125" style="4" customWidth="1"/>
    <col min="12319" max="12319" width="3.5703125" style="4" customWidth="1"/>
    <col min="12320" max="12320" width="9.5703125" style="4" customWidth="1"/>
    <col min="12321" max="12330" width="3.570312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42578125" style="4" customWidth="1"/>
    <col min="12338" max="12338" width="10.42578125" style="4" customWidth="1"/>
    <col min="12339" max="12339" width="11.425781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5703125" style="4" customWidth="1"/>
    <col min="12547" max="12547" width="2.42578125" style="4" customWidth="1"/>
    <col min="12548" max="12549" width="3.5703125" style="4" customWidth="1"/>
    <col min="12550" max="12550" width="2.42578125" style="4" customWidth="1"/>
    <col min="12551" max="12552" width="3.5703125" style="4" customWidth="1"/>
    <col min="12553" max="12553" width="2.42578125" style="4" customWidth="1"/>
    <col min="12554" max="12555" width="3.5703125" style="4" customWidth="1"/>
    <col min="12556" max="12556" width="2.42578125" style="4" customWidth="1"/>
    <col min="12557" max="12558" width="3.5703125" style="4" customWidth="1"/>
    <col min="12559" max="12559" width="2.42578125" style="4" customWidth="1"/>
    <col min="12560" max="12561" width="3.5703125" style="4" customWidth="1"/>
    <col min="12562" max="12562" width="2.42578125" style="4" customWidth="1"/>
    <col min="12563" max="12564" width="3.5703125" style="4" customWidth="1"/>
    <col min="12565" max="12565" width="2.42578125" style="4" customWidth="1"/>
    <col min="12566" max="12567" width="3.5703125" style="4" customWidth="1"/>
    <col min="12568" max="12568" width="2.42578125" style="4" customWidth="1"/>
    <col min="12569" max="12570" width="3.5703125" style="4" customWidth="1"/>
    <col min="12571" max="12571" width="2.42578125" style="4" customWidth="1"/>
    <col min="12572" max="12573" width="3.5703125" style="4" customWidth="1"/>
    <col min="12574" max="12574" width="2.42578125" style="4" customWidth="1"/>
    <col min="12575" max="12575" width="3.5703125" style="4" customWidth="1"/>
    <col min="12576" max="12576" width="9.5703125" style="4" customWidth="1"/>
    <col min="12577" max="12586" width="3.570312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42578125" style="4" customWidth="1"/>
    <col min="12594" max="12594" width="10.42578125" style="4" customWidth="1"/>
    <col min="12595" max="12595" width="11.425781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5703125" style="4" customWidth="1"/>
    <col min="12803" max="12803" width="2.42578125" style="4" customWidth="1"/>
    <col min="12804" max="12805" width="3.5703125" style="4" customWidth="1"/>
    <col min="12806" max="12806" width="2.42578125" style="4" customWidth="1"/>
    <col min="12807" max="12808" width="3.5703125" style="4" customWidth="1"/>
    <col min="12809" max="12809" width="2.42578125" style="4" customWidth="1"/>
    <col min="12810" max="12811" width="3.5703125" style="4" customWidth="1"/>
    <col min="12812" max="12812" width="2.42578125" style="4" customWidth="1"/>
    <col min="12813" max="12814" width="3.5703125" style="4" customWidth="1"/>
    <col min="12815" max="12815" width="2.42578125" style="4" customWidth="1"/>
    <col min="12816" max="12817" width="3.5703125" style="4" customWidth="1"/>
    <col min="12818" max="12818" width="2.42578125" style="4" customWidth="1"/>
    <col min="12819" max="12820" width="3.5703125" style="4" customWidth="1"/>
    <col min="12821" max="12821" width="2.42578125" style="4" customWidth="1"/>
    <col min="12822" max="12823" width="3.5703125" style="4" customWidth="1"/>
    <col min="12824" max="12824" width="2.42578125" style="4" customWidth="1"/>
    <col min="12825" max="12826" width="3.5703125" style="4" customWidth="1"/>
    <col min="12827" max="12827" width="2.42578125" style="4" customWidth="1"/>
    <col min="12828" max="12829" width="3.5703125" style="4" customWidth="1"/>
    <col min="12830" max="12830" width="2.42578125" style="4" customWidth="1"/>
    <col min="12831" max="12831" width="3.5703125" style="4" customWidth="1"/>
    <col min="12832" max="12832" width="9.5703125" style="4" customWidth="1"/>
    <col min="12833" max="12842" width="3.570312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42578125" style="4" customWidth="1"/>
    <col min="12850" max="12850" width="10.42578125" style="4" customWidth="1"/>
    <col min="12851" max="12851" width="11.425781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5703125" style="4" customWidth="1"/>
    <col min="13059" max="13059" width="2.42578125" style="4" customWidth="1"/>
    <col min="13060" max="13061" width="3.5703125" style="4" customWidth="1"/>
    <col min="13062" max="13062" width="2.42578125" style="4" customWidth="1"/>
    <col min="13063" max="13064" width="3.5703125" style="4" customWidth="1"/>
    <col min="13065" max="13065" width="2.42578125" style="4" customWidth="1"/>
    <col min="13066" max="13067" width="3.5703125" style="4" customWidth="1"/>
    <col min="13068" max="13068" width="2.42578125" style="4" customWidth="1"/>
    <col min="13069" max="13070" width="3.5703125" style="4" customWidth="1"/>
    <col min="13071" max="13071" width="2.42578125" style="4" customWidth="1"/>
    <col min="13072" max="13073" width="3.5703125" style="4" customWidth="1"/>
    <col min="13074" max="13074" width="2.42578125" style="4" customWidth="1"/>
    <col min="13075" max="13076" width="3.5703125" style="4" customWidth="1"/>
    <col min="13077" max="13077" width="2.42578125" style="4" customWidth="1"/>
    <col min="13078" max="13079" width="3.5703125" style="4" customWidth="1"/>
    <col min="13080" max="13080" width="2.42578125" style="4" customWidth="1"/>
    <col min="13081" max="13082" width="3.5703125" style="4" customWidth="1"/>
    <col min="13083" max="13083" width="2.42578125" style="4" customWidth="1"/>
    <col min="13084" max="13085" width="3.5703125" style="4" customWidth="1"/>
    <col min="13086" max="13086" width="2.42578125" style="4" customWidth="1"/>
    <col min="13087" max="13087" width="3.5703125" style="4" customWidth="1"/>
    <col min="13088" max="13088" width="9.5703125" style="4" customWidth="1"/>
    <col min="13089" max="13098" width="3.570312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42578125" style="4" customWidth="1"/>
    <col min="13106" max="13106" width="10.42578125" style="4" customWidth="1"/>
    <col min="13107" max="13107" width="11.425781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5703125" style="4" customWidth="1"/>
    <col min="13315" max="13315" width="2.42578125" style="4" customWidth="1"/>
    <col min="13316" max="13317" width="3.5703125" style="4" customWidth="1"/>
    <col min="13318" max="13318" width="2.42578125" style="4" customWidth="1"/>
    <col min="13319" max="13320" width="3.5703125" style="4" customWidth="1"/>
    <col min="13321" max="13321" width="2.42578125" style="4" customWidth="1"/>
    <col min="13322" max="13323" width="3.5703125" style="4" customWidth="1"/>
    <col min="13324" max="13324" width="2.42578125" style="4" customWidth="1"/>
    <col min="13325" max="13326" width="3.5703125" style="4" customWidth="1"/>
    <col min="13327" max="13327" width="2.42578125" style="4" customWidth="1"/>
    <col min="13328" max="13329" width="3.5703125" style="4" customWidth="1"/>
    <col min="13330" max="13330" width="2.42578125" style="4" customWidth="1"/>
    <col min="13331" max="13332" width="3.5703125" style="4" customWidth="1"/>
    <col min="13333" max="13333" width="2.42578125" style="4" customWidth="1"/>
    <col min="13334" max="13335" width="3.5703125" style="4" customWidth="1"/>
    <col min="13336" max="13336" width="2.42578125" style="4" customWidth="1"/>
    <col min="13337" max="13338" width="3.5703125" style="4" customWidth="1"/>
    <col min="13339" max="13339" width="2.42578125" style="4" customWidth="1"/>
    <col min="13340" max="13341" width="3.5703125" style="4" customWidth="1"/>
    <col min="13342" max="13342" width="2.42578125" style="4" customWidth="1"/>
    <col min="13343" max="13343" width="3.5703125" style="4" customWidth="1"/>
    <col min="13344" max="13344" width="9.5703125" style="4" customWidth="1"/>
    <col min="13345" max="13354" width="3.570312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42578125" style="4" customWidth="1"/>
    <col min="13362" max="13362" width="10.42578125" style="4" customWidth="1"/>
    <col min="13363" max="13363" width="11.425781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5703125" style="4" customWidth="1"/>
    <col min="13571" max="13571" width="2.42578125" style="4" customWidth="1"/>
    <col min="13572" max="13573" width="3.5703125" style="4" customWidth="1"/>
    <col min="13574" max="13574" width="2.42578125" style="4" customWidth="1"/>
    <col min="13575" max="13576" width="3.5703125" style="4" customWidth="1"/>
    <col min="13577" max="13577" width="2.42578125" style="4" customWidth="1"/>
    <col min="13578" max="13579" width="3.5703125" style="4" customWidth="1"/>
    <col min="13580" max="13580" width="2.42578125" style="4" customWidth="1"/>
    <col min="13581" max="13582" width="3.5703125" style="4" customWidth="1"/>
    <col min="13583" max="13583" width="2.42578125" style="4" customWidth="1"/>
    <col min="13584" max="13585" width="3.5703125" style="4" customWidth="1"/>
    <col min="13586" max="13586" width="2.42578125" style="4" customWidth="1"/>
    <col min="13587" max="13588" width="3.5703125" style="4" customWidth="1"/>
    <col min="13589" max="13589" width="2.42578125" style="4" customWidth="1"/>
    <col min="13590" max="13591" width="3.5703125" style="4" customWidth="1"/>
    <col min="13592" max="13592" width="2.42578125" style="4" customWidth="1"/>
    <col min="13593" max="13594" width="3.5703125" style="4" customWidth="1"/>
    <col min="13595" max="13595" width="2.42578125" style="4" customWidth="1"/>
    <col min="13596" max="13597" width="3.5703125" style="4" customWidth="1"/>
    <col min="13598" max="13598" width="2.42578125" style="4" customWidth="1"/>
    <col min="13599" max="13599" width="3.5703125" style="4" customWidth="1"/>
    <col min="13600" max="13600" width="9.5703125" style="4" customWidth="1"/>
    <col min="13601" max="13610" width="3.570312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42578125" style="4" customWidth="1"/>
    <col min="13618" max="13618" width="10.42578125" style="4" customWidth="1"/>
    <col min="13619" max="13619" width="11.425781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5703125" style="4" customWidth="1"/>
    <col min="13827" max="13827" width="2.42578125" style="4" customWidth="1"/>
    <col min="13828" max="13829" width="3.5703125" style="4" customWidth="1"/>
    <col min="13830" max="13830" width="2.42578125" style="4" customWidth="1"/>
    <col min="13831" max="13832" width="3.5703125" style="4" customWidth="1"/>
    <col min="13833" max="13833" width="2.42578125" style="4" customWidth="1"/>
    <col min="13834" max="13835" width="3.5703125" style="4" customWidth="1"/>
    <col min="13836" max="13836" width="2.42578125" style="4" customWidth="1"/>
    <col min="13837" max="13838" width="3.5703125" style="4" customWidth="1"/>
    <col min="13839" max="13839" width="2.42578125" style="4" customWidth="1"/>
    <col min="13840" max="13841" width="3.5703125" style="4" customWidth="1"/>
    <col min="13842" max="13842" width="2.42578125" style="4" customWidth="1"/>
    <col min="13843" max="13844" width="3.5703125" style="4" customWidth="1"/>
    <col min="13845" max="13845" width="2.42578125" style="4" customWidth="1"/>
    <col min="13846" max="13847" width="3.5703125" style="4" customWidth="1"/>
    <col min="13848" max="13848" width="2.42578125" style="4" customWidth="1"/>
    <col min="13849" max="13850" width="3.5703125" style="4" customWidth="1"/>
    <col min="13851" max="13851" width="2.42578125" style="4" customWidth="1"/>
    <col min="13852" max="13853" width="3.5703125" style="4" customWidth="1"/>
    <col min="13854" max="13854" width="2.42578125" style="4" customWidth="1"/>
    <col min="13855" max="13855" width="3.5703125" style="4" customWidth="1"/>
    <col min="13856" max="13856" width="9.5703125" style="4" customWidth="1"/>
    <col min="13857" max="13866" width="3.570312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42578125" style="4" customWidth="1"/>
    <col min="13874" max="13874" width="10.42578125" style="4" customWidth="1"/>
    <col min="13875" max="13875" width="11.425781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5703125" style="4" customWidth="1"/>
    <col min="14083" max="14083" width="2.42578125" style="4" customWidth="1"/>
    <col min="14084" max="14085" width="3.5703125" style="4" customWidth="1"/>
    <col min="14086" max="14086" width="2.42578125" style="4" customWidth="1"/>
    <col min="14087" max="14088" width="3.5703125" style="4" customWidth="1"/>
    <col min="14089" max="14089" width="2.42578125" style="4" customWidth="1"/>
    <col min="14090" max="14091" width="3.5703125" style="4" customWidth="1"/>
    <col min="14092" max="14092" width="2.42578125" style="4" customWidth="1"/>
    <col min="14093" max="14094" width="3.5703125" style="4" customWidth="1"/>
    <col min="14095" max="14095" width="2.42578125" style="4" customWidth="1"/>
    <col min="14096" max="14097" width="3.5703125" style="4" customWidth="1"/>
    <col min="14098" max="14098" width="2.42578125" style="4" customWidth="1"/>
    <col min="14099" max="14100" width="3.5703125" style="4" customWidth="1"/>
    <col min="14101" max="14101" width="2.42578125" style="4" customWidth="1"/>
    <col min="14102" max="14103" width="3.5703125" style="4" customWidth="1"/>
    <col min="14104" max="14104" width="2.42578125" style="4" customWidth="1"/>
    <col min="14105" max="14106" width="3.5703125" style="4" customWidth="1"/>
    <col min="14107" max="14107" width="2.42578125" style="4" customWidth="1"/>
    <col min="14108" max="14109" width="3.5703125" style="4" customWidth="1"/>
    <col min="14110" max="14110" width="2.42578125" style="4" customWidth="1"/>
    <col min="14111" max="14111" width="3.5703125" style="4" customWidth="1"/>
    <col min="14112" max="14112" width="9.5703125" style="4" customWidth="1"/>
    <col min="14113" max="14122" width="3.570312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42578125" style="4" customWidth="1"/>
    <col min="14130" max="14130" width="10.42578125" style="4" customWidth="1"/>
    <col min="14131" max="14131" width="11.425781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5703125" style="4" customWidth="1"/>
    <col min="14339" max="14339" width="2.42578125" style="4" customWidth="1"/>
    <col min="14340" max="14341" width="3.5703125" style="4" customWidth="1"/>
    <col min="14342" max="14342" width="2.42578125" style="4" customWidth="1"/>
    <col min="14343" max="14344" width="3.5703125" style="4" customWidth="1"/>
    <col min="14345" max="14345" width="2.42578125" style="4" customWidth="1"/>
    <col min="14346" max="14347" width="3.5703125" style="4" customWidth="1"/>
    <col min="14348" max="14348" width="2.42578125" style="4" customWidth="1"/>
    <col min="14349" max="14350" width="3.5703125" style="4" customWidth="1"/>
    <col min="14351" max="14351" width="2.42578125" style="4" customWidth="1"/>
    <col min="14352" max="14353" width="3.5703125" style="4" customWidth="1"/>
    <col min="14354" max="14354" width="2.42578125" style="4" customWidth="1"/>
    <col min="14355" max="14356" width="3.5703125" style="4" customWidth="1"/>
    <col min="14357" max="14357" width="2.42578125" style="4" customWidth="1"/>
    <col min="14358" max="14359" width="3.5703125" style="4" customWidth="1"/>
    <col min="14360" max="14360" width="2.42578125" style="4" customWidth="1"/>
    <col min="14361" max="14362" width="3.5703125" style="4" customWidth="1"/>
    <col min="14363" max="14363" width="2.42578125" style="4" customWidth="1"/>
    <col min="14364" max="14365" width="3.5703125" style="4" customWidth="1"/>
    <col min="14366" max="14366" width="2.42578125" style="4" customWidth="1"/>
    <col min="14367" max="14367" width="3.5703125" style="4" customWidth="1"/>
    <col min="14368" max="14368" width="9.5703125" style="4" customWidth="1"/>
    <col min="14369" max="14378" width="3.570312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42578125" style="4" customWidth="1"/>
    <col min="14386" max="14386" width="10.42578125" style="4" customWidth="1"/>
    <col min="14387" max="14387" width="11.425781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5703125" style="4" customWidth="1"/>
    <col min="14595" max="14595" width="2.42578125" style="4" customWidth="1"/>
    <col min="14596" max="14597" width="3.5703125" style="4" customWidth="1"/>
    <col min="14598" max="14598" width="2.42578125" style="4" customWidth="1"/>
    <col min="14599" max="14600" width="3.5703125" style="4" customWidth="1"/>
    <col min="14601" max="14601" width="2.42578125" style="4" customWidth="1"/>
    <col min="14602" max="14603" width="3.5703125" style="4" customWidth="1"/>
    <col min="14604" max="14604" width="2.42578125" style="4" customWidth="1"/>
    <col min="14605" max="14606" width="3.5703125" style="4" customWidth="1"/>
    <col min="14607" max="14607" width="2.42578125" style="4" customWidth="1"/>
    <col min="14608" max="14609" width="3.5703125" style="4" customWidth="1"/>
    <col min="14610" max="14610" width="2.42578125" style="4" customWidth="1"/>
    <col min="14611" max="14612" width="3.5703125" style="4" customWidth="1"/>
    <col min="14613" max="14613" width="2.42578125" style="4" customWidth="1"/>
    <col min="14614" max="14615" width="3.5703125" style="4" customWidth="1"/>
    <col min="14616" max="14616" width="2.42578125" style="4" customWidth="1"/>
    <col min="14617" max="14618" width="3.5703125" style="4" customWidth="1"/>
    <col min="14619" max="14619" width="2.42578125" style="4" customWidth="1"/>
    <col min="14620" max="14621" width="3.5703125" style="4" customWidth="1"/>
    <col min="14622" max="14622" width="2.42578125" style="4" customWidth="1"/>
    <col min="14623" max="14623" width="3.5703125" style="4" customWidth="1"/>
    <col min="14624" max="14624" width="9.5703125" style="4" customWidth="1"/>
    <col min="14625" max="14634" width="3.570312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42578125" style="4" customWidth="1"/>
    <col min="14642" max="14642" width="10.42578125" style="4" customWidth="1"/>
    <col min="14643" max="14643" width="11.425781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5703125" style="4" customWidth="1"/>
    <col min="14851" max="14851" width="2.42578125" style="4" customWidth="1"/>
    <col min="14852" max="14853" width="3.5703125" style="4" customWidth="1"/>
    <col min="14854" max="14854" width="2.42578125" style="4" customWidth="1"/>
    <col min="14855" max="14856" width="3.5703125" style="4" customWidth="1"/>
    <col min="14857" max="14857" width="2.42578125" style="4" customWidth="1"/>
    <col min="14858" max="14859" width="3.5703125" style="4" customWidth="1"/>
    <col min="14860" max="14860" width="2.42578125" style="4" customWidth="1"/>
    <col min="14861" max="14862" width="3.5703125" style="4" customWidth="1"/>
    <col min="14863" max="14863" width="2.42578125" style="4" customWidth="1"/>
    <col min="14864" max="14865" width="3.5703125" style="4" customWidth="1"/>
    <col min="14866" max="14866" width="2.42578125" style="4" customWidth="1"/>
    <col min="14867" max="14868" width="3.5703125" style="4" customWidth="1"/>
    <col min="14869" max="14869" width="2.42578125" style="4" customWidth="1"/>
    <col min="14870" max="14871" width="3.5703125" style="4" customWidth="1"/>
    <col min="14872" max="14872" width="2.42578125" style="4" customWidth="1"/>
    <col min="14873" max="14874" width="3.5703125" style="4" customWidth="1"/>
    <col min="14875" max="14875" width="2.42578125" style="4" customWidth="1"/>
    <col min="14876" max="14877" width="3.5703125" style="4" customWidth="1"/>
    <col min="14878" max="14878" width="2.42578125" style="4" customWidth="1"/>
    <col min="14879" max="14879" width="3.5703125" style="4" customWidth="1"/>
    <col min="14880" max="14880" width="9.5703125" style="4" customWidth="1"/>
    <col min="14881" max="14890" width="3.570312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42578125" style="4" customWidth="1"/>
    <col min="14898" max="14898" width="10.42578125" style="4" customWidth="1"/>
    <col min="14899" max="14899" width="11.425781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5703125" style="4" customWidth="1"/>
    <col min="15107" max="15107" width="2.42578125" style="4" customWidth="1"/>
    <col min="15108" max="15109" width="3.5703125" style="4" customWidth="1"/>
    <col min="15110" max="15110" width="2.42578125" style="4" customWidth="1"/>
    <col min="15111" max="15112" width="3.5703125" style="4" customWidth="1"/>
    <col min="15113" max="15113" width="2.42578125" style="4" customWidth="1"/>
    <col min="15114" max="15115" width="3.5703125" style="4" customWidth="1"/>
    <col min="15116" max="15116" width="2.42578125" style="4" customWidth="1"/>
    <col min="15117" max="15118" width="3.5703125" style="4" customWidth="1"/>
    <col min="15119" max="15119" width="2.42578125" style="4" customWidth="1"/>
    <col min="15120" max="15121" width="3.5703125" style="4" customWidth="1"/>
    <col min="15122" max="15122" width="2.42578125" style="4" customWidth="1"/>
    <col min="15123" max="15124" width="3.5703125" style="4" customWidth="1"/>
    <col min="15125" max="15125" width="2.42578125" style="4" customWidth="1"/>
    <col min="15126" max="15127" width="3.5703125" style="4" customWidth="1"/>
    <col min="15128" max="15128" width="2.42578125" style="4" customWidth="1"/>
    <col min="15129" max="15130" width="3.5703125" style="4" customWidth="1"/>
    <col min="15131" max="15131" width="2.42578125" style="4" customWidth="1"/>
    <col min="15132" max="15133" width="3.5703125" style="4" customWidth="1"/>
    <col min="15134" max="15134" width="2.42578125" style="4" customWidth="1"/>
    <col min="15135" max="15135" width="3.5703125" style="4" customWidth="1"/>
    <col min="15136" max="15136" width="9.5703125" style="4" customWidth="1"/>
    <col min="15137" max="15146" width="3.570312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42578125" style="4" customWidth="1"/>
    <col min="15154" max="15154" width="10.42578125" style="4" customWidth="1"/>
    <col min="15155" max="15155" width="11.425781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5703125" style="4" customWidth="1"/>
    <col min="15363" max="15363" width="2.42578125" style="4" customWidth="1"/>
    <col min="15364" max="15365" width="3.5703125" style="4" customWidth="1"/>
    <col min="15366" max="15366" width="2.42578125" style="4" customWidth="1"/>
    <col min="15367" max="15368" width="3.5703125" style="4" customWidth="1"/>
    <col min="15369" max="15369" width="2.42578125" style="4" customWidth="1"/>
    <col min="15370" max="15371" width="3.5703125" style="4" customWidth="1"/>
    <col min="15372" max="15372" width="2.42578125" style="4" customWidth="1"/>
    <col min="15373" max="15374" width="3.5703125" style="4" customWidth="1"/>
    <col min="15375" max="15375" width="2.42578125" style="4" customWidth="1"/>
    <col min="15376" max="15377" width="3.5703125" style="4" customWidth="1"/>
    <col min="15378" max="15378" width="2.42578125" style="4" customWidth="1"/>
    <col min="15379" max="15380" width="3.5703125" style="4" customWidth="1"/>
    <col min="15381" max="15381" width="2.42578125" style="4" customWidth="1"/>
    <col min="15382" max="15383" width="3.5703125" style="4" customWidth="1"/>
    <col min="15384" max="15384" width="2.42578125" style="4" customWidth="1"/>
    <col min="15385" max="15386" width="3.5703125" style="4" customWidth="1"/>
    <col min="15387" max="15387" width="2.42578125" style="4" customWidth="1"/>
    <col min="15388" max="15389" width="3.5703125" style="4" customWidth="1"/>
    <col min="15390" max="15390" width="2.42578125" style="4" customWidth="1"/>
    <col min="15391" max="15391" width="3.5703125" style="4" customWidth="1"/>
    <col min="15392" max="15392" width="9.5703125" style="4" customWidth="1"/>
    <col min="15393" max="15402" width="3.570312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42578125" style="4" customWidth="1"/>
    <col min="15410" max="15410" width="10.42578125" style="4" customWidth="1"/>
    <col min="15411" max="15411" width="11.425781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5703125" style="4" customWidth="1"/>
    <col min="15619" max="15619" width="2.42578125" style="4" customWidth="1"/>
    <col min="15620" max="15621" width="3.5703125" style="4" customWidth="1"/>
    <col min="15622" max="15622" width="2.42578125" style="4" customWidth="1"/>
    <col min="15623" max="15624" width="3.5703125" style="4" customWidth="1"/>
    <col min="15625" max="15625" width="2.42578125" style="4" customWidth="1"/>
    <col min="15626" max="15627" width="3.5703125" style="4" customWidth="1"/>
    <col min="15628" max="15628" width="2.42578125" style="4" customWidth="1"/>
    <col min="15629" max="15630" width="3.5703125" style="4" customWidth="1"/>
    <col min="15631" max="15631" width="2.42578125" style="4" customWidth="1"/>
    <col min="15632" max="15633" width="3.5703125" style="4" customWidth="1"/>
    <col min="15634" max="15634" width="2.42578125" style="4" customWidth="1"/>
    <col min="15635" max="15636" width="3.5703125" style="4" customWidth="1"/>
    <col min="15637" max="15637" width="2.42578125" style="4" customWidth="1"/>
    <col min="15638" max="15639" width="3.5703125" style="4" customWidth="1"/>
    <col min="15640" max="15640" width="2.42578125" style="4" customWidth="1"/>
    <col min="15641" max="15642" width="3.5703125" style="4" customWidth="1"/>
    <col min="15643" max="15643" width="2.42578125" style="4" customWidth="1"/>
    <col min="15644" max="15645" width="3.5703125" style="4" customWidth="1"/>
    <col min="15646" max="15646" width="2.42578125" style="4" customWidth="1"/>
    <col min="15647" max="15647" width="3.5703125" style="4" customWidth="1"/>
    <col min="15648" max="15648" width="9.5703125" style="4" customWidth="1"/>
    <col min="15649" max="15658" width="3.570312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42578125" style="4" customWidth="1"/>
    <col min="15666" max="15666" width="10.42578125" style="4" customWidth="1"/>
    <col min="15667" max="15667" width="11.425781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5703125" style="4" customWidth="1"/>
    <col min="15875" max="15875" width="2.42578125" style="4" customWidth="1"/>
    <col min="15876" max="15877" width="3.5703125" style="4" customWidth="1"/>
    <col min="15878" max="15878" width="2.42578125" style="4" customWidth="1"/>
    <col min="15879" max="15880" width="3.5703125" style="4" customWidth="1"/>
    <col min="15881" max="15881" width="2.42578125" style="4" customWidth="1"/>
    <col min="15882" max="15883" width="3.5703125" style="4" customWidth="1"/>
    <col min="15884" max="15884" width="2.42578125" style="4" customWidth="1"/>
    <col min="15885" max="15886" width="3.5703125" style="4" customWidth="1"/>
    <col min="15887" max="15887" width="2.42578125" style="4" customWidth="1"/>
    <col min="15888" max="15889" width="3.5703125" style="4" customWidth="1"/>
    <col min="15890" max="15890" width="2.42578125" style="4" customWidth="1"/>
    <col min="15891" max="15892" width="3.5703125" style="4" customWidth="1"/>
    <col min="15893" max="15893" width="2.42578125" style="4" customWidth="1"/>
    <col min="15894" max="15895" width="3.5703125" style="4" customWidth="1"/>
    <col min="15896" max="15896" width="2.42578125" style="4" customWidth="1"/>
    <col min="15897" max="15898" width="3.5703125" style="4" customWidth="1"/>
    <col min="15899" max="15899" width="2.42578125" style="4" customWidth="1"/>
    <col min="15900" max="15901" width="3.5703125" style="4" customWidth="1"/>
    <col min="15902" max="15902" width="2.42578125" style="4" customWidth="1"/>
    <col min="15903" max="15903" width="3.5703125" style="4" customWidth="1"/>
    <col min="15904" max="15904" width="9.5703125" style="4" customWidth="1"/>
    <col min="15905" max="15914" width="3.570312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42578125" style="4" customWidth="1"/>
    <col min="15922" max="15922" width="10.42578125" style="4" customWidth="1"/>
    <col min="15923" max="15923" width="11.425781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5703125" style="4" customWidth="1"/>
    <col min="16131" max="16131" width="2.42578125" style="4" customWidth="1"/>
    <col min="16132" max="16133" width="3.5703125" style="4" customWidth="1"/>
    <col min="16134" max="16134" width="2.42578125" style="4" customWidth="1"/>
    <col min="16135" max="16136" width="3.5703125" style="4" customWidth="1"/>
    <col min="16137" max="16137" width="2.42578125" style="4" customWidth="1"/>
    <col min="16138" max="16139" width="3.5703125" style="4" customWidth="1"/>
    <col min="16140" max="16140" width="2.42578125" style="4" customWidth="1"/>
    <col min="16141" max="16142" width="3.5703125" style="4" customWidth="1"/>
    <col min="16143" max="16143" width="2.42578125" style="4" customWidth="1"/>
    <col min="16144" max="16145" width="3.5703125" style="4" customWidth="1"/>
    <col min="16146" max="16146" width="2.42578125" style="4" customWidth="1"/>
    <col min="16147" max="16148" width="3.5703125" style="4" customWidth="1"/>
    <col min="16149" max="16149" width="2.42578125" style="4" customWidth="1"/>
    <col min="16150" max="16151" width="3.5703125" style="4" customWidth="1"/>
    <col min="16152" max="16152" width="2.42578125" style="4" customWidth="1"/>
    <col min="16153" max="16154" width="3.5703125" style="4" customWidth="1"/>
    <col min="16155" max="16155" width="2.42578125" style="4" customWidth="1"/>
    <col min="16156" max="16157" width="3.5703125" style="4" customWidth="1"/>
    <col min="16158" max="16158" width="2.42578125" style="4" customWidth="1"/>
    <col min="16159" max="16159" width="3.5703125" style="4" customWidth="1"/>
    <col min="16160" max="16160" width="9.5703125" style="4" customWidth="1"/>
    <col min="16161" max="16170" width="3.570312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42578125" style="4" customWidth="1"/>
    <col min="16178" max="16178" width="10.42578125" style="4" customWidth="1"/>
    <col min="16179" max="16179" width="11.425781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3"/>
      <c r="AW1" s="194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265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 t="s">
        <v>266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267</v>
      </c>
      <c r="AV3" s="15" t="s">
        <v>268</v>
      </c>
      <c r="AW3" s="16">
        <f>VLOOKUP(AV3,Initial!G:K,5,FALSE)</f>
        <v>1809.8475028761886</v>
      </c>
      <c r="AX3" s="17">
        <f t="shared" ref="AX3:AX12" si="0">VLOOKUP(AU3,AT$79:AU$174,2,FALSE)</f>
        <v>1849.3640495575626</v>
      </c>
      <c r="AY3" s="18">
        <f t="shared" ref="AY3:AY12" si="1">IF(ISNA(VLOOKUP(AU3,AT$182:AU$234,2,FALSE)),AX3,VLOOKUP(AU3,AT$182:AU$234,2,FALSE))</f>
        <v>1842.3261282509975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26</v>
      </c>
      <c r="F4" s="210"/>
      <c r="G4" s="210"/>
      <c r="H4" s="210"/>
      <c r="I4" s="210"/>
      <c r="J4" s="210"/>
      <c r="K4" s="210"/>
      <c r="L4" s="210"/>
      <c r="M4" s="211"/>
      <c r="N4" s="206" t="s">
        <v>27</v>
      </c>
      <c r="O4" s="207"/>
      <c r="P4" s="207"/>
      <c r="Q4" s="208"/>
      <c r="R4" s="212" t="s">
        <v>28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29</v>
      </c>
      <c r="AC4" s="207"/>
      <c r="AD4" s="207"/>
      <c r="AE4" s="208"/>
      <c r="AF4" s="407">
        <v>42762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269</v>
      </c>
      <c r="AV4" s="15" t="s">
        <v>270</v>
      </c>
      <c r="AW4" s="16">
        <f>VLOOKUP(AV4,Initial!G:K,5,FALSE)</f>
        <v>1800</v>
      </c>
      <c r="AX4" s="20">
        <f t="shared" si="0"/>
        <v>1891.3497881492999</v>
      </c>
      <c r="AY4" s="21">
        <f t="shared" si="1"/>
        <v>1881.2483836659826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271</v>
      </c>
      <c r="AV5" s="15" t="s">
        <v>272</v>
      </c>
      <c r="AW5" s="16">
        <f>VLOOKUP(AV5,Initial!G:K,5,FALSE)</f>
        <v>1773.2758988569869</v>
      </c>
      <c r="AX5" s="20">
        <f t="shared" si="0"/>
        <v>1703.2366854565064</v>
      </c>
      <c r="AY5" s="21">
        <f t="shared" si="1"/>
        <v>1696.7559274545094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273</v>
      </c>
      <c r="AV6" s="15" t="s">
        <v>274</v>
      </c>
      <c r="AW6" s="16">
        <f>VLOOKUP(AV6,Initial!G:K,5,FALSE)</f>
        <v>1800</v>
      </c>
      <c r="AX6" s="20">
        <f t="shared" si="0"/>
        <v>1868.380243376394</v>
      </c>
      <c r="AY6" s="21">
        <f t="shared" si="1"/>
        <v>1890.7449469245469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Games Won</v>
      </c>
      <c r="M7" s="255"/>
      <c r="N7" s="255"/>
      <c r="O7" s="255"/>
      <c r="P7" s="255"/>
      <c r="Q7" s="256"/>
      <c r="R7" s="254" t="str">
        <f>IF($AK10=0,"Games Lost","Matches Lost")</f>
        <v>Games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275</v>
      </c>
      <c r="AV7" s="15" t="s">
        <v>276</v>
      </c>
      <c r="AW7" s="16">
        <f>VLOOKUP(AV7,Initial!G:K,5,FALSE)</f>
        <v>1748.8001298774316</v>
      </c>
      <c r="AX7" s="20">
        <f t="shared" si="0"/>
        <v>1692.0270354115453</v>
      </c>
      <c r="AY7" s="21">
        <f t="shared" si="1"/>
        <v>1685.4617602962937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SCWE14TALONS</v>
      </c>
      <c r="F8" s="233"/>
      <c r="G8" s="233"/>
      <c r="H8" s="233"/>
      <c r="I8" s="233"/>
      <c r="J8" s="233"/>
      <c r="K8" s="234"/>
      <c r="L8" s="235">
        <f>IF($AK10=0,AF64,AF46)</f>
        <v>6</v>
      </c>
      <c r="M8" s="236"/>
      <c r="N8" s="236"/>
      <c r="O8" s="236"/>
      <c r="P8" s="236"/>
      <c r="Q8" s="256"/>
      <c r="R8" s="235">
        <f>IF($AK10=0,AG64,AG46)</f>
        <v>2</v>
      </c>
      <c r="S8" s="236"/>
      <c r="T8" s="236"/>
      <c r="U8" s="236"/>
      <c r="V8" s="236"/>
      <c r="W8" s="235">
        <f>AQ24</f>
        <v>25</v>
      </c>
      <c r="X8" s="236"/>
      <c r="Y8" s="236"/>
      <c r="Z8" s="239">
        <f>IF(AF58&gt;0,(AQ24/AF58),0)</f>
        <v>0.12376237623762376</v>
      </c>
      <c r="AA8" s="240"/>
      <c r="AB8" s="240"/>
      <c r="AC8" s="262">
        <f>IF(AF72=0,0,(AF64/AF72))</f>
        <v>0.75</v>
      </c>
      <c r="AD8" s="263"/>
      <c r="AE8" s="264"/>
      <c r="AF8" s="268">
        <v>2</v>
      </c>
      <c r="AG8" s="268">
        <v>1</v>
      </c>
      <c r="AH8" s="270"/>
      <c r="AI8" s="271"/>
      <c r="AJ8" s="27"/>
      <c r="AK8" s="28">
        <v>10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277</v>
      </c>
      <c r="AV8" s="15" t="s">
        <v>278</v>
      </c>
      <c r="AW8" s="16">
        <f>VLOOKUP(AV8,Initial!G:K,5,FALSE)</f>
        <v>1746.3122871137466</v>
      </c>
      <c r="AX8" s="20">
        <f t="shared" si="0"/>
        <v>1755.0175598013802</v>
      </c>
      <c r="AY8" s="21">
        <f t="shared" si="1"/>
        <v>1746.2697448355425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fj4scwea2pm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5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279</v>
      </c>
      <c r="AV9" s="15" t="s">
        <v>280</v>
      </c>
      <c r="AW9" s="16">
        <f>VLOOKUP(AV9,Initial!G:K,5,FALSE)</f>
        <v>1733.1802264513806</v>
      </c>
      <c r="AX9" s="20">
        <f t="shared" si="0"/>
        <v>1654.9795718834444</v>
      </c>
      <c r="AY9" s="21">
        <f t="shared" si="1"/>
        <v>1654.9795718834444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TEV 14 LeAnn</v>
      </c>
      <c r="F10" s="233"/>
      <c r="G10" s="233"/>
      <c r="H10" s="233"/>
      <c r="I10" s="233"/>
      <c r="J10" s="233"/>
      <c r="K10" s="234"/>
      <c r="L10" s="235">
        <f>IF($AK10=0,AF65,AF47)</f>
        <v>7</v>
      </c>
      <c r="M10" s="236"/>
      <c r="N10" s="236"/>
      <c r="O10" s="236"/>
      <c r="P10" s="236"/>
      <c r="Q10" s="256"/>
      <c r="R10" s="235">
        <f>IF($AK10=0,AG65,AG47)</f>
        <v>1</v>
      </c>
      <c r="S10" s="236"/>
      <c r="T10" s="236"/>
      <c r="U10" s="236"/>
      <c r="V10" s="236"/>
      <c r="W10" s="235">
        <f>AQ25</f>
        <v>34</v>
      </c>
      <c r="X10" s="236"/>
      <c r="Y10" s="236"/>
      <c r="Z10" s="239">
        <f>IF(AF59&gt;0,(AQ25/AF59),0)</f>
        <v>0.16748768472906403</v>
      </c>
      <c r="AA10" s="240"/>
      <c r="AB10" s="240"/>
      <c r="AC10" s="262">
        <f>IF(AF73=0,0,(AF65/AF73))</f>
        <v>0.875</v>
      </c>
      <c r="AD10" s="263"/>
      <c r="AE10" s="264"/>
      <c r="AF10" s="268">
        <v>1</v>
      </c>
      <c r="AG10" s="268">
        <v>1</v>
      </c>
      <c r="AH10" s="270"/>
      <c r="AI10" s="271"/>
      <c r="AJ10" s="27"/>
      <c r="AK10" s="28">
        <v>0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281</v>
      </c>
      <c r="AV10" s="15" t="s">
        <v>282</v>
      </c>
      <c r="AW10" s="16">
        <f>VLOOKUP(AV10,Initial!G:K,5,FALSE)</f>
        <v>1729.7293688033053</v>
      </c>
      <c r="AX10" s="20">
        <f t="shared" si="0"/>
        <v>1770.0273105855756</v>
      </c>
      <c r="AY10" s="21">
        <f t="shared" si="1"/>
        <v>1791.8211586686618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fj4triex2so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5" t="s">
        <v>283</v>
      </c>
      <c r="AV11" s="15" t="s">
        <v>284</v>
      </c>
      <c r="AW11" s="16">
        <f>VLOOKUP(AV11,Initial!G:K,5,FALSE)</f>
        <v>1705.4420103544176</v>
      </c>
      <c r="AX11" s="20">
        <f t="shared" si="0"/>
        <v>1614.0203729802658</v>
      </c>
      <c r="AY11" s="21">
        <f t="shared" si="1"/>
        <v>1614.0203729802658</v>
      </c>
    </row>
    <row r="12" spans="1:53" ht="18.75" customHeight="1" thickBot="1" x14ac:dyDescent="0.25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CSRA Heat 14 White</v>
      </c>
      <c r="F12" s="233"/>
      <c r="G12" s="233"/>
      <c r="H12" s="233"/>
      <c r="I12" s="233"/>
      <c r="J12" s="233"/>
      <c r="K12" s="234"/>
      <c r="L12" s="235">
        <f>IF($AK10=0,AF66,AF48)</f>
        <v>2</v>
      </c>
      <c r="M12" s="236"/>
      <c r="N12" s="236"/>
      <c r="O12" s="236"/>
      <c r="P12" s="236"/>
      <c r="Q12" s="256"/>
      <c r="R12" s="235">
        <f>IF($AK10=0,AG66,AG48)</f>
        <v>6</v>
      </c>
      <c r="S12" s="236"/>
      <c r="T12" s="236"/>
      <c r="U12" s="236"/>
      <c r="V12" s="236"/>
      <c r="W12" s="235">
        <f>AQ26</f>
        <v>-35</v>
      </c>
      <c r="X12" s="236"/>
      <c r="Y12" s="236"/>
      <c r="Z12" s="239">
        <f>IF(AF60&gt;0,(AQ26/AF60),0)</f>
        <v>-0.17499999999999999</v>
      </c>
      <c r="AA12" s="240"/>
      <c r="AB12" s="240"/>
      <c r="AC12" s="262">
        <f>IF(AF74=0,0,(AF66/AF74))</f>
        <v>0.25</v>
      </c>
      <c r="AD12" s="263"/>
      <c r="AE12" s="264"/>
      <c r="AF12" s="268">
        <v>4</v>
      </c>
      <c r="AG12" s="268">
        <v>1</v>
      </c>
      <c r="AH12" s="270"/>
      <c r="AI12" s="271"/>
      <c r="AJ12" s="31"/>
      <c r="AK12" s="28">
        <v>8</v>
      </c>
      <c r="AL12" s="32" t="s">
        <v>61</v>
      </c>
      <c r="AM12" s="29"/>
      <c r="AN12" s="29"/>
      <c r="AO12" s="29"/>
      <c r="AP12" s="29"/>
      <c r="AQ12" s="29"/>
      <c r="AR12" s="30"/>
      <c r="AT12" s="33">
        <v>10</v>
      </c>
      <c r="AU12" s="15" t="s">
        <v>285</v>
      </c>
      <c r="AV12" s="15" t="s">
        <v>286</v>
      </c>
      <c r="AW12" s="16">
        <f>VLOOKUP(AV12,Initial!G:K,5,FALSE)</f>
        <v>1694.4816920998894</v>
      </c>
      <c r="AX12" s="34">
        <f t="shared" si="0"/>
        <v>1742.6664992313727</v>
      </c>
      <c r="AY12" s="35">
        <f t="shared" si="1"/>
        <v>1737.4411214731022</v>
      </c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fj4csrah5pm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39" t="s">
        <v>64</v>
      </c>
      <c r="AU13" s="340"/>
      <c r="AV13" s="340"/>
      <c r="AW13" s="340"/>
      <c r="AX13" s="340"/>
      <c r="AY13" s="341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Emerald City 14-1</v>
      </c>
      <c r="F14" s="233"/>
      <c r="G14" s="233"/>
      <c r="H14" s="233"/>
      <c r="I14" s="233"/>
      <c r="J14" s="233"/>
      <c r="K14" s="234"/>
      <c r="L14" s="235">
        <f>IF($AK10=0,AF67,AF49)</f>
        <v>5</v>
      </c>
      <c r="M14" s="236"/>
      <c r="N14" s="236"/>
      <c r="O14" s="236"/>
      <c r="P14" s="236"/>
      <c r="Q14" s="256"/>
      <c r="R14" s="235">
        <f>IF($AK10=0,AG67,AG49)</f>
        <v>3</v>
      </c>
      <c r="S14" s="236"/>
      <c r="T14" s="236"/>
      <c r="U14" s="236"/>
      <c r="V14" s="236"/>
      <c r="W14" s="235">
        <f>AQ27</f>
        <v>26</v>
      </c>
      <c r="X14" s="236"/>
      <c r="Y14" s="236"/>
      <c r="Z14" s="239">
        <f>IF(AF61&gt;0,(AQ27/AF61),0)</f>
        <v>0.12807881773399016</v>
      </c>
      <c r="AA14" s="240"/>
      <c r="AB14" s="240"/>
      <c r="AC14" s="262">
        <f>IF(AF75=0,0,(AF67/AF75))</f>
        <v>0.625</v>
      </c>
      <c r="AD14" s="263"/>
      <c r="AE14" s="264"/>
      <c r="AF14" s="268">
        <v>3</v>
      </c>
      <c r="AG14" s="268">
        <v>1</v>
      </c>
      <c r="AH14" s="270"/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42"/>
      <c r="AU14" s="343"/>
      <c r="AV14" s="343"/>
      <c r="AW14" s="343"/>
      <c r="AX14" s="343"/>
      <c r="AY14" s="344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fj4ecity1pm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  <c r="AW15" s="97"/>
      <c r="AX15" s="97"/>
      <c r="AY15" s="97"/>
    </row>
    <row r="16" spans="1:53" ht="18.75" customHeight="1" thickBot="1" x14ac:dyDescent="0.25">
      <c r="A16" s="227" t="str">
        <f>IF($AK9&gt;4,"5","")</f>
        <v>5</v>
      </c>
      <c r="B16" s="286" t="s">
        <v>10</v>
      </c>
      <c r="C16" s="287"/>
      <c r="D16" s="287"/>
      <c r="E16" s="232" t="str">
        <f>AU11</f>
        <v>Sumter VBC 14</v>
      </c>
      <c r="F16" s="233"/>
      <c r="G16" s="233"/>
      <c r="H16" s="233"/>
      <c r="I16" s="233"/>
      <c r="J16" s="233"/>
      <c r="K16" s="234"/>
      <c r="L16" s="235">
        <f>IF($AK10=0,AF68,AF50)</f>
        <v>0</v>
      </c>
      <c r="M16" s="236"/>
      <c r="N16" s="236"/>
      <c r="O16" s="236"/>
      <c r="P16" s="236"/>
      <c r="Q16" s="256"/>
      <c r="R16" s="235">
        <f>IF($AK10=0,AG68,AG50)</f>
        <v>8</v>
      </c>
      <c r="S16" s="236"/>
      <c r="T16" s="236"/>
      <c r="U16" s="236"/>
      <c r="V16" s="236"/>
      <c r="W16" s="235">
        <f>AQ28</f>
        <v>-50</v>
      </c>
      <c r="X16" s="236"/>
      <c r="Y16" s="236"/>
      <c r="Z16" s="239">
        <f>IF(AF62&gt;0,(AQ28/AF62),0)</f>
        <v>-0.25</v>
      </c>
      <c r="AA16" s="240"/>
      <c r="AB16" s="240"/>
      <c r="AC16" s="262">
        <f>IF(AF76=0,0,(AF68/AF76))</f>
        <v>0</v>
      </c>
      <c r="AD16" s="263"/>
      <c r="AE16" s="264"/>
      <c r="AF16" s="268">
        <v>5</v>
      </c>
      <c r="AG16" s="268">
        <v>1</v>
      </c>
      <c r="AH16" s="270"/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T16" s="39"/>
      <c r="AU16" s="97"/>
      <c r="AV16" s="97"/>
      <c r="AW16" s="97"/>
      <c r="AX16" s="97"/>
      <c r="AY16" s="97"/>
    </row>
    <row r="17" spans="1:51" ht="18.75" customHeight="1" thickBot="1" x14ac:dyDescent="0.25">
      <c r="A17" s="228"/>
      <c r="B17" s="296" t="s">
        <v>11</v>
      </c>
      <c r="C17" s="297"/>
      <c r="D17" s="297"/>
      <c r="E17" s="410" t="str">
        <f>AV11</f>
        <v>fj4sumtr1pm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T17" s="39"/>
      <c r="AU17" s="15"/>
      <c r="AV17" s="15"/>
      <c r="AW17" s="97"/>
      <c r="AX17" s="97"/>
      <c r="AY17" s="97"/>
    </row>
    <row r="18" spans="1:51" ht="21" customHeight="1" thickTop="1" thickBot="1" x14ac:dyDescent="0.25">
      <c r="A18" s="40"/>
      <c r="B18" s="305" t="s">
        <v>65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T18" s="39"/>
      <c r="AU18" s="15"/>
      <c r="AV18" s="15"/>
      <c r="AW18" s="4"/>
    </row>
    <row r="19" spans="1:51" ht="13.5" thickTop="1" x14ac:dyDescent="0.2">
      <c r="A19" s="4" t="s">
        <v>66</v>
      </c>
      <c r="B19" s="308">
        <v>0.35416666666666669</v>
      </c>
      <c r="C19" s="309"/>
      <c r="D19" s="310"/>
      <c r="E19" s="308">
        <v>0.38541666666666669</v>
      </c>
      <c r="F19" s="309"/>
      <c r="G19" s="310"/>
      <c r="H19" s="308">
        <v>0.41666666666666669</v>
      </c>
      <c r="I19" s="309"/>
      <c r="J19" s="310"/>
      <c r="K19" s="308">
        <v>0.44791666666666669</v>
      </c>
      <c r="L19" s="309"/>
      <c r="M19" s="310"/>
      <c r="N19" s="308">
        <v>0.47916666666666669</v>
      </c>
      <c r="O19" s="309"/>
      <c r="P19" s="310"/>
      <c r="Q19" s="308">
        <v>0.51041666666666663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T19" s="39"/>
      <c r="AU19" s="97"/>
      <c r="AV19" s="97"/>
      <c r="AW19" s="4"/>
    </row>
    <row r="20" spans="1:51" x14ac:dyDescent="0.2">
      <c r="A20" s="41" t="s">
        <v>68</v>
      </c>
      <c r="B20" s="319">
        <v>0.35416666666666669</v>
      </c>
      <c r="C20" s="320"/>
      <c r="D20" s="321"/>
      <c r="E20" s="319">
        <v>0.38541666666666669</v>
      </c>
      <c r="F20" s="320"/>
      <c r="G20" s="321"/>
      <c r="H20" s="319">
        <v>0.43333333333333335</v>
      </c>
      <c r="I20" s="320"/>
      <c r="J20" s="321"/>
      <c r="K20" s="319">
        <v>0.4513888888888889</v>
      </c>
      <c r="L20" s="320"/>
      <c r="M20" s="321"/>
      <c r="N20" s="319"/>
      <c r="O20" s="320"/>
      <c r="P20" s="321"/>
      <c r="Q20" s="319"/>
      <c r="R20" s="320"/>
      <c r="S20" s="321"/>
      <c r="T20" s="319">
        <v>4.1666666666666664E-2</v>
      </c>
      <c r="U20" s="320"/>
      <c r="V20" s="321"/>
      <c r="W20" s="319">
        <v>7.2916666666666671E-2</v>
      </c>
      <c r="X20" s="320"/>
      <c r="Y20" s="321"/>
      <c r="Z20" s="319">
        <v>0.10416666666666667</v>
      </c>
      <c r="AA20" s="320"/>
      <c r="AB20" s="321"/>
      <c r="AC20" s="319">
        <v>0.13541666666666666</v>
      </c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T20" s="39"/>
      <c r="AU20" s="97"/>
      <c r="AV20" s="97"/>
      <c r="AW20" s="4"/>
    </row>
    <row r="21" spans="1:51" x14ac:dyDescent="0.2">
      <c r="A21" s="41" t="s">
        <v>69</v>
      </c>
      <c r="B21" s="319">
        <v>0.37222222222222223</v>
      </c>
      <c r="C21" s="320"/>
      <c r="D21" s="321"/>
      <c r="E21" s="319">
        <v>0.4152777777777778</v>
      </c>
      <c r="F21" s="320"/>
      <c r="G21" s="321"/>
      <c r="H21" s="319">
        <v>0.44444444444444442</v>
      </c>
      <c r="I21" s="320"/>
      <c r="J21" s="321"/>
      <c r="K21" s="319">
        <v>0.48333333333333334</v>
      </c>
      <c r="L21" s="320"/>
      <c r="M21" s="321"/>
      <c r="N21" s="319"/>
      <c r="O21" s="320"/>
      <c r="P21" s="321"/>
      <c r="Q21" s="319"/>
      <c r="R21" s="320"/>
      <c r="S21" s="321"/>
      <c r="T21" s="319">
        <v>7.6388888888888895E-2</v>
      </c>
      <c r="U21" s="320"/>
      <c r="V21" s="321"/>
      <c r="W21" s="319">
        <v>0.10416666666666667</v>
      </c>
      <c r="X21" s="320"/>
      <c r="Y21" s="321"/>
      <c r="Z21" s="319">
        <v>0.13819444444444443</v>
      </c>
      <c r="AA21" s="320"/>
      <c r="AB21" s="321"/>
      <c r="AC21" s="319">
        <v>0.15902777777777777</v>
      </c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T21" s="6"/>
      <c r="AU21" s="6"/>
      <c r="AV21" s="6"/>
      <c r="AW21" s="4"/>
    </row>
    <row r="22" spans="1:51" ht="13.5" thickBot="1" x14ac:dyDescent="0.25">
      <c r="A22" s="7"/>
      <c r="B22" s="322" t="s">
        <v>70</v>
      </c>
      <c r="C22" s="323"/>
      <c r="D22" s="324"/>
      <c r="E22" s="322" t="str">
        <f>IF($AK8&gt;1,"Match 2","")</f>
        <v>Match 2</v>
      </c>
      <c r="F22" s="323"/>
      <c r="G22" s="324"/>
      <c r="H22" s="322" t="str">
        <f>IF($AK8&gt;2,"Match 3","")</f>
        <v>Match 3</v>
      </c>
      <c r="I22" s="323"/>
      <c r="J22" s="324"/>
      <c r="K22" s="322" t="str">
        <f>IF($AK8&gt;3,"Match 4","")</f>
        <v>Match 4</v>
      </c>
      <c r="L22" s="323"/>
      <c r="M22" s="324"/>
      <c r="N22" s="322" t="str">
        <f>IF($AK8&gt;4,"Match 5","")</f>
        <v>Match 5</v>
      </c>
      <c r="O22" s="323"/>
      <c r="P22" s="324"/>
      <c r="Q22" s="322" t="str">
        <f>IF($AK8&gt;5,"Match 6","")</f>
        <v>Match 6</v>
      </c>
      <c r="R22" s="323"/>
      <c r="S22" s="324"/>
      <c r="T22" s="322" t="str">
        <f>IF($AK8&gt;6,"Match 7","")</f>
        <v>Match 7</v>
      </c>
      <c r="U22" s="323"/>
      <c r="V22" s="324"/>
      <c r="W22" s="322" t="str">
        <f>IF($AK8&gt;7,"Match 8","")</f>
        <v>Match 8</v>
      </c>
      <c r="X22" s="323"/>
      <c r="Y22" s="324"/>
      <c r="Z22" s="322" t="str">
        <f>IF($AK8&gt;8,"Match 9","")</f>
        <v>Match 9</v>
      </c>
      <c r="AA22" s="323"/>
      <c r="AB22" s="324"/>
      <c r="AC22" s="322" t="str">
        <f>IF($AK8&gt;9,"Match 10","")</f>
        <v>Match 10</v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T22" s="39"/>
      <c r="AU22" s="97"/>
      <c r="AV22" s="97"/>
      <c r="AW22" s="4"/>
    </row>
    <row r="23" spans="1:51" ht="15.75" x14ac:dyDescent="0.25">
      <c r="A23" s="7"/>
      <c r="B23" s="325" t="s">
        <v>71</v>
      </c>
      <c r="C23" s="326"/>
      <c r="D23" s="327"/>
      <c r="E23" s="325" t="s">
        <v>72</v>
      </c>
      <c r="F23" s="326"/>
      <c r="G23" s="327"/>
      <c r="H23" s="325" t="s">
        <v>73</v>
      </c>
      <c r="I23" s="326"/>
      <c r="J23" s="327"/>
      <c r="K23" s="325" t="s">
        <v>74</v>
      </c>
      <c r="L23" s="326"/>
      <c r="M23" s="327"/>
      <c r="N23" s="325" t="s">
        <v>75</v>
      </c>
      <c r="O23" s="326"/>
      <c r="P23" s="327"/>
      <c r="Q23" s="325" t="s">
        <v>73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74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9"/>
      <c r="AU23" s="97"/>
      <c r="AV23" s="97"/>
      <c r="AW23" s="97"/>
      <c r="AX23" s="97"/>
      <c r="AY23" s="97"/>
    </row>
    <row r="24" spans="1:51" ht="15.75" x14ac:dyDescent="0.25">
      <c r="A24" s="7"/>
      <c r="B24" s="45">
        <v>2</v>
      </c>
      <c r="C24" s="46" t="s">
        <v>78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2" t="str">
        <f>IF($AK9&gt;0,"Team 1","")</f>
        <v>Team 1</v>
      </c>
      <c r="AG24" s="48" t="str">
        <f>IF($AK9&lt;1,"",IF($AK8&lt;1,"",IF(B24=1,B30-D30,IF(D24=1,D30-B30,""))))</f>
        <v/>
      </c>
      <c r="AH24" s="48">
        <f>IF($AK9&lt;1,"",IF($AK8&lt;2,"",IF(E24=1,E30-G30,IF(G24=1,G30-E30,""))))</f>
        <v>1</v>
      </c>
      <c r="AI24" s="48" t="str">
        <f>IF($AK9&lt;1,"",IF($AK8&lt;3,"",IF(H24=1,H30-J30,IF(J24=1,J30-H30,""))))</f>
        <v/>
      </c>
      <c r="AJ24" s="48" t="str">
        <f>IF($AK9&lt;1,"",IF($AK8&lt;4,"",IF(K24=1,K30-M30,IF(M24=1,M30-K30,""))))</f>
        <v/>
      </c>
      <c r="AK24" s="48">
        <f>IF($AK9&lt;1,"",IF($AK8&lt;5,"",IF(N24=1,N30-P30,IF(P24=1,P30-N30,""))))</f>
        <v>14</v>
      </c>
      <c r="AL24" s="48" t="str">
        <f>IF($AK9&lt;1,"",IF($AK8&lt;6,"",IF(Q24=1,Q30-S30,IF(S24=1,S30-Q30,""))))</f>
        <v/>
      </c>
      <c r="AM24" s="48" t="str">
        <f>IF($AK9&lt;1,"",IF($AK8&lt;7,"",IF(T24=1,T30-V30,IF(V24=1,V30-T30,""))))</f>
        <v/>
      </c>
      <c r="AN24" s="48">
        <f>IF($AK9&lt;1,"",IF($AK8&lt;8,"",IF(W24=1,W30-Y30,IF(Y24=1,Y30-W30,""))))</f>
        <v>10</v>
      </c>
      <c r="AO24" s="48" t="str">
        <f>IF($AK9&lt;1,"",IF($AK8&lt;9,"",IF(Z24=1,Z30-AB30,IF(AB24=1,AB30-Z30,""))))</f>
        <v/>
      </c>
      <c r="AP24" s="48">
        <f>IF($AK9&lt;1,"",IF($AK8&lt;10,"",IF(AC24=1,AC30-AE30,IF(AE24=1,AE30-AC30,""))))</f>
        <v>0</v>
      </c>
      <c r="AQ24" s="44">
        <f>SUM(AG24:AP24)</f>
        <v>25</v>
      </c>
      <c r="AT24" s="39"/>
      <c r="AU24" s="97"/>
      <c r="AV24" s="97"/>
      <c r="AW24" s="97"/>
      <c r="AX24" s="97"/>
      <c r="AY24" s="97"/>
    </row>
    <row r="25" spans="1:51" ht="15" x14ac:dyDescent="0.2">
      <c r="A25" s="4" t="s">
        <v>79</v>
      </c>
      <c r="B25" s="49">
        <v>25</v>
      </c>
      <c r="C25" s="50" t="s">
        <v>80</v>
      </c>
      <c r="D25" s="51">
        <v>17</v>
      </c>
      <c r="E25" s="49">
        <v>24</v>
      </c>
      <c r="F25" s="50" t="str">
        <f>IF($AK8&gt;1,"/","")</f>
        <v>/</v>
      </c>
      <c r="G25" s="51">
        <v>26</v>
      </c>
      <c r="H25" s="49">
        <v>25</v>
      </c>
      <c r="I25" s="50" t="str">
        <f>IF($AK8&gt;2,"/","")</f>
        <v>/</v>
      </c>
      <c r="J25" s="51">
        <v>19</v>
      </c>
      <c r="K25" s="49">
        <v>27</v>
      </c>
      <c r="L25" s="50" t="str">
        <f>IF($AK8&gt;3,"/","")</f>
        <v>/</v>
      </c>
      <c r="M25" s="51">
        <v>26</v>
      </c>
      <c r="N25" s="49">
        <v>25</v>
      </c>
      <c r="O25" s="50" t="str">
        <f>IF($AK8&gt;4,"/","")</f>
        <v>/</v>
      </c>
      <c r="P25" s="51">
        <v>18</v>
      </c>
      <c r="Q25" s="49">
        <v>25</v>
      </c>
      <c r="R25" s="50" t="str">
        <f>IF($AK8&gt;5,"/","")</f>
        <v>/</v>
      </c>
      <c r="S25" s="51">
        <v>20</v>
      </c>
      <c r="T25" s="49">
        <v>25</v>
      </c>
      <c r="U25" s="50" t="str">
        <f>IF($AK8&gt;6,"/","")</f>
        <v>/</v>
      </c>
      <c r="V25" s="51">
        <v>15</v>
      </c>
      <c r="W25" s="49">
        <v>25</v>
      </c>
      <c r="X25" s="50" t="str">
        <f>IF($AK8&gt;7,"/","")</f>
        <v>/</v>
      </c>
      <c r="Y25" s="51">
        <v>18</v>
      </c>
      <c r="Z25" s="49">
        <v>18</v>
      </c>
      <c r="AA25" s="50" t="str">
        <f>IF($AK8&gt;8,"/","")</f>
        <v>/</v>
      </c>
      <c r="AB25" s="51">
        <v>25</v>
      </c>
      <c r="AC25" s="49">
        <v>23</v>
      </c>
      <c r="AD25" s="50" t="str">
        <f>IF($AK8&gt;9,"/","")</f>
        <v>/</v>
      </c>
      <c r="AE25" s="51">
        <v>25</v>
      </c>
      <c r="AF25" s="42" t="str">
        <f>IF($AK9&gt;1,"Team 2","")</f>
        <v>Team 2</v>
      </c>
      <c r="AG25" s="48">
        <f>IF($AK9&lt;2,"",IF($AK8&lt;1,"",IF(B24=2,B30-D30,IF(D24=2,D30-B30,""))))</f>
        <v>17</v>
      </c>
      <c r="AH25" s="48" t="str">
        <f>IF($AK9&lt;2,"",IF($AK8&lt;2,"",IF(E24=2,E30-G30,IF(G24=2,G30-E30,""))))</f>
        <v/>
      </c>
      <c r="AI25" s="48" t="str">
        <f>IF($AK9&lt;2,"",IF($AK8&lt;3,"",IF(H24=2,H30-J30,IF(J24=2,J30-H30,""))))</f>
        <v/>
      </c>
      <c r="AJ25" s="48">
        <f>IF($AK9&lt;2,"",IF($AK8&lt;4,"",IF(K24=2,K30-M30,IF(M24=2,M30-K30,""))))</f>
        <v>3</v>
      </c>
      <c r="AK25" s="48" t="str">
        <f>IF($AK9&lt;2,"",IF($AK8&lt;5,"",IF(N24=2,N30-P30,IF(P24=2,P30-N30,""))))</f>
        <v/>
      </c>
      <c r="AL25" s="48" t="str">
        <f>IF($AK9&lt;2,"",IF($AK8&lt;6,"",IF(Q24=2,Q30-S30,IF(S24=2,S30-Q30,""))))</f>
        <v/>
      </c>
      <c r="AM25" s="48">
        <f>IF($AK9&lt;2,"",IF($AK8&lt;7,"",IF(T24=2,T30-V30,IF(V24=2,V30-T30,""))))</f>
        <v>14</v>
      </c>
      <c r="AN25" s="48" t="str">
        <f>IF($AK9&lt;2,"",IF($AK8&lt;8,"",IF(W24=2,W30-Y30,IF(Y24=2,Y30-W30,""))))</f>
        <v/>
      </c>
      <c r="AO25" s="48" t="str">
        <f>IF($AK9&lt;2,"",IF($AK8&lt;9,"",IF(Z24=2,Z30-AB30,IF(AB24=2,AB30-Z30,""))))</f>
        <v/>
      </c>
      <c r="AP25" s="48">
        <f>IF($AK9&lt;2,"",IF($AK8&lt;10,"",IF(AC24=2,AC30-AE30,IF(AE24=2,AE30-AC30,""))))</f>
        <v>0</v>
      </c>
      <c r="AQ25" s="44">
        <f>SUM(AG25:AP25)</f>
        <v>34</v>
      </c>
      <c r="AW25" s="4"/>
    </row>
    <row r="26" spans="1:51" ht="15" x14ac:dyDescent="0.2">
      <c r="A26" s="3" t="str">
        <f>IF($AK7&gt;1,"Game 2","")</f>
        <v>Game 2</v>
      </c>
      <c r="B26" s="49">
        <v>25</v>
      </c>
      <c r="C26" s="50" t="s">
        <v>80</v>
      </c>
      <c r="D26" s="51">
        <v>16</v>
      </c>
      <c r="E26" s="49">
        <v>25</v>
      </c>
      <c r="F26" s="50" t="str">
        <f>IF($AK8&gt;1,IF($AK7&gt;1,"/",""),"")</f>
        <v>/</v>
      </c>
      <c r="G26" s="51">
        <v>22</v>
      </c>
      <c r="H26" s="49">
        <v>25</v>
      </c>
      <c r="I26" s="50" t="str">
        <f>IF($AK8&gt;2,IF($AK7&gt;1,"/",""),"")</f>
        <v>/</v>
      </c>
      <c r="J26" s="51">
        <v>19</v>
      </c>
      <c r="K26" s="49">
        <v>25</v>
      </c>
      <c r="L26" s="50" t="str">
        <f>IF($AK8&gt;3,IF($AK7&gt;1,"/",""),"")</f>
        <v>/</v>
      </c>
      <c r="M26" s="51">
        <v>23</v>
      </c>
      <c r="N26" s="49">
        <v>25</v>
      </c>
      <c r="O26" s="50" t="str">
        <f>IF($AK8&gt;4,IF($AK7&gt;1,"/",""),"")</f>
        <v>/</v>
      </c>
      <c r="P26" s="51">
        <v>18</v>
      </c>
      <c r="Q26" s="49">
        <v>25</v>
      </c>
      <c r="R26" s="50" t="str">
        <f>IF($AK8&gt;5,IF($AK7&gt;1,"/",""),"")</f>
        <v>/</v>
      </c>
      <c r="S26" s="51">
        <v>19</v>
      </c>
      <c r="T26" s="49">
        <v>25</v>
      </c>
      <c r="U26" s="50" t="str">
        <f>IF($AK8&gt;6,IF($AK7&gt;1,"/",""),"")</f>
        <v>/</v>
      </c>
      <c r="V26" s="51">
        <v>21</v>
      </c>
      <c r="W26" s="49">
        <v>25</v>
      </c>
      <c r="X26" s="50" t="str">
        <f>IF($AK8&gt;7,IF($AK7&gt;1,"/",""),"")</f>
        <v>/</v>
      </c>
      <c r="Y26" s="51">
        <v>22</v>
      </c>
      <c r="Z26" s="49">
        <v>13</v>
      </c>
      <c r="AA26" s="50" t="str">
        <f>IF($AK8&gt;8,IF($AK7&gt;1,"/",""),"")</f>
        <v>/</v>
      </c>
      <c r="AB26" s="51">
        <v>25</v>
      </c>
      <c r="AC26" s="49">
        <v>26</v>
      </c>
      <c r="AD26" s="50" t="str">
        <f>IF($AK8&gt;9,IF($AK7&gt;1,"/",""),"")</f>
        <v>/</v>
      </c>
      <c r="AE26" s="51">
        <v>24</v>
      </c>
      <c r="AF26" s="42" t="str">
        <f>IF($AK9&gt;2,"Team 3","")</f>
        <v>Team 3</v>
      </c>
      <c r="AG26" s="48" t="str">
        <f>IF($AK9&lt;3,"",IF($AK8&lt;1,"",IF(B24=3,B30-D30,IF(D24=3,D30-B30,""))))</f>
        <v/>
      </c>
      <c r="AH26" s="48" t="str">
        <f>IF($AK9&lt;3,"",IF($AK8&lt;2,"",IF(E24=3,E30-G30,IF(G24=3,G30-E30,""))))</f>
        <v/>
      </c>
      <c r="AI26" s="48">
        <f>IF($AK9&lt;3,"",IF($AK8&lt;3,"",IF(H24=3,H30-J30,IF(J24=3,J30-H30,""))))</f>
        <v>12</v>
      </c>
      <c r="AJ26" s="48" t="str">
        <f>IF($AK9&lt;3,"",IF($AK8&lt;4,"",IF(K24=3,K30-M30,IF(M24=3,M30-K30,""))))</f>
        <v/>
      </c>
      <c r="AK26" s="48">
        <f>IF($AK9&lt;3,"",IF($AK8&lt;5,"",IF(N24=3,N30-P30,IF(P24=3,P30-N30,""))))</f>
        <v>-14</v>
      </c>
      <c r="AL26" s="48" t="str">
        <f>IF($AK9&lt;3,"",IF($AK8&lt;6,"",IF(Q24=3,Q30-S30,IF(S24=3,S30-Q30,""))))</f>
        <v/>
      </c>
      <c r="AM26" s="48">
        <f>IF($AK9&lt;3,"",IF($AK8&lt;7,"",IF(T24=3,T30-V30,IF(V24=3,V30-T30,""))))</f>
        <v>-14</v>
      </c>
      <c r="AN26" s="48" t="str">
        <f>IF($AK9&lt;3,"",IF($AK8&lt;8,"",IF(W24=3,W30-Y30,IF(Y24=3,Y30-W30,""))))</f>
        <v/>
      </c>
      <c r="AO26" s="48">
        <f>IF($AK9&lt;3,"",IF($AK8&lt;9,"",IF(Z24=3,Z30-AB30,IF(AB24=3,AB30-Z30,""))))</f>
        <v>-19</v>
      </c>
      <c r="AP26" s="48" t="str">
        <f>IF($AK9&lt;3,"",IF($AK8&lt;9,"",IF(AC24=3,AC30-AE30,IF(AE24=3,AE30-AC30,""))))</f>
        <v/>
      </c>
      <c r="AQ26" s="44">
        <f>SUM(AG26:AP26)</f>
        <v>-35</v>
      </c>
      <c r="AW26" s="4"/>
    </row>
    <row r="27" spans="1:51" ht="15" x14ac:dyDescent="0.2">
      <c r="A27" s="3" t="str">
        <f>IF($AK7&gt;2,"Game 3","")</f>
        <v/>
      </c>
      <c r="B27" s="49"/>
      <c r="C27" s="50" t="s">
        <v>80</v>
      </c>
      <c r="D27" s="51"/>
      <c r="E27" s="49"/>
      <c r="F27" s="50" t="str">
        <f>IF($AK8&gt;1,IF($AK7&gt;2,"/",""),"")</f>
        <v/>
      </c>
      <c r="G27" s="51"/>
      <c r="H27" s="49"/>
      <c r="I27" s="50" t="str">
        <f>IF($AK8&gt;2,IF($AK7&gt;2,"/",""),"")</f>
        <v/>
      </c>
      <c r="J27" s="51"/>
      <c r="K27" s="49"/>
      <c r="L27" s="50" t="str">
        <f>IF($AK8&gt;3,IF($AK7&gt;2,"/",""),"")</f>
        <v/>
      </c>
      <c r="M27" s="51"/>
      <c r="N27" s="49"/>
      <c r="O27" s="50" t="str">
        <f>IF($AK8&gt;4,IF($AK7&gt;2,"/",""),"")</f>
        <v/>
      </c>
      <c r="P27" s="51"/>
      <c r="Q27" s="49"/>
      <c r="R27" s="50" t="str">
        <f>IF($AK8&gt;5,IF($AK7&gt;2,"/",""),"")</f>
        <v/>
      </c>
      <c r="S27" s="51"/>
      <c r="T27" s="49"/>
      <c r="U27" s="50" t="str">
        <f>IF($AK8&gt;6,IF($AK7&gt;2,"/",""),"")</f>
        <v/>
      </c>
      <c r="V27" s="51"/>
      <c r="W27" s="49"/>
      <c r="X27" s="50" t="str">
        <f>IF($AK8&gt;7,IF($AK7&gt;2,"/",""),"")</f>
        <v/>
      </c>
      <c r="Y27" s="51"/>
      <c r="Z27" s="49"/>
      <c r="AA27" s="50" t="str">
        <f>IF($AK8&gt;8,IF($AK7&gt;2,"/",""),"")</f>
        <v/>
      </c>
      <c r="AB27" s="51"/>
      <c r="AC27" s="49"/>
      <c r="AD27" s="50" t="str">
        <f>IF($AK8&gt;9,IF($AK7&gt;2,"/",""),"")</f>
        <v/>
      </c>
      <c r="AE27" s="51"/>
      <c r="AF27" s="42" t="str">
        <f>IF($AK9&gt;3,"Team 4","")</f>
        <v>Team 4</v>
      </c>
      <c r="AG27" s="48" t="str">
        <f>IF($AK9&lt;4,"",IF($AK8&lt;1,"",IF(B24=4,B30-D30,IF(D24=4,D30-B30,""))))</f>
        <v/>
      </c>
      <c r="AH27" s="48">
        <f>IF($AK9&lt;4,"",IF($AK8&lt;2,"",IF(E24=4,E30-G30,IF(G24=4,G30-E30,""))))</f>
        <v>-1</v>
      </c>
      <c r="AI27" s="48" t="str">
        <f>IF($AK9&lt;4,"",IF($AK8&lt;3,"",IF(H24=4,H30-J30,IF(J24=4,J30-H30,""))))</f>
        <v/>
      </c>
      <c r="AJ27" s="48">
        <f>IF($AK9&lt;4,"",IF($AK8&lt;4,"",IF(K24=4,K30-M30,IF(M24=4,M30-K30,""))))</f>
        <v>-3</v>
      </c>
      <c r="AK27" s="48" t="str">
        <f>IF($AK9&lt;4,"",IF($AK8&lt;5,"",IF(N24=4,N30-P30,IF(P24=4,P30-N30,""))))</f>
        <v/>
      </c>
      <c r="AL27" s="48">
        <f>IF($AK9&lt;4,"",IF($AK8&lt;6,"",IF(Q24=4,Q30-S30,IF(S24=4,S30-Q30,""))))</f>
        <v>11</v>
      </c>
      <c r="AM27" s="48" t="str">
        <f>IF($AK9&lt;4,"",IF($AK8&lt;7,"",IF(T24=4,T30-V30,IF(V24=4,V30-T30,""))))</f>
        <v/>
      </c>
      <c r="AN27" s="48" t="str">
        <f>IF($AK9&lt;4,"",IF($AK8&lt;8,"",IF(W24=4,W30-Y30,IF(Y24=4,Y30-W30,""))))</f>
        <v/>
      </c>
      <c r="AO27" s="48">
        <f>IF($AK9&lt;4,"",IF($AK8&lt;9,"",IF(Z24=4,Z30-AB30,IF(AB24=4,AB30-Z30,""))))</f>
        <v>19</v>
      </c>
      <c r="AP27" s="48" t="str">
        <f>IF($AK9&lt;4,"",IF($AK8&lt;10,"",IF(AC24=4,AC30-AE30,IF(AE24=4,AE30-AC30,""))))</f>
        <v/>
      </c>
      <c r="AQ27" s="44">
        <f>SUM(AG27:AP27)</f>
        <v>26</v>
      </c>
      <c r="AW27" s="4"/>
    </row>
    <row r="28" spans="1:51" ht="15" x14ac:dyDescent="0.2">
      <c r="A28" s="3" t="str">
        <f>IF($AK7&gt;3,"Game 4","")</f>
        <v/>
      </c>
      <c r="B28" s="49"/>
      <c r="C28" s="50" t="s">
        <v>80</v>
      </c>
      <c r="D28" s="51"/>
      <c r="E28" s="49"/>
      <c r="F28" s="50" t="str">
        <f>IF($AK8&gt;1,IF($AK7&gt;3,"/",""),"")</f>
        <v/>
      </c>
      <c r="G28" s="51"/>
      <c r="H28" s="49"/>
      <c r="I28" s="50" t="str">
        <f>IF($AK8&gt;2,IF($AK7&gt;3,"/",""),"")</f>
        <v/>
      </c>
      <c r="J28" s="51"/>
      <c r="K28" s="49"/>
      <c r="L28" s="50" t="str">
        <f>IF($AK8&gt;3,IF($AK7&gt;3,"/",""),"")</f>
        <v/>
      </c>
      <c r="M28" s="51"/>
      <c r="N28" s="49"/>
      <c r="O28" s="50" t="str">
        <f>IF($AK8&gt;4,IF($AK7&gt;3,"/",""),"")</f>
        <v/>
      </c>
      <c r="P28" s="51"/>
      <c r="Q28" s="49"/>
      <c r="R28" s="50" t="str">
        <f>IF($AK8&gt;5,IF($AK7&gt;3,"/",""),"")</f>
        <v/>
      </c>
      <c r="S28" s="51"/>
      <c r="T28" s="49"/>
      <c r="U28" s="50" t="str">
        <f>IF($AK8&gt;6,IF($AK7&gt;3,"/",""),"")</f>
        <v/>
      </c>
      <c r="V28" s="51"/>
      <c r="W28" s="49"/>
      <c r="X28" s="50" t="str">
        <f>IF($AK8&gt;7,IF($AK7&gt;3,"/",""),"")</f>
        <v/>
      </c>
      <c r="Y28" s="51"/>
      <c r="Z28" s="49"/>
      <c r="AA28" s="50" t="str">
        <f>IF($AK8&gt;8,IF($AK7&gt;3,"/",""),"")</f>
        <v/>
      </c>
      <c r="AB28" s="51"/>
      <c r="AC28" s="49"/>
      <c r="AD28" s="50" t="str">
        <f>IF($AK8&gt;9,IF($AK7&gt;3,"/",""),"")</f>
        <v/>
      </c>
      <c r="AE28" s="51"/>
      <c r="AF28" s="42" t="str">
        <f>IF($AK9&gt;4,"Team 5","")</f>
        <v>Team 5</v>
      </c>
      <c r="AG28" s="52">
        <f>IF($AK9&lt;5,"",IF($AK8&lt;1,"",IF(B24=5,B30-D30,IF(D24=5,D30-B30,""))))</f>
        <v>-17</v>
      </c>
      <c r="AH28" s="48" t="str">
        <f>IF($AK9&lt;5,"",IF($AK8&lt;2,"",IF(E24=5,E30-G30,IF(G24=5,G30-E30,""))))</f>
        <v/>
      </c>
      <c r="AI28" s="48">
        <f>IF($AK9&lt;5,"",IF($AK8&lt;3,"",IF(H24=5,H30-J30,IF(J24=5,J30-H30,""))))</f>
        <v>-12</v>
      </c>
      <c r="AJ28" s="48" t="str">
        <f>IF($AK9&lt;5,"",IF($AK8&lt;4,"",IF(K24=5,K30-M30,IF(M24=5,M30-K30,""))))</f>
        <v/>
      </c>
      <c r="AK28" s="48" t="str">
        <f>IF($AK9&lt;5,"",IF($AK8&lt;5,"",IF(N24=5,N30-P30,IF(P24=5,P30-N30,""))))</f>
        <v/>
      </c>
      <c r="AL28" s="48">
        <f>IF($AK9&lt;5,"",IF($AK8&lt;6,"",IF(Q24=5,Q30-S30,IF(S24=5,S30-Q30,""))))</f>
        <v>-11</v>
      </c>
      <c r="AM28" s="48" t="str">
        <f>IF($AK9&lt;5,"",IF($AK8&lt;7,"",IF(T24=5,T30-V30,IF(V24=5,V30-T30,""))))</f>
        <v/>
      </c>
      <c r="AN28" s="48">
        <f>IF($AK9&lt;5,"",IF($AK8&lt;8,"",IF(W24=5,W30-Y30,IF(Y24=5,Y30-W30,""))))</f>
        <v>-10</v>
      </c>
      <c r="AO28" s="48" t="str">
        <f>IF($AK9&lt;5,"",IF($AK8&lt;9,"",IF(Z24=5,Z30-AB30,IF(AB24=5,AB30-Z30,""))))</f>
        <v/>
      </c>
      <c r="AP28" s="48" t="str">
        <f>IF($AK9&lt;5,"",IF($AK8&lt;10,"",IF(AC24=5,AC30-AE30,IF(AE24=5,AE30-AC30,""))))</f>
        <v/>
      </c>
      <c r="AQ28" s="44">
        <f>SUM(AG28:AP28)</f>
        <v>-50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49"/>
      <c r="C29" s="50" t="s">
        <v>80</v>
      </c>
      <c r="D29" s="51"/>
      <c r="E29" s="49"/>
      <c r="F29" s="50" t="str">
        <f>IF($AK8&gt;1,IF($AK7&gt;4,"/",""),"")</f>
        <v/>
      </c>
      <c r="G29" s="51"/>
      <c r="H29" s="49"/>
      <c r="I29" s="50" t="str">
        <f>IF($AK8&gt;2,IF($AK7&gt;4,"/",""),"")</f>
        <v/>
      </c>
      <c r="J29" s="51"/>
      <c r="K29" s="49"/>
      <c r="L29" s="50" t="str">
        <f>IF($AK8&gt;3,IF($AK7&gt;4,"/",""),"")</f>
        <v/>
      </c>
      <c r="M29" s="51"/>
      <c r="N29" s="49"/>
      <c r="O29" s="50" t="str">
        <f>IF($AK8&gt;4,IF($AK7&gt;4,"/",""),"")</f>
        <v/>
      </c>
      <c r="P29" s="51"/>
      <c r="Q29" s="49"/>
      <c r="R29" s="50" t="str">
        <f>IF($AK8&gt;5,IF($AK7&gt;4,"/",""),"")</f>
        <v/>
      </c>
      <c r="S29" s="51"/>
      <c r="T29" s="49"/>
      <c r="U29" s="50" t="str">
        <f>IF($AK8&gt;6,IF($AK7&gt;4,"/",""),"")</f>
        <v/>
      </c>
      <c r="V29" s="51"/>
      <c r="W29" s="49"/>
      <c r="X29" s="50" t="str">
        <f>IF($AK8&gt;7,IF($AK7&gt;4,"/",""),"")</f>
        <v/>
      </c>
      <c r="Y29" s="51"/>
      <c r="Z29" s="49"/>
      <c r="AA29" s="50" t="str">
        <f>IF($AK8&gt;8,IF($AK7&gt;4,"/",""),"")</f>
        <v/>
      </c>
      <c r="AB29" s="51"/>
      <c r="AC29" s="49"/>
      <c r="AD29" s="50" t="str">
        <f>IF($AK8&gt;9,IF($AK7&gt;4,"/",""),"")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3"/>
      <c r="B30" s="53">
        <f>IF($AK7=5,SUM(B25:B29),IF($AK7=4,SUM(B25:B28),IF($AK7=3,SUM(B25:B27),IF($AK7=2,SUM(B25:B26),B25))))</f>
        <v>50</v>
      </c>
      <c r="C30" s="53"/>
      <c r="D30" s="53">
        <f>IF($AK7=5,SUM(D25:D29),IF($AK7=4,SUM(D25:D28),IF($AK7=3,SUM(D25:D27),IF($AK7=2,SUM(D25:D26),D25))))</f>
        <v>33</v>
      </c>
      <c r="E30" s="53">
        <f>IF($AK7=5,SUM(E25:E29),IF($AK7=4,SUM(E25:E28),IF($AK7=3,SUM(E25:E27),IF($AK7=2,SUM(E25:E26),E25))))</f>
        <v>49</v>
      </c>
      <c r="F30" s="53"/>
      <c r="G30" s="53">
        <f>IF($AK7=5,SUM(G25:G29),IF($AK7=4,SUM(G25:G28),IF($AK7=3,SUM(G25:G27),IF($AK7=2,SUM(G25:G26),G25))))</f>
        <v>48</v>
      </c>
      <c r="H30" s="53">
        <f>IF($AK7=5,SUM(H25:H29),IF($AK7=4,SUM(H25:H28),IF($AK7=3,SUM(H25:H27),IF($AK7=2,SUM(H25:H26),H25))))</f>
        <v>50</v>
      </c>
      <c r="I30" s="53"/>
      <c r="J30" s="53">
        <f>IF($AK7=5,SUM(J25:J29),IF($AK7=4,SUM(J25:J28),IF($AK7=3,SUM(J25:J27),IF($AK7=2,SUM(J25:J26),J25))))</f>
        <v>38</v>
      </c>
      <c r="K30" s="53">
        <f>IF($AK7=5,SUM(K25:K29),IF($AK7=4,SUM(K25:K28),IF($AK7=3,SUM(K25:K27),IF($AK7=2,SUM(K25:K26),K25))))</f>
        <v>52</v>
      </c>
      <c r="L30" s="53"/>
      <c r="M30" s="53">
        <f>IF($AK7=5,SUM(M25:M29),IF($AK7=4,SUM(M25:M28),IF($AK7=3,SUM(M25:M27),IF($AK7=2,SUM(M25:M26),M25))))</f>
        <v>49</v>
      </c>
      <c r="N30" s="53">
        <f>IF($AK7=5,SUM(N25:N29),IF($AK7=4,SUM(N25:N28),IF($AK7=3,SUM(N25:N27),IF($AK7=2,SUM(N25:N26),N25))))</f>
        <v>50</v>
      </c>
      <c r="O30" s="53"/>
      <c r="P30" s="53">
        <f>IF($AK7=5,SUM(P25:P29),IF($AK7=4,SUM(P25:P28),IF($AK7=3,SUM(P25:P27),IF($AK7=2,SUM(P25:P26),P25))))</f>
        <v>36</v>
      </c>
      <c r="Q30" s="53">
        <f>IF($AK7=5,SUM(Q25:Q29),IF($AK7=4,SUM(Q25:Q28),IF($AK7=3,SUM(Q25:Q27),IF($AK7=2,SUM(Q25:Q26),Q25))))</f>
        <v>50</v>
      </c>
      <c r="R30" s="53"/>
      <c r="S30" s="53">
        <f>IF($AK7=5,SUM(S25:S29),IF($AK7=4,SUM(S25:S28),IF($AK7=3,SUM(S25:S27),IF($AK7=2,SUM(S25:S26),S25))))</f>
        <v>39</v>
      </c>
      <c r="T30" s="53">
        <f>IF($AK7=5,SUM(T25:T29),IF($AK7=4,SUM(T25:T28),IF($AK7=3,SUM(T25:T27),IF($AK7=2,SUM(T25:T26),T25))))</f>
        <v>50</v>
      </c>
      <c r="U30" s="53"/>
      <c r="V30" s="53">
        <f>IF($AK7=5,SUM(V25:V29),IF($AK7=4,SUM(V25:V28),IF($AK7=3,SUM(V25:V27),IF($AK7=2,SUM(V25:V26),V25))))</f>
        <v>36</v>
      </c>
      <c r="W30" s="53">
        <f>IF($AK7=5,SUM(W25:W29),IF($AK7=4,SUM(W25:W28),IF($AK7=3,SUM(W25:W27),IF($AK7=2,SUM(W25:W26),W25))))</f>
        <v>50</v>
      </c>
      <c r="X30" s="53"/>
      <c r="Y30" s="53">
        <f>IF($AK7=5,SUM(Y25:Y29),IF($AK7=4,SUM(Y25:Y28),IF($AK7=3,SUM(Y25:Y27),IF($AK7=2,SUM(Y25:Y26),Y25))))</f>
        <v>40</v>
      </c>
      <c r="Z30" s="53">
        <f>IF($AK7=5,SUM(Z25:Z29),IF($AK7=4,SUM(Z25:Z28),IF($AK7=3,SUM(Z25:Z27),IF($AK7=2,SUM(Z25:Z26),Z25))))</f>
        <v>31</v>
      </c>
      <c r="AA30" s="53"/>
      <c r="AB30" s="53">
        <f>IF($AK7=5,SUM(AB25:AB29),IF($AK7=4,SUM(AB25:AB28),IF($AK7=3,SUM(AB25:AB27),IF($AK7=2,SUM(AB25:AB26),AB25))))</f>
        <v>50</v>
      </c>
      <c r="AC30" s="53">
        <f>IF($AK7=5,SUM(AC25:AC29),IF($AK7=4,SUM(AC25:AC28),IF($AK7=3,SUM(AC25:AC27),IF($AK7=2,SUM(AC25:AC26),AC25))))</f>
        <v>49</v>
      </c>
      <c r="AD30" s="53"/>
      <c r="AE30" s="53">
        <f>IF($AK7=5,SUM(AE25:AE29),IF($AK7=4,SUM(AE25:AE28),IF($AK7=3,SUM(AE25:AE27),IF($AK7=2,SUM(AE25:AE26),AE25))))</f>
        <v>49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5" customFormat="1" ht="12.75" hidden="1" customHeight="1" x14ac:dyDescent="0.2">
      <c r="A31" s="55" t="s">
        <v>81</v>
      </c>
      <c r="B31" s="56">
        <f>IF(AND(B25&gt;D25,$AK8&gt;0,ISNUMBER(B25),ISNUMBER(D25)),1,0)</f>
        <v>1</v>
      </c>
      <c r="C31" s="56"/>
      <c r="D31" s="57">
        <f>IF(AND(D25&gt;B25,$AK8&gt;0,ISNUMBER(B25),ISNUMBER(D25)),1,0)</f>
        <v>0</v>
      </c>
      <c r="E31" s="56">
        <f>IF(AND(E25&gt;G25,$AK8&gt;1,ISNUMBER(E25),ISNUMBER(G25)),1,0)</f>
        <v>0</v>
      </c>
      <c r="F31" s="56"/>
      <c r="G31" s="57">
        <f>IF(AND(G25&gt;E25,$AK8&gt;1,ISNUMBER(E25),ISNUMBER(G25)),1,0)</f>
        <v>1</v>
      </c>
      <c r="H31" s="56">
        <f>IF(AND(H25&gt;J25,$AK8&gt;2,ISNUMBER(H25),ISNUMBER(J25)),1,0)</f>
        <v>1</v>
      </c>
      <c r="I31" s="56"/>
      <c r="J31" s="57">
        <f>IF(AND(J25&gt;H25,$AK8&gt;2,ISNUMBER(H25),ISNUMBER(J25)),1,0)</f>
        <v>0</v>
      </c>
      <c r="K31" s="56">
        <f>IF(AND(K25&gt;M25,$AK8&gt;3,ISNUMBER(K25),ISNUMBER(M25)),1,0)</f>
        <v>1</v>
      </c>
      <c r="L31" s="56"/>
      <c r="M31" s="57">
        <f>IF(AND(M25&gt;K25,$AK8&gt;3,ISNUMBER(K25),ISNUMBER(M25)),1,0)</f>
        <v>0</v>
      </c>
      <c r="N31" s="56">
        <f>IF(AND(N25&gt;P25,$AK8&gt;4,ISNUMBER(N25),ISNUMBER(P25)),1,0)</f>
        <v>1</v>
      </c>
      <c r="O31" s="56"/>
      <c r="P31" s="57">
        <f>IF(AND(P25&gt;N25,$AK8&gt;4,ISNUMBER(N25),ISNUMBER(P25)),1,0)</f>
        <v>0</v>
      </c>
      <c r="Q31" s="56">
        <f>IF(AND(Q25&gt;S25,$AK8&gt;5,ISNUMBER(Q25),ISNUMBER(S25)),1,0)</f>
        <v>1</v>
      </c>
      <c r="R31" s="56"/>
      <c r="S31" s="57">
        <f>IF(AND(S25&gt;Q25,$AK8&gt;5,ISNUMBER(Q25),ISNUMBER(S25)),1,0)</f>
        <v>0</v>
      </c>
      <c r="T31" s="56">
        <f>IF(AND(T25&gt;V25,$AK8&gt;6,ISNUMBER(T25),ISNUMBER(V25)),1,0)</f>
        <v>1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1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1</v>
      </c>
      <c r="AC31" s="56">
        <f>IF(AND(AC25&gt;AE25,$AK8&gt;9,ISNUMBER(AC25),ISNUMBER(AE25)),1,0)</f>
        <v>0</v>
      </c>
      <c r="AD31" s="56"/>
      <c r="AE31" s="57">
        <f>IF(AND(AE25&gt;AC25,$AK8&gt;9,ISNUMBER(AC25),ISNUMBER(AE25)),1,0)</f>
        <v>1</v>
      </c>
      <c r="AW31" s="58"/>
    </row>
    <row r="32" spans="1:51" s="55" customFormat="1" ht="12.75" hidden="1" customHeight="1" x14ac:dyDescent="0.2">
      <c r="A32" s="55" t="s">
        <v>82</v>
      </c>
      <c r="B32" s="56">
        <f>IF(AND(B26&gt;D26,$AK8&gt;0,$AK7&gt;1,ISNUMBER(B26),ISNUMBER(D26)),1,0)</f>
        <v>1</v>
      </c>
      <c r="C32" s="56"/>
      <c r="D32" s="57">
        <f>IF(AND(D26&gt;B26,$AK8&gt;0,$AK7&gt;1,ISNUMBER(B26),ISNUMBER(D26)),1,0)</f>
        <v>0</v>
      </c>
      <c r="E32" s="56">
        <f>IF(AND(E26&gt;G26,$AK8&gt;1,$AK7&gt;1,ISNUMBER(E26),ISNUMBER(G26)),1,0)</f>
        <v>1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1</v>
      </c>
      <c r="I32" s="56"/>
      <c r="J32" s="57">
        <f>IF(AND(J26&gt;H26,$AK8&gt;2,$AK7&gt;1,ISNUMBER(H26),ISNUMBER(J26)),1,0)</f>
        <v>0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1</v>
      </c>
      <c r="O32" s="56"/>
      <c r="P32" s="57">
        <f>IF(AND(P26&gt;N26,$AK8&gt;4,$AK7&gt;1,ISNUMBER(N26),ISNUMBER(P26)),1,0)</f>
        <v>0</v>
      </c>
      <c r="Q32" s="56">
        <f>IF(AND(Q26&gt;S26,$AK8&gt;5,$AK7&gt;1,ISNUMBER(Q26),ISNUMBER(S26)),1,0)</f>
        <v>1</v>
      </c>
      <c r="R32" s="56"/>
      <c r="S32" s="57">
        <f>IF(AND(S26&gt;Q26,$AK8&gt;5,$AK7&gt;1,ISNUMBER(Q26),ISNUMBER(S26)),1,0)</f>
        <v>0</v>
      </c>
      <c r="T32" s="56">
        <f>IF(AND(T26&gt;V26,$AK8&gt;6,$AK7&gt;1,ISNUMBER(T26),ISNUMBER(V26)),1,0)</f>
        <v>1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1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1</v>
      </c>
      <c r="AC32" s="56">
        <f>IF(AND(AC26&gt;AE26,$AK8&gt;9,$AK7&gt;1,ISNUMBER(AC26),ISNUMBER(AE26)),1,0)</f>
        <v>1</v>
      </c>
      <c r="AD32" s="56"/>
      <c r="AE32" s="57">
        <f>IF(AND(AE26&gt;AC26,$AK8&gt;9,$AK7&gt;1,ISNUMBER(AC26),ISNUMBER(AE26)),1,0)</f>
        <v>0</v>
      </c>
      <c r="AW32" s="58"/>
    </row>
    <row r="33" spans="1:49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  <c r="AW33" s="58"/>
    </row>
    <row r="34" spans="1:49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  <c r="AW34" s="58"/>
    </row>
    <row r="35" spans="1:49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  <c r="AW35" s="58"/>
    </row>
    <row r="36" spans="1:49" s="55" customFormat="1" ht="38.25" hidden="1" customHeight="1" x14ac:dyDescent="0.2">
      <c r="A36" s="59" t="s">
        <v>86</v>
      </c>
      <c r="B36" s="55">
        <f>SUM(B31:B35)</f>
        <v>2</v>
      </c>
      <c r="D36" s="60">
        <f>SUM(D31:D35)</f>
        <v>0</v>
      </c>
      <c r="E36" s="55">
        <f>SUM(E31:E35)</f>
        <v>1</v>
      </c>
      <c r="G36" s="60">
        <f>SUM(G31:G35)</f>
        <v>1</v>
      </c>
      <c r="H36" s="55">
        <f>SUM(H31:H35)</f>
        <v>2</v>
      </c>
      <c r="J36" s="60">
        <f>SUM(J31:J35)</f>
        <v>0</v>
      </c>
      <c r="K36" s="55">
        <f>SUM(K31:K35)</f>
        <v>2</v>
      </c>
      <c r="M36" s="60">
        <f>SUM(M31:M35)</f>
        <v>0</v>
      </c>
      <c r="N36" s="55">
        <f>SUM(N31:N35)</f>
        <v>2</v>
      </c>
      <c r="P36" s="60">
        <f>SUM(P31:P35)</f>
        <v>0</v>
      </c>
      <c r="Q36" s="55">
        <f>SUM(Q31:Q35)</f>
        <v>2</v>
      </c>
      <c r="S36" s="60">
        <f>SUM(S31:S35)</f>
        <v>0</v>
      </c>
      <c r="T36" s="55">
        <f>SUM(T31:T35)</f>
        <v>2</v>
      </c>
      <c r="V36" s="60">
        <f>SUM(V31:V35)</f>
        <v>0</v>
      </c>
      <c r="W36" s="55">
        <f>SUM(W31:W35)</f>
        <v>2</v>
      </c>
      <c r="Y36" s="60">
        <f>SUM(Y31:Y35)</f>
        <v>0</v>
      </c>
      <c r="Z36" s="55">
        <f>SUM(Z31:Z35)</f>
        <v>0</v>
      </c>
      <c r="AB36" s="60">
        <f>SUM(AB31:AB35)</f>
        <v>2</v>
      </c>
      <c r="AC36" s="55">
        <f>SUM(AC31:AC35)</f>
        <v>1</v>
      </c>
      <c r="AE36" s="60">
        <f>SUM(AE31:AE35)</f>
        <v>1</v>
      </c>
      <c r="AW36" s="58"/>
    </row>
    <row r="37" spans="1:49" s="55" customFormat="1" ht="25.5" hidden="1" customHeight="1" x14ac:dyDescent="0.2">
      <c r="A37" s="59" t="s">
        <v>87</v>
      </c>
      <c r="B37" s="55">
        <f>IF(B36&gt;D36,IF(C71=AK7,1,IF(C71=AK7-1,1,0)),0)</f>
        <v>1</v>
      </c>
      <c r="C37" s="55">
        <f>B37+D37</f>
        <v>1</v>
      </c>
      <c r="D37" s="60">
        <f>IF(D36&gt;B36,IF(C71=AK7,1,IF(C71=AK7-1,1,0)),0)</f>
        <v>0</v>
      </c>
      <c r="E37" s="55">
        <f>IF(E36&gt;G36,IF(F71=AK7,1,IF(F71=AK7-1,1,0)),0)</f>
        <v>0</v>
      </c>
      <c r="F37" s="55">
        <f>E37+G37</f>
        <v>0</v>
      </c>
      <c r="G37" s="60">
        <f>IF(G36&gt;E36,IF(F71=AK7,1,IF(F71=AK7-1,1,0)),0)</f>
        <v>0</v>
      </c>
      <c r="H37" s="55">
        <f>IF(H36&gt;J36,IF(I71=AK7,1,IF(I71=AK7-1,1,0)),0)</f>
        <v>1</v>
      </c>
      <c r="I37" s="55">
        <f>H37+J37</f>
        <v>1</v>
      </c>
      <c r="J37" s="60">
        <f>IF(J36&gt;H36,IF(I71=AK7,1,IF(I71=AK7-1,1,0)),0)</f>
        <v>0</v>
      </c>
      <c r="K37" s="55">
        <f>IF(K36&gt;M36,IF(L71=AK7,1,IF(L71=AK7-1,1,0)),0)</f>
        <v>1</v>
      </c>
      <c r="L37" s="55">
        <f>K37+M37</f>
        <v>1</v>
      </c>
      <c r="M37" s="60">
        <f>IF(M36&gt;K36,IF(L71=AK7,1,IF(L71=AK7-1,1,0)),0)</f>
        <v>0</v>
      </c>
      <c r="N37" s="55">
        <f>IF(N36&gt;P36,IF(O71=AK7,1,IF(O71=AK7-1,1,0)),0)</f>
        <v>1</v>
      </c>
      <c r="O37" s="55">
        <f>N37+P37</f>
        <v>1</v>
      </c>
      <c r="P37" s="60">
        <f>IF(P36&gt;N36,IF(O71=AK7,1,IF(O71=AK7-1,1,0)),0)</f>
        <v>0</v>
      </c>
      <c r="Q37" s="55">
        <f>IF(Q36&gt;S36,IF(R71=AK7,1,IF(R71=AK7-1,1,0)),0)</f>
        <v>1</v>
      </c>
      <c r="R37" s="55">
        <f>Q37+S37</f>
        <v>1</v>
      </c>
      <c r="S37" s="60">
        <f>IF(S36&gt;Q36,IF(R71=AK7,1,IF(R71=AK7-1,1,0)),0)</f>
        <v>0</v>
      </c>
      <c r="T37" s="55">
        <f>IF(T36&gt;V36,IF(U71=AK7,1,IF(U71=AK7-1,1,0)),0)</f>
        <v>1</v>
      </c>
      <c r="U37" s="55">
        <f>T37+V37</f>
        <v>1</v>
      </c>
      <c r="V37" s="60">
        <f>IF(V36&gt;T36,IF(U71=AK7,1,IF(U71=AK7-1,1,0)),0)</f>
        <v>0</v>
      </c>
      <c r="W37" s="55">
        <f>IF(W36&gt;Y36,IF(X71=AK7,1,IF(X71=AK7-1,1,0)),0)</f>
        <v>1</v>
      </c>
      <c r="X37" s="55">
        <f>W37+Y37</f>
        <v>1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1</v>
      </c>
      <c r="AB37" s="60">
        <f>IF(AB36&gt;Z36,IF(AA71=AK7,1,IF(AA71=AK7-1,1,0)),0)</f>
        <v>1</v>
      </c>
      <c r="AC37" s="55">
        <f>IF(AC36&gt;AE36,IF(AD71=AK7,1,IF(AD71=AK7-1,1,0)),0)</f>
        <v>0</v>
      </c>
      <c r="AD37" s="55">
        <f>AC37+AE37</f>
        <v>0</v>
      </c>
      <c r="AE37" s="60">
        <f>IF(AE36&gt;AC36,IF(AD71=AK7,1,IF(AD71=AK7-1,1,0)),0)</f>
        <v>0</v>
      </c>
      <c r="AW37" s="58"/>
    </row>
    <row r="38" spans="1:49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  <c r="AW38" s="58"/>
    </row>
    <row r="39" spans="1:49" s="55" customFormat="1" ht="12.75" hidden="1" customHeight="1" x14ac:dyDescent="0.2">
      <c r="A39" s="55" t="s">
        <v>88</v>
      </c>
      <c r="B39" s="55">
        <f>IF(B31=1,B25,0)</f>
        <v>25</v>
      </c>
      <c r="D39" s="60">
        <f t="shared" ref="D39:E43" si="2">IF(D31=1,D25,0)</f>
        <v>0</v>
      </c>
      <c r="E39" s="55">
        <f t="shared" si="2"/>
        <v>0</v>
      </c>
      <c r="G39" s="60">
        <f t="shared" ref="G39:H43" si="3">IF(G31=1,G25,0)</f>
        <v>26</v>
      </c>
      <c r="H39" s="55">
        <f t="shared" si="3"/>
        <v>25</v>
      </c>
      <c r="J39" s="60">
        <f t="shared" ref="J39:K43" si="4">IF(J31=1,J25,0)</f>
        <v>0</v>
      </c>
      <c r="K39" s="55">
        <f t="shared" si="4"/>
        <v>27</v>
      </c>
      <c r="M39" s="60">
        <f t="shared" ref="M39:N43" si="5">IF(M31=1,M25,0)</f>
        <v>0</v>
      </c>
      <c r="N39" s="55">
        <f t="shared" si="5"/>
        <v>25</v>
      </c>
      <c r="P39" s="60">
        <f t="shared" ref="P39:Q43" si="6">IF(P31=1,P25,0)</f>
        <v>0</v>
      </c>
      <c r="Q39" s="55">
        <f t="shared" si="6"/>
        <v>25</v>
      </c>
      <c r="S39" s="60">
        <f t="shared" ref="S39:T43" si="7">IF(S31=1,S25,0)</f>
        <v>0</v>
      </c>
      <c r="T39" s="55">
        <f t="shared" si="7"/>
        <v>25</v>
      </c>
      <c r="V39" s="60">
        <f t="shared" ref="V39:W43" si="8">IF(V31=1,V25,0)</f>
        <v>0</v>
      </c>
      <c r="W39" s="55">
        <f t="shared" si="8"/>
        <v>25</v>
      </c>
      <c r="Y39" s="60">
        <f t="shared" ref="Y39:Z43" si="9">IF(Y31=1,Y25,0)</f>
        <v>0</v>
      </c>
      <c r="Z39" s="55">
        <f t="shared" si="9"/>
        <v>0</v>
      </c>
      <c r="AB39" s="60">
        <f t="shared" ref="AB39:AC43" si="10">IF(AB31=1,AB25,0)</f>
        <v>25</v>
      </c>
      <c r="AC39" s="55">
        <f t="shared" si="10"/>
        <v>0</v>
      </c>
      <c r="AE39" s="60">
        <f>IF(AE31=1,AE25,0)</f>
        <v>25</v>
      </c>
      <c r="AW39" s="58"/>
    </row>
    <row r="40" spans="1:49" s="55" customFormat="1" ht="12.75" hidden="1" customHeight="1" x14ac:dyDescent="0.2">
      <c r="A40" s="55" t="s">
        <v>89</v>
      </c>
      <c r="B40" s="55">
        <f>IF(B32=1,B26,0)</f>
        <v>25</v>
      </c>
      <c r="D40" s="60">
        <f t="shared" si="2"/>
        <v>0</v>
      </c>
      <c r="E40" s="55">
        <f t="shared" si="2"/>
        <v>25</v>
      </c>
      <c r="G40" s="60">
        <f t="shared" si="3"/>
        <v>0</v>
      </c>
      <c r="H40" s="55">
        <f t="shared" si="3"/>
        <v>25</v>
      </c>
      <c r="J40" s="60">
        <f t="shared" si="4"/>
        <v>0</v>
      </c>
      <c r="K40" s="55">
        <f t="shared" si="4"/>
        <v>25</v>
      </c>
      <c r="M40" s="60">
        <f t="shared" si="5"/>
        <v>0</v>
      </c>
      <c r="N40" s="55">
        <f t="shared" si="5"/>
        <v>25</v>
      </c>
      <c r="P40" s="60">
        <f t="shared" si="6"/>
        <v>0</v>
      </c>
      <c r="Q40" s="55">
        <f t="shared" si="6"/>
        <v>25</v>
      </c>
      <c r="S40" s="60">
        <f t="shared" si="7"/>
        <v>0</v>
      </c>
      <c r="T40" s="55">
        <f t="shared" si="7"/>
        <v>25</v>
      </c>
      <c r="V40" s="60">
        <f t="shared" si="8"/>
        <v>0</v>
      </c>
      <c r="W40" s="55">
        <f t="shared" si="8"/>
        <v>25</v>
      </c>
      <c r="Y40" s="60">
        <f t="shared" si="9"/>
        <v>0</v>
      </c>
      <c r="Z40" s="55">
        <f t="shared" si="9"/>
        <v>0</v>
      </c>
      <c r="AB40" s="60">
        <f t="shared" si="10"/>
        <v>25</v>
      </c>
      <c r="AC40" s="55">
        <f t="shared" si="10"/>
        <v>26</v>
      </c>
      <c r="AE40" s="60">
        <f>IF(AE32=1,AE26,0)</f>
        <v>0</v>
      </c>
      <c r="AW40" s="58"/>
    </row>
    <row r="41" spans="1:49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  <c r="AW41" s="58"/>
    </row>
    <row r="42" spans="1:49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  <c r="AW42" s="58"/>
    </row>
    <row r="43" spans="1:49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  <c r="AW43" s="58"/>
    </row>
    <row r="44" spans="1:49" s="55" customFormat="1" ht="38.25" hidden="1" customHeight="1" x14ac:dyDescent="0.2">
      <c r="A44" s="59" t="s">
        <v>93</v>
      </c>
      <c r="B44" s="55">
        <f>SUM(B39:D43)</f>
        <v>50</v>
      </c>
      <c r="D44" s="60"/>
      <c r="E44" s="55">
        <f>SUM(E39:G43)</f>
        <v>51</v>
      </c>
      <c r="G44" s="60"/>
      <c r="H44" s="55">
        <f>SUM(H39:J43)</f>
        <v>50</v>
      </c>
      <c r="J44" s="60"/>
      <c r="K44" s="55">
        <f>SUM(K39:M43)</f>
        <v>52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50</v>
      </c>
      <c r="V44" s="60"/>
      <c r="W44" s="55">
        <f>SUM(W39:Y43)</f>
        <v>50</v>
      </c>
      <c r="Y44" s="60"/>
      <c r="Z44" s="55">
        <f>SUM(Z39:AB43)</f>
        <v>50</v>
      </c>
      <c r="AB44" s="60"/>
      <c r="AC44" s="55">
        <f>SUM(AC39:AE43)</f>
        <v>51</v>
      </c>
      <c r="AE44" s="60"/>
      <c r="AW44" s="58"/>
    </row>
    <row r="45" spans="1:49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  <c r="AW45" s="58"/>
    </row>
    <row r="46" spans="1:49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0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1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1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2</v>
      </c>
      <c r="AG46" s="55">
        <f>AF52-AF46</f>
        <v>0</v>
      </c>
      <c r="AW46" s="58"/>
    </row>
    <row r="47" spans="1:49" s="55" customFormat="1" ht="12.75" hidden="1" customHeight="1" x14ac:dyDescent="0.2">
      <c r="A47" s="55" t="s">
        <v>98</v>
      </c>
      <c r="B47" s="55">
        <f>IF(B24=2,IF(B37=1,1,0),0)</f>
        <v>1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1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1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3</v>
      </c>
      <c r="AG47" s="55">
        <f>AF53-AF47</f>
        <v>0</v>
      </c>
      <c r="AW47" s="58"/>
    </row>
    <row r="48" spans="1:49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1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1</v>
      </c>
      <c r="AG48" s="55">
        <f>AF54-AF48</f>
        <v>3</v>
      </c>
      <c r="AW48" s="58"/>
    </row>
    <row r="49" spans="1:49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1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1</v>
      </c>
      <c r="AC49" s="55">
        <f>IF(AC24=4,IF(AC37=1,1,0),0)</f>
        <v>0</v>
      </c>
      <c r="AE49" s="60">
        <f>IF(AE24=4,IF(AE37=1,1,0),0)</f>
        <v>0</v>
      </c>
      <c r="AF49" s="55">
        <f>SUM(B49:AE49)</f>
        <v>2</v>
      </c>
      <c r="AG49" s="55">
        <f>AF55-AF49</f>
        <v>1</v>
      </c>
      <c r="AW49" s="58"/>
    </row>
    <row r="50" spans="1:49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0</v>
      </c>
      <c r="AG50" s="55">
        <f>AF56-AF50</f>
        <v>4</v>
      </c>
      <c r="AW50" s="58"/>
    </row>
    <row r="51" spans="1:49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  <c r="AW51" s="58"/>
    </row>
    <row r="52" spans="1:49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0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1</v>
      </c>
      <c r="P52" s="60">
        <f>IF(P24=1,IF(O37=1,1,0),0)</f>
        <v>0</v>
      </c>
      <c r="Q52" s="55">
        <f>IF(Q24=1,IF(R37=1,1,0),0)</f>
        <v>0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1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0</v>
      </c>
      <c r="AE52" s="60">
        <f>IF(AE24=1,IF(AD37=1,1,0),0)</f>
        <v>0</v>
      </c>
      <c r="AF52" s="55">
        <f>SUM(B52:AE52)</f>
        <v>2</v>
      </c>
      <c r="AW52" s="58"/>
    </row>
    <row r="53" spans="1:49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0</v>
      </c>
      <c r="J53" s="60">
        <f>IF(J24=2,IF(I37=1,1,0),0)</f>
        <v>0</v>
      </c>
      <c r="K53" s="55">
        <f>IF(K24=2,IF(L37=1,1,0),0)</f>
        <v>1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0</v>
      </c>
      <c r="T53" s="55">
        <f>IF(T24=2,IF(U37=1,1,0),0)</f>
        <v>1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0</v>
      </c>
      <c r="AF53" s="55">
        <f>SUM(B53:AE53)</f>
        <v>3</v>
      </c>
      <c r="AW53" s="58"/>
    </row>
    <row r="54" spans="1:49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0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1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1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1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1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4</v>
      </c>
      <c r="AW54" s="58"/>
    </row>
    <row r="55" spans="1:49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0</v>
      </c>
      <c r="H55" s="55">
        <f>IF(H24=4,IF(I37=1,1,0),0)</f>
        <v>0</v>
      </c>
      <c r="J55" s="60">
        <f>IF(J24=4,IF(I37=1,1,0),0)</f>
        <v>0</v>
      </c>
      <c r="K55" s="55">
        <f>IF(K24=4,IF(L37=1,1,0),0)</f>
        <v>0</v>
      </c>
      <c r="M55" s="60">
        <f>IF(M24=4,IF(L37=1,1,0),0)</f>
        <v>1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1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1</v>
      </c>
      <c r="AC55" s="55">
        <f>IF(AC24=4,IF(AD37=1,1,0),0)</f>
        <v>0</v>
      </c>
      <c r="AE55" s="60">
        <f>IF(AE24=4,IF(AD37=1,1,0),0)</f>
        <v>0</v>
      </c>
      <c r="AF55" s="55">
        <f>SUM(B55:AE55)</f>
        <v>3</v>
      </c>
      <c r="AW55" s="58"/>
    </row>
    <row r="56" spans="1:49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1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1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1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1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4</v>
      </c>
      <c r="AW56" s="58"/>
    </row>
    <row r="57" spans="1:49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  <c r="AW57" s="58"/>
    </row>
    <row r="58" spans="1:49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51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0</v>
      </c>
      <c r="M58" s="60">
        <f>IF(M24=1,K44,0)</f>
        <v>0</v>
      </c>
      <c r="N58" s="55">
        <f>IF(N24=1,N44,0)</f>
        <v>50</v>
      </c>
      <c r="P58" s="60">
        <f>IF(P24=1,N44,0)</f>
        <v>0</v>
      </c>
      <c r="Q58" s="55">
        <f>IF(Q24=1,Q44,0)</f>
        <v>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50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51</v>
      </c>
      <c r="AE58" s="60">
        <f>IF(AE24=1,AC44,0)</f>
        <v>0</v>
      </c>
      <c r="AF58" s="55">
        <f>SUM(B58:AE58)</f>
        <v>202</v>
      </c>
      <c r="AW58" s="58"/>
    </row>
    <row r="59" spans="1:49" s="55" customFormat="1" ht="12.75" hidden="1" customHeight="1" x14ac:dyDescent="0.2">
      <c r="A59" s="55" t="s">
        <v>104</v>
      </c>
      <c r="B59" s="55">
        <f>IF(B24=2,B44,0)</f>
        <v>50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0</v>
      </c>
      <c r="J59" s="60">
        <f>IF(J24=2,H44,0)</f>
        <v>0</v>
      </c>
      <c r="K59" s="55">
        <f>IF(K24=2,K44,0)</f>
        <v>52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0</v>
      </c>
      <c r="T59" s="55">
        <f>IF(T24=2,T44,0)</f>
        <v>50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51</v>
      </c>
      <c r="AF59" s="55">
        <f>SUM(B59:AE59)</f>
        <v>203</v>
      </c>
      <c r="AW59" s="58"/>
    </row>
    <row r="60" spans="1:49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0</v>
      </c>
      <c r="E60" s="55">
        <f>IF(E24=3,E44,0)</f>
        <v>0</v>
      </c>
      <c r="G60" s="60">
        <f>IF(G24=3,E44,0)</f>
        <v>0</v>
      </c>
      <c r="H60" s="55">
        <f>IF(H24=3,H44,0)</f>
        <v>50</v>
      </c>
      <c r="J60" s="60">
        <f>IF(J24=3,H44,0)</f>
        <v>0</v>
      </c>
      <c r="K60" s="55">
        <f>IF(K24=3,K44,0)</f>
        <v>0</v>
      </c>
      <c r="M60" s="60">
        <f>IF(M24=3,K44,0)</f>
        <v>0</v>
      </c>
      <c r="N60" s="55">
        <f>IF(N24=3,N44,0)</f>
        <v>0</v>
      </c>
      <c r="P60" s="60">
        <f>IF(P24=3,N44,0)</f>
        <v>50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50</v>
      </c>
      <c r="W60" s="55">
        <f>IF(W24=3,W44,0)</f>
        <v>0</v>
      </c>
      <c r="Y60" s="60">
        <f>IF(Y24=3,W44,0)</f>
        <v>0</v>
      </c>
      <c r="Z60" s="55">
        <f>IF(Z24=3,Z44,0)</f>
        <v>50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200</v>
      </c>
      <c r="AW60" s="58"/>
    </row>
    <row r="61" spans="1:49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51</v>
      </c>
      <c r="H61" s="55">
        <f>IF(H24=4,H44,0)</f>
        <v>0</v>
      </c>
      <c r="J61" s="60">
        <f>IF(J24=4,H44,0)</f>
        <v>0</v>
      </c>
      <c r="K61" s="55">
        <f>IF(K24=4,K44,0)</f>
        <v>0</v>
      </c>
      <c r="M61" s="60">
        <f>IF(M24=4,K44,0)</f>
        <v>52</v>
      </c>
      <c r="N61" s="55">
        <f>IF(N24=4,N44,0)</f>
        <v>0</v>
      </c>
      <c r="P61" s="60">
        <f>IF(P24=4,N44,0)</f>
        <v>0</v>
      </c>
      <c r="Q61" s="55">
        <f>IF(Q24=4,Q44,0)</f>
        <v>50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50</v>
      </c>
      <c r="AC61" s="55">
        <f>IF(AC24=4,AC44,0)</f>
        <v>0</v>
      </c>
      <c r="AE61" s="60">
        <f>IF(AE24=4,AC44,0)</f>
        <v>0</v>
      </c>
      <c r="AF61" s="55">
        <f>SUM(B61:AE61)</f>
        <v>203</v>
      </c>
      <c r="AW61" s="58"/>
    </row>
    <row r="62" spans="1:49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50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50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50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50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200</v>
      </c>
      <c r="AW62" s="58"/>
    </row>
    <row r="63" spans="1:49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  <c r="AW63" s="58"/>
    </row>
    <row r="64" spans="1:49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1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2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2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1</v>
      </c>
      <c r="AE64" s="60">
        <f>IF(AE24=1,SUMIF(AE31:AE35,"&gt;0"),0)</f>
        <v>0</v>
      </c>
      <c r="AF64" s="55">
        <f>SUM(B64:AE64)</f>
        <v>6</v>
      </c>
      <c r="AG64" s="55">
        <f>AF72-AF64</f>
        <v>2</v>
      </c>
      <c r="AW64" s="58"/>
    </row>
    <row r="65" spans="1:54" s="55" customFormat="1" ht="12.75" hidden="1" customHeight="1" x14ac:dyDescent="0.2">
      <c r="A65" s="55" t="s">
        <v>98</v>
      </c>
      <c r="B65" s="55">
        <f>IF(B24=2,SUMIF(B31:B35,"&gt;0"),0)</f>
        <v>2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2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2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1</v>
      </c>
      <c r="AF65" s="55">
        <f>SUM(B65:AE65)</f>
        <v>7</v>
      </c>
      <c r="AG65" s="55">
        <f>AF73-AF65</f>
        <v>1</v>
      </c>
      <c r="AW65" s="58"/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2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0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0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2</v>
      </c>
      <c r="AG66" s="55">
        <f>AF74-AF66</f>
        <v>6</v>
      </c>
      <c r="AW66" s="58"/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1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2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2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5</v>
      </c>
      <c r="AG67" s="55">
        <f>AF75-AF67</f>
        <v>3</v>
      </c>
      <c r="AW67" s="58"/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0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0</v>
      </c>
      <c r="AG68" s="55">
        <f>AF76-AF68</f>
        <v>8</v>
      </c>
      <c r="AW68" s="58"/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  <c r="AW69" s="58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  <c r="AW70" s="58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2</v>
      </c>
      <c r="V71" s="60"/>
      <c r="X71" s="55">
        <f>SUMIF(W64:Y68,"&gt;0")</f>
        <v>2</v>
      </c>
      <c r="Y71" s="60"/>
      <c r="AA71" s="55">
        <f>SUMIF(Z64:AB68,"&gt;0")</f>
        <v>2</v>
      </c>
      <c r="AB71" s="60"/>
      <c r="AD71" s="55">
        <f>SUMIF(AC64:AE68,"&gt;0")</f>
        <v>2</v>
      </c>
      <c r="AE71" s="60"/>
      <c r="AF71" s="59" t="s">
        <v>113</v>
      </c>
      <c r="AW71" s="58"/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0</v>
      </c>
      <c r="M72" s="60">
        <f>IF(M24=1,L71,0)</f>
        <v>0</v>
      </c>
      <c r="N72" s="55">
        <f>IF(N24=1,O71,0)</f>
        <v>2</v>
      </c>
      <c r="P72" s="60">
        <f>IF(P24=1,O71,0)</f>
        <v>0</v>
      </c>
      <c r="Q72" s="55">
        <f>IF(Q24=1,R71,0)</f>
        <v>0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2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2</v>
      </c>
      <c r="AE72" s="60">
        <f>IF(AE24=1,AD71,0)</f>
        <v>0</v>
      </c>
      <c r="AF72" s="55">
        <f>SUM(B72:AE72)</f>
        <v>8</v>
      </c>
      <c r="AW72" s="58"/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0</v>
      </c>
      <c r="J73" s="60">
        <f>IF(J24=2,I71,0)</f>
        <v>0</v>
      </c>
      <c r="K73" s="55">
        <f>IF(K24=2,L71,0)</f>
        <v>2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0</v>
      </c>
      <c r="T73" s="55">
        <f>IF(T24=2,U71,0)</f>
        <v>2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2</v>
      </c>
      <c r="AF73" s="55">
        <f>SUM(B73:AE73)</f>
        <v>8</v>
      </c>
      <c r="AW73" s="58"/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0</v>
      </c>
      <c r="E74" s="55">
        <f>IF(E24=3,F71,0)</f>
        <v>0</v>
      </c>
      <c r="G74" s="60">
        <f>IF(G24=3,F71,0)</f>
        <v>0</v>
      </c>
      <c r="H74" s="55">
        <f>IF(H24=3,I71,0)</f>
        <v>2</v>
      </c>
      <c r="J74" s="60">
        <f>IF(J24=3,I71,0)</f>
        <v>0</v>
      </c>
      <c r="K74" s="55">
        <f>IF(K24=3,L71,0)</f>
        <v>0</v>
      </c>
      <c r="M74" s="60">
        <f>IF(M24=3,L71,0)</f>
        <v>0</v>
      </c>
      <c r="N74" s="55">
        <f>IF(N24=3,O71,0)</f>
        <v>0</v>
      </c>
      <c r="P74" s="60">
        <f>IF(P24=3,O71,0)</f>
        <v>2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2</v>
      </c>
      <c r="W74" s="55">
        <f>IF(W24=3,X71,0)</f>
        <v>0</v>
      </c>
      <c r="Y74" s="60">
        <f>IF(Y24=3,X71,0)</f>
        <v>0</v>
      </c>
      <c r="Z74" s="55">
        <f>IF(Z24=3,AA71,0)</f>
        <v>2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  <c r="AW74" s="58"/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0</v>
      </c>
      <c r="K75" s="55">
        <f>IF(K24=4,L71,0)</f>
        <v>0</v>
      </c>
      <c r="M75" s="60">
        <f>IF(M24=4,L71,0)</f>
        <v>2</v>
      </c>
      <c r="N75" s="55">
        <f>IF(N24=4,O71,0)</f>
        <v>0</v>
      </c>
      <c r="P75" s="60">
        <f>IF(P24=4,O71,0)</f>
        <v>0</v>
      </c>
      <c r="Q75" s="55">
        <f>IF(Q24=4,R71,0)</f>
        <v>2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2</v>
      </c>
      <c r="AC75" s="55">
        <f>IF(AC24=4,AD71,0)</f>
        <v>0</v>
      </c>
      <c r="AE75" s="60">
        <f>IF(AE24=4,AD71,0)</f>
        <v>0</v>
      </c>
      <c r="AF75" s="55">
        <f>SUM(B75:AE75)</f>
        <v>8</v>
      </c>
      <c r="AW75" s="58"/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2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2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2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2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8</v>
      </c>
      <c r="AW76" s="58"/>
    </row>
    <row r="77" spans="1:54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BB77" s="130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SCWE14TALONS</v>
      </c>
      <c r="C79" s="67">
        <f>VLOOKUP(B79,AU$3:AY$12,3,FALSE)</f>
        <v>1809.8475028761886</v>
      </c>
      <c r="D79" s="67">
        <f>IF(B72,B87,IF(D72,D87,C79))</f>
        <v>1809.8475028761886</v>
      </c>
      <c r="E79" s="67"/>
      <c r="F79" s="67"/>
      <c r="G79" s="67">
        <f>IF(E72,E87,IF(G72,G87,D79))</f>
        <v>1802.5964237123349</v>
      </c>
      <c r="H79" s="67"/>
      <c r="I79" s="67"/>
      <c r="J79" s="67">
        <f>IF(H72,H87,IF(J72,J87,G79))</f>
        <v>1802.5964237123349</v>
      </c>
      <c r="K79" s="67"/>
      <c r="L79" s="67"/>
      <c r="M79" s="67">
        <f>IF(K72,K87,IF(M72,M87,J79))</f>
        <v>1802.5964237123349</v>
      </c>
      <c r="N79" s="67"/>
      <c r="O79" s="67"/>
      <c r="P79" s="67">
        <f>IF(N72,N87,IF(P72,P87,M79))</f>
        <v>1832.0341487920502</v>
      </c>
      <c r="Q79" s="67"/>
      <c r="R79" s="67"/>
      <c r="S79" s="67">
        <f>IF(Q72,Q87,IF(S72,S87,P79))</f>
        <v>1832.0341487920502</v>
      </c>
      <c r="T79" s="67"/>
      <c r="U79" s="67"/>
      <c r="V79" s="67">
        <f>IF(T72,T87,IF(V72,V87,S79))</f>
        <v>1832.0341487920502</v>
      </c>
      <c r="W79" s="67"/>
      <c r="X79" s="67"/>
      <c r="Y79" s="67">
        <f>IF(W72,W87,IF(Y72,Y87,V79))</f>
        <v>1847.2210506977442</v>
      </c>
      <c r="Z79" s="67"/>
      <c r="AA79" s="67"/>
      <c r="AB79" s="67">
        <f>IF(Z72,Z87,IF(AB72,AB87,Y79))</f>
        <v>1847.2210506977442</v>
      </c>
      <c r="AC79" s="67"/>
      <c r="AD79" s="67"/>
      <c r="AE79" s="67">
        <f>IF(AC72,AC87,IF(AE72,AE87,AB79))</f>
        <v>1849.3640495575626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SCWE14TALONS</v>
      </c>
      <c r="AU79" s="63">
        <f>AE79</f>
        <v>1849.3640495575626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TEV 14 LeAnn</v>
      </c>
      <c r="C80" s="67">
        <f>VLOOKUP(B80,AU$3:AY$12,3,FALSE)</f>
        <v>1800</v>
      </c>
      <c r="D80" s="67">
        <f>IF(B73,B87,IF(D73,D87,C80))</f>
        <v>1823.4997324623591</v>
      </c>
      <c r="E80" s="67"/>
      <c r="F80" s="67"/>
      <c r="G80" s="67">
        <f>IF(E73,E87,IF(G73,G87,D80))</f>
        <v>1823.4997324623591</v>
      </c>
      <c r="H80" s="67"/>
      <c r="I80" s="67"/>
      <c r="J80" s="67">
        <f>IF(H73,H87,IF(J73,J87,G80))</f>
        <v>1823.4997324623591</v>
      </c>
      <c r="K80" s="67"/>
      <c r="L80" s="67"/>
      <c r="M80" s="67">
        <f>IF(K73,K87,IF(M73,M87,J80))</f>
        <v>1847.6917454073839</v>
      </c>
      <c r="N80" s="67"/>
      <c r="O80" s="67"/>
      <c r="P80" s="67">
        <f>IF(N73,N87,IF(P73,P87,M80))</f>
        <v>1847.6917454073839</v>
      </c>
      <c r="Q80" s="67"/>
      <c r="R80" s="67"/>
      <c r="S80" s="67">
        <f>IF(Q73,Q87,IF(S73,S87,P80))</f>
        <v>1847.6917454073839</v>
      </c>
      <c r="T80" s="67"/>
      <c r="U80" s="67"/>
      <c r="V80" s="67">
        <f>IF(T73,T87,IF(V73,V87,S80))</f>
        <v>1870.5232422362124</v>
      </c>
      <c r="W80" s="67"/>
      <c r="X80" s="67"/>
      <c r="Y80" s="67">
        <f>IF(W73,W87,IF(Y73,Y87,V80))</f>
        <v>1870.5232422362124</v>
      </c>
      <c r="Z80" s="67"/>
      <c r="AA80" s="67"/>
      <c r="AB80" s="67">
        <f>IF(Z73,Z87,IF(AB73,AB87,Y80))</f>
        <v>1870.5232422362124</v>
      </c>
      <c r="AC80" s="67"/>
      <c r="AD80" s="67"/>
      <c r="AE80" s="67">
        <f>IF(AC73,AC87,IF(AE73,AE87,AB80))</f>
        <v>1868.380243376394</v>
      </c>
      <c r="AF80" s="4"/>
      <c r="AG80" s="4"/>
      <c r="AJ80" s="4"/>
      <c r="AL80" s="4"/>
      <c r="AM80" s="4"/>
      <c r="AN80" s="4"/>
      <c r="AO80" s="4"/>
      <c r="AT80" s="63" t="str">
        <f>B80</f>
        <v>TEV 14 LeAnn</v>
      </c>
      <c r="AU80" s="63">
        <f>AE80</f>
        <v>1868.380243376394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CSRA Heat 14 White</v>
      </c>
      <c r="C81" s="67">
        <f>VLOOKUP(B81,AU$3:AY$12,3,FALSE)</f>
        <v>1748.8001298774316</v>
      </c>
      <c r="D81" s="67">
        <f>IF(B74,B87,IF(D74,D87,C81))</f>
        <v>1748.8001298774316</v>
      </c>
      <c r="E81" s="67"/>
      <c r="F81" s="67"/>
      <c r="G81" s="67">
        <f>IF(E74,E87,IF(G74,G87,D81))</f>
        <v>1748.8001298774316</v>
      </c>
      <c r="H81" s="67"/>
      <c r="I81" s="67"/>
      <c r="J81" s="67">
        <f>IF(H74,H87,IF(J74,J87,G81))</f>
        <v>1774.717193584419</v>
      </c>
      <c r="K81" s="67"/>
      <c r="L81" s="67"/>
      <c r="M81" s="67">
        <f>IF(K74,K87,IF(M74,M87,J81))</f>
        <v>1774.717193584419</v>
      </c>
      <c r="N81" s="67"/>
      <c r="O81" s="67"/>
      <c r="P81" s="67">
        <f>IF(N74,N87,IF(P74,P87,M81))</f>
        <v>1745.2794685047036</v>
      </c>
      <c r="Q81" s="67"/>
      <c r="R81" s="67"/>
      <c r="S81" s="67">
        <f>IF(Q74,Q87,IF(S74,S87,P81))</f>
        <v>1745.2794685047036</v>
      </c>
      <c r="T81" s="67"/>
      <c r="U81" s="67"/>
      <c r="V81" s="67">
        <f>IF(T74,T87,IF(V74,V87,S81))</f>
        <v>1722.4479716758754</v>
      </c>
      <c r="W81" s="67"/>
      <c r="X81" s="67"/>
      <c r="Y81" s="67">
        <f>IF(W74,W87,IF(Y74,Y87,V81))</f>
        <v>1722.4479716758754</v>
      </c>
      <c r="Z81" s="67"/>
      <c r="AA81" s="67"/>
      <c r="AB81" s="67">
        <f>IF(Z74,Z87,IF(AB74,AB87,Y81))</f>
        <v>1692.0270354115453</v>
      </c>
      <c r="AC81" s="67"/>
      <c r="AD81" s="67"/>
      <c r="AE81" s="67">
        <f>IF(AC74,AC87,IF(AE74,AE87,AB81))</f>
        <v>1692.0270354115453</v>
      </c>
      <c r="AF81" s="4"/>
      <c r="AG81" s="4"/>
      <c r="AJ81" s="4"/>
      <c r="AL81" s="4"/>
      <c r="AM81" s="4"/>
      <c r="AN81" s="4"/>
      <c r="AO81" s="4"/>
      <c r="AT81" s="63" t="str">
        <f>B81</f>
        <v>CSRA Heat 14 White</v>
      </c>
      <c r="AU81" s="63">
        <f>AE81</f>
        <v>1692.0270354115453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Emerald City 14-1</v>
      </c>
      <c r="C82" s="67">
        <f>VLOOKUP(B82,AU$3:AY$12,3,FALSE)</f>
        <v>1729.7293688033053</v>
      </c>
      <c r="D82" s="67">
        <f>IF(B75,B87,IF(D75,D87,C82))</f>
        <v>1729.7293688033053</v>
      </c>
      <c r="E82" s="67"/>
      <c r="F82" s="67"/>
      <c r="G82" s="67">
        <f>IF(E75,E87,IF(G75,G87,D82))</f>
        <v>1736.9804479671591</v>
      </c>
      <c r="H82" s="67"/>
      <c r="I82" s="67"/>
      <c r="J82" s="67">
        <f>IF(H75,H87,IF(J75,J87,G82))</f>
        <v>1736.9804479671591</v>
      </c>
      <c r="K82" s="67"/>
      <c r="L82" s="67"/>
      <c r="M82" s="67">
        <f>IF(K75,K87,IF(M75,M87,J82))</f>
        <v>1712.7884350221343</v>
      </c>
      <c r="N82" s="67"/>
      <c r="O82" s="67"/>
      <c r="P82" s="67">
        <f>IF(N75,N87,IF(P75,P87,M82))</f>
        <v>1712.7884350221343</v>
      </c>
      <c r="Q82" s="67"/>
      <c r="R82" s="67"/>
      <c r="S82" s="67">
        <f>IF(Q75,Q87,IF(S75,S87,P82))</f>
        <v>1739.6063743212455</v>
      </c>
      <c r="T82" s="67"/>
      <c r="U82" s="67"/>
      <c r="V82" s="67">
        <f>IF(T75,T87,IF(V75,V87,S82))</f>
        <v>1739.6063743212455</v>
      </c>
      <c r="W82" s="67"/>
      <c r="X82" s="67"/>
      <c r="Y82" s="67">
        <f>IF(W75,W87,IF(Y75,Y87,V82))</f>
        <v>1739.6063743212455</v>
      </c>
      <c r="Z82" s="67"/>
      <c r="AA82" s="67"/>
      <c r="AB82" s="67">
        <f>IF(Z75,Z87,IF(AB75,AB87,Y82))</f>
        <v>1770.0273105855756</v>
      </c>
      <c r="AC82" s="67"/>
      <c r="AD82" s="67"/>
      <c r="AE82" s="67">
        <f>IF(AC75,AC87,IF(AE75,AE87,AB82))</f>
        <v>1770.0273105855756</v>
      </c>
      <c r="AF82" s="4"/>
      <c r="AG82" s="4"/>
      <c r="AJ82" s="4"/>
      <c r="AL82" s="4"/>
      <c r="AM82" s="4"/>
      <c r="AN82" s="4"/>
      <c r="AO82" s="4"/>
      <c r="AT82" s="63" t="str">
        <f>B82</f>
        <v>Emerald City 14-1</v>
      </c>
      <c r="AU82" s="63">
        <f>AE82</f>
        <v>1770.0273105855756</v>
      </c>
      <c r="AW82" s="66"/>
      <c r="BB82" s="66"/>
    </row>
    <row r="83" spans="1:54" s="63" customFormat="1" hidden="1" x14ac:dyDescent="0.2">
      <c r="A83" s="67">
        <v>5</v>
      </c>
      <c r="B83" s="67" t="str">
        <f>E16</f>
        <v>Sumter VBC 14</v>
      </c>
      <c r="C83" s="67">
        <f>VLOOKUP(B83,AU$3:AY$12,3,FALSE)</f>
        <v>1705.4420103544176</v>
      </c>
      <c r="D83" s="67">
        <f>IF(B76,B87,IF(D76,D87,C83))</f>
        <v>1681.9422778920584</v>
      </c>
      <c r="E83" s="67"/>
      <c r="F83" s="67"/>
      <c r="G83" s="67">
        <f>IF(E76,E87,IF(G76,G87,D83))</f>
        <v>1681.9422778920584</v>
      </c>
      <c r="H83" s="67"/>
      <c r="I83" s="67"/>
      <c r="J83" s="67">
        <f>IF(H76,H87,IF(J76,J87,G83))</f>
        <v>1656.025214185071</v>
      </c>
      <c r="K83" s="67"/>
      <c r="L83" s="67"/>
      <c r="M83" s="67">
        <f>IF(K76,K87,IF(M76,M87,J83))</f>
        <v>1656.025214185071</v>
      </c>
      <c r="N83" s="67"/>
      <c r="O83" s="67"/>
      <c r="P83" s="67">
        <f>IF(N76,N87,IF(P76,P87,M83))</f>
        <v>1656.025214185071</v>
      </c>
      <c r="Q83" s="67"/>
      <c r="R83" s="67"/>
      <c r="S83" s="67">
        <f>IF(Q76,Q87,IF(S76,S87,P83))</f>
        <v>1629.2072748859598</v>
      </c>
      <c r="T83" s="67"/>
      <c r="U83" s="67"/>
      <c r="V83" s="67">
        <f>IF(T76,T87,IF(V76,V87,S83))</f>
        <v>1629.2072748859598</v>
      </c>
      <c r="W83" s="67"/>
      <c r="X83" s="67"/>
      <c r="Y83" s="67">
        <f>IF(W76,W87,IF(Y76,Y87,V83))</f>
        <v>1614.0203729802658</v>
      </c>
      <c r="Z83" s="67"/>
      <c r="AA83" s="67"/>
      <c r="AB83" s="67">
        <f>IF(Z76,Z87,IF(AB76,AB87,Y83))</f>
        <v>1614.0203729802658</v>
      </c>
      <c r="AC83" s="67"/>
      <c r="AD83" s="67"/>
      <c r="AE83" s="67">
        <f>IF(AC76,AC87,IF(AE76,AE87,AB83))</f>
        <v>1614.0203729802658</v>
      </c>
      <c r="AF83" s="4"/>
      <c r="AG83" s="4"/>
      <c r="AJ83" s="4"/>
      <c r="AL83" s="4"/>
      <c r="AM83" s="4"/>
      <c r="AN83" s="4"/>
      <c r="AO83" s="4"/>
      <c r="AT83" s="63" t="str">
        <f>B83</f>
        <v>Sumter VBC 14</v>
      </c>
      <c r="AU83" s="63">
        <f>AE83</f>
        <v>1614.0203729802658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1800</v>
      </c>
      <c r="C85" s="67">
        <v>1</v>
      </c>
      <c r="D85" s="67">
        <f>VLOOKUP(D24,$A79:$AE83,3,FALSE)</f>
        <v>1705.4420103544176</v>
      </c>
      <c r="E85" s="67">
        <f>VLOOKUP(E24,$A79:$AE83,4,FALSE)</f>
        <v>1809.8475028761886</v>
      </c>
      <c r="F85" s="67">
        <v>2</v>
      </c>
      <c r="G85" s="67">
        <f>VLOOKUP(G24,$A79:$AE83,4,FALSE)</f>
        <v>1729.7293688033053</v>
      </c>
      <c r="H85" s="67">
        <f>VLOOKUP(H24,$A79:$AE83,7,FALSE)</f>
        <v>1748.8001298774316</v>
      </c>
      <c r="I85" s="67">
        <v>3</v>
      </c>
      <c r="J85" s="67">
        <f>VLOOKUP(J24,$A79:$AE83,7,FALSE)</f>
        <v>1681.9422778920584</v>
      </c>
      <c r="K85" s="67">
        <f>VLOOKUP(K24,$A79:$AE83,10,FALSE)</f>
        <v>1823.4997324623591</v>
      </c>
      <c r="L85" s="67">
        <v>4</v>
      </c>
      <c r="M85" s="67">
        <f>VLOOKUP(M24,$A79:$AE83,10,FALSE)</f>
        <v>1736.9804479671591</v>
      </c>
      <c r="N85" s="67">
        <f>VLOOKUP(N24,$A79:$AE83,13,FALSE)</f>
        <v>1802.5964237123349</v>
      </c>
      <c r="O85" s="67">
        <v>5</v>
      </c>
      <c r="P85" s="67">
        <f>VLOOKUP(P24,$A79:$AE83,13,FALSE)</f>
        <v>1774.717193584419</v>
      </c>
      <c r="Q85" s="67">
        <f>VLOOKUP(Q24,$A79:$AE83,16,FALSE)</f>
        <v>1712.7884350221343</v>
      </c>
      <c r="R85" s="67">
        <v>6</v>
      </c>
      <c r="S85" s="67">
        <f>VLOOKUP(S24,$A79:$AE83,16,FALSE)</f>
        <v>1656.025214185071</v>
      </c>
      <c r="T85" s="67">
        <f>VLOOKUP(T24,$A79:$AE83,19,FALSE)</f>
        <v>1847.6917454073839</v>
      </c>
      <c r="U85" s="67">
        <v>7</v>
      </c>
      <c r="V85" s="67">
        <f>VLOOKUP(V24,$A79:$AE83,19,FALSE)</f>
        <v>1745.2794685047036</v>
      </c>
      <c r="W85" s="67">
        <f>VLOOKUP(W24,$A79:$AE83,22,FALSE)</f>
        <v>1832.0341487920502</v>
      </c>
      <c r="X85" s="67">
        <v>8</v>
      </c>
      <c r="Y85" s="67">
        <f>VLOOKUP(Y24,$A79:$AE83,22,FALSE)</f>
        <v>1629.2072748859598</v>
      </c>
      <c r="Z85" s="67">
        <f>VLOOKUP(Z24,$A79:$AE83,25,FALSE)</f>
        <v>1722.4479716758754</v>
      </c>
      <c r="AA85" s="67">
        <v>9</v>
      </c>
      <c r="AB85" s="67">
        <f>VLOOKUP(AB24,$A79:$AE83,25,FALSE)</f>
        <v>1739.6063743212455</v>
      </c>
      <c r="AC85" s="67">
        <f>VLOOKUP(AC24,$A79:$AE83,28,FALSE)</f>
        <v>1847.2210506977442</v>
      </c>
      <c r="AD85" s="67">
        <v>10</v>
      </c>
      <c r="AE85" s="67">
        <f>VLOOKUP(AE24,$A79:$AE83,28,FALSE)</f>
        <v>1870.5232422362124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1.2656333605512791</v>
      </c>
      <c r="C86" s="68"/>
      <c r="D86" s="68">
        <f>1/(1+(10^-((D85-B85)/400)))*(B36+D36)</f>
        <v>0.73436663944872094</v>
      </c>
      <c r="E86" s="68">
        <f>1/(1+(10^-((E85-G85)/400)))*(E36+G36)</f>
        <v>1.2265962238704311</v>
      </c>
      <c r="F86" s="68"/>
      <c r="G86" s="68">
        <f>1/(1+(10^-((G85-E85)/400)))*(E36+G36)</f>
        <v>0.77340377612956879</v>
      </c>
      <c r="H86" s="68">
        <f>1/(1+(10^-((H85-J85)/400)))*(H36+J36)</f>
        <v>1.1900917591566444</v>
      </c>
      <c r="I86" s="68"/>
      <c r="J86" s="68">
        <f>1/(1+(10^-((J85-H85)/400)))*(H36+J36)</f>
        <v>0.80990824084335578</v>
      </c>
      <c r="K86" s="68">
        <f>1/(1+(10^-((K85-M85)/400)))*(K36+M36)</f>
        <v>1.2439995954679754</v>
      </c>
      <c r="L86" s="68"/>
      <c r="M86" s="68">
        <f>1/(1+(10^-((M85-K85)/400)))*(K36+M36)</f>
        <v>0.75600040453202455</v>
      </c>
      <c r="N86" s="68">
        <f>1/(1+(10^-((N85-P85)/400)))*(N36+P36)</f>
        <v>1.080071091258894</v>
      </c>
      <c r="O86" s="68"/>
      <c r="P86" s="68">
        <f>1/(1+(10^-((P85-N85)/400)))*(N36+P36)</f>
        <v>0.91992890874110589</v>
      </c>
      <c r="Q86" s="68">
        <f>1/(1+(10^-((Q85-S85)/400)))*(Q36+S36)</f>
        <v>1.1619393969027736</v>
      </c>
      <c r="R86" s="68"/>
      <c r="S86" s="68">
        <f>1/(1+(10^-((S85-Q85)/400)))*(Q36+S36)</f>
        <v>0.83806060309722652</v>
      </c>
      <c r="T86" s="68">
        <f>1/(1+(10^-((T85-V85)/400)))*(T36+V36)</f>
        <v>1.2865157240991145</v>
      </c>
      <c r="U86" s="68"/>
      <c r="V86" s="68">
        <f>1/(1+(10^-((V85-T85)/400)))*(T36+V36)</f>
        <v>0.71348427590088537</v>
      </c>
      <c r="W86" s="68">
        <f>1/(1+(10^-((W85-Y85)/400)))*(W36+Y36)</f>
        <v>1.5254093154470618</v>
      </c>
      <c r="X86" s="68"/>
      <c r="Y86" s="68">
        <f>1/(1+(10^-((Y85-W85)/400)))*(W36+Y36)</f>
        <v>0.47459068455293824</v>
      </c>
      <c r="Z86" s="68">
        <f>1/(1+(10^-((Z85-AB85)/400)))*(Z36+AB36)</f>
        <v>0.95065425826031136</v>
      </c>
      <c r="AA86" s="68"/>
      <c r="AB86" s="68">
        <f>1/(1+(10^-((AB85-Z85)/400)))*(Z36+AB36)</f>
        <v>1.0493457417396885</v>
      </c>
      <c r="AC86" s="68">
        <f>1/(1+(10^-((AC85-AE85)/400)))*(AC36+AE36)</f>
        <v>0.93303128563067561</v>
      </c>
      <c r="AD86" s="68"/>
      <c r="AE86" s="68">
        <f>1/(1+(10^-((AE85-AC85)/400)))*(AC36+AE36)</f>
        <v>1.0669687143693243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1823.4997324623591</v>
      </c>
      <c r="C87" s="74"/>
      <c r="D87" s="74">
        <f>D85+(D36-D86)*$BA$1</f>
        <v>1681.9422778920584</v>
      </c>
      <c r="E87" s="74">
        <f>E85+(E36-E86)*$BA$1</f>
        <v>1802.5964237123349</v>
      </c>
      <c r="F87" s="74"/>
      <c r="G87" s="74">
        <f>G85+(G36-G86)*$BA$1</f>
        <v>1736.9804479671591</v>
      </c>
      <c r="H87" s="74">
        <f>H85+(H36-H86)*$BA$1</f>
        <v>1774.717193584419</v>
      </c>
      <c r="I87" s="74"/>
      <c r="J87" s="74">
        <f>J85+(J36-J86)*$BA$1</f>
        <v>1656.025214185071</v>
      </c>
      <c r="K87" s="74">
        <f>K85+(K36-K86)*$BA$1</f>
        <v>1847.6917454073839</v>
      </c>
      <c r="L87" s="74"/>
      <c r="M87" s="74">
        <f>M85+(M36-M86)*$BA$1</f>
        <v>1712.7884350221343</v>
      </c>
      <c r="N87" s="74">
        <f>N85+(N36-N86)*$BA$1</f>
        <v>1832.0341487920502</v>
      </c>
      <c r="O87" s="74"/>
      <c r="P87" s="74">
        <f>P85+(P36-P86)*$BA$1</f>
        <v>1745.2794685047036</v>
      </c>
      <c r="Q87" s="74">
        <f>Q85+(Q36-Q86)*$BA$1</f>
        <v>1739.6063743212455</v>
      </c>
      <c r="R87" s="74"/>
      <c r="S87" s="74">
        <f>S85+(S36-S86)*$BA$1</f>
        <v>1629.2072748859598</v>
      </c>
      <c r="T87" s="74">
        <f>T85+(T36-T86)*$BA$1</f>
        <v>1870.5232422362124</v>
      </c>
      <c r="U87" s="74"/>
      <c r="V87" s="74">
        <f>V85+(V36-V86)*$BA$1</f>
        <v>1722.4479716758754</v>
      </c>
      <c r="W87" s="74">
        <f>W85+(W36-W86)*$BA$1</f>
        <v>1847.2210506977442</v>
      </c>
      <c r="X87" s="74"/>
      <c r="Y87" s="74">
        <f>Y85+(Y36-Y86)*$BA$1</f>
        <v>1614.0203729802658</v>
      </c>
      <c r="Z87" s="74">
        <f>Z85+(Z36-Z86)*$BA$1</f>
        <v>1692.0270354115453</v>
      </c>
      <c r="AA87" s="74"/>
      <c r="AB87" s="74">
        <f>AB85+(AB36-AB86)*$BA$1</f>
        <v>1770.0273105855756</v>
      </c>
      <c r="AC87" s="74">
        <f>AC85+(AC36-AC86)*$BA$1</f>
        <v>1849.3640495575626</v>
      </c>
      <c r="AD87" s="74"/>
      <c r="AE87" s="74">
        <f>AE85+(AE36-AE86)*$BA$1</f>
        <v>1868.380243376394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  <c r="AW89" s="66"/>
    </row>
    <row r="90" spans="1:54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W90" s="66"/>
    </row>
    <row r="91" spans="1:54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Games Won</v>
      </c>
      <c r="M92" s="255"/>
      <c r="N92" s="255"/>
      <c r="O92" s="255"/>
      <c r="P92" s="255"/>
      <c r="Q92" s="256"/>
      <c r="R92" s="254" t="str">
        <f>IF($AK95=0,"Games Lost","Matches Lost")</f>
        <v>Games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TEV 14 Whitney</v>
      </c>
      <c r="F93" s="233"/>
      <c r="G93" s="233"/>
      <c r="H93" s="233"/>
      <c r="I93" s="233"/>
      <c r="J93" s="233"/>
      <c r="K93" s="234"/>
      <c r="L93" s="235">
        <f>IF($AK95=0,AF149,AF131)</f>
        <v>8</v>
      </c>
      <c r="M93" s="236"/>
      <c r="N93" s="236"/>
      <c r="O93" s="236"/>
      <c r="P93" s="236"/>
      <c r="Q93" s="256"/>
      <c r="R93" s="235">
        <f>IF($AK95=0,AG149,AG131)</f>
        <v>0</v>
      </c>
      <c r="S93" s="236"/>
      <c r="T93" s="236"/>
      <c r="U93" s="236"/>
      <c r="V93" s="236"/>
      <c r="W93" s="235">
        <f>AQ109</f>
        <v>100</v>
      </c>
      <c r="X93" s="236"/>
      <c r="Y93" s="236"/>
      <c r="Z93" s="239">
        <f>IF(AF143&gt;0,(AQ109/AF143),0)</f>
        <v>0.5</v>
      </c>
      <c r="AA93" s="240"/>
      <c r="AB93" s="240"/>
      <c r="AC93" s="262">
        <f>IF(AF157=0,0,(AF149/AF157))</f>
        <v>1</v>
      </c>
      <c r="AD93" s="263"/>
      <c r="AE93" s="264"/>
      <c r="AF93" s="268">
        <v>1</v>
      </c>
      <c r="AG93" s="268">
        <v>1</v>
      </c>
      <c r="AH93" s="270"/>
      <c r="AI93" s="271"/>
      <c r="AJ93" s="27"/>
      <c r="AK93" s="28">
        <v>10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228"/>
      <c r="B94" s="274" t="s">
        <v>11</v>
      </c>
      <c r="C94" s="275"/>
      <c r="D94" s="276"/>
      <c r="E94" s="277" t="str">
        <f>AV4</f>
        <v>fj4triex1so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5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Emerald City 14-2</v>
      </c>
      <c r="F95" s="233"/>
      <c r="G95" s="233"/>
      <c r="H95" s="233"/>
      <c r="I95" s="233"/>
      <c r="J95" s="233"/>
      <c r="K95" s="234"/>
      <c r="L95" s="235">
        <f>IF($AK95=0,AF150,AF132)</f>
        <v>2</v>
      </c>
      <c r="M95" s="236"/>
      <c r="N95" s="236"/>
      <c r="O95" s="236"/>
      <c r="P95" s="236"/>
      <c r="Q95" s="256"/>
      <c r="R95" s="235">
        <f>IF($AK95=0,AG150,AG132)</f>
        <v>6</v>
      </c>
      <c r="S95" s="236"/>
      <c r="T95" s="236"/>
      <c r="U95" s="236"/>
      <c r="V95" s="236"/>
      <c r="W95" s="235">
        <f>AQ110</f>
        <v>-46</v>
      </c>
      <c r="X95" s="236"/>
      <c r="Y95" s="236"/>
      <c r="Z95" s="239">
        <f>IF(AF144&gt;0,(AQ110/AF144),0)</f>
        <v>-0.23</v>
      </c>
      <c r="AA95" s="240"/>
      <c r="AB95" s="240"/>
      <c r="AC95" s="262">
        <f>IF(AF158=0,0,(AF150/AF158))</f>
        <v>0.25</v>
      </c>
      <c r="AD95" s="263"/>
      <c r="AE95" s="264"/>
      <c r="AF95" s="268">
        <v>4</v>
      </c>
      <c r="AG95" s="268">
        <v>1</v>
      </c>
      <c r="AH95" s="270"/>
      <c r="AI95" s="271"/>
      <c r="AJ95" s="27"/>
      <c r="AK95" s="28">
        <v>0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228"/>
      <c r="B96" s="284" t="s">
        <v>11</v>
      </c>
      <c r="C96" s="285"/>
      <c r="D96" s="285"/>
      <c r="E96" s="277" t="str">
        <f>AV5</f>
        <v>fj4ecity2pm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Intense 14 Region</v>
      </c>
      <c r="F97" s="233"/>
      <c r="G97" s="233"/>
      <c r="H97" s="233"/>
      <c r="I97" s="233"/>
      <c r="J97" s="233"/>
      <c r="K97" s="234"/>
      <c r="L97" s="235">
        <f>IF($AK95=0,AF151,AF133)</f>
        <v>4</v>
      </c>
      <c r="M97" s="236"/>
      <c r="N97" s="236"/>
      <c r="O97" s="236"/>
      <c r="P97" s="236"/>
      <c r="Q97" s="256"/>
      <c r="R97" s="235">
        <f>IF($AK95=0,AG151,AG133)</f>
        <v>4</v>
      </c>
      <c r="S97" s="236"/>
      <c r="T97" s="236"/>
      <c r="U97" s="236"/>
      <c r="V97" s="236"/>
      <c r="W97" s="235">
        <f>AQ111</f>
        <v>-12</v>
      </c>
      <c r="X97" s="236"/>
      <c r="Y97" s="236"/>
      <c r="Z97" s="239">
        <f>IF(AF145&gt;0,(AQ111/AF145),0)</f>
        <v>-0.06</v>
      </c>
      <c r="AA97" s="240"/>
      <c r="AB97" s="240"/>
      <c r="AC97" s="262">
        <f>IF(AF159=0,0,(AF151/AF159))</f>
        <v>0.5</v>
      </c>
      <c r="AD97" s="263"/>
      <c r="AE97" s="264"/>
      <c r="AF97" s="268">
        <v>3</v>
      </c>
      <c r="AG97" s="268">
        <v>1</v>
      </c>
      <c r="AH97" s="270"/>
      <c r="AI97" s="271"/>
      <c r="AJ97" s="31"/>
      <c r="AK97" s="28">
        <v>8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fj4inten4pm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Club Coastal 14 White</v>
      </c>
      <c r="F99" s="233"/>
      <c r="G99" s="233"/>
      <c r="H99" s="233"/>
      <c r="I99" s="233"/>
      <c r="J99" s="233"/>
      <c r="K99" s="234"/>
      <c r="L99" s="235">
        <f>IF($AK95=0,AF152,AF134)</f>
        <v>1</v>
      </c>
      <c r="M99" s="236"/>
      <c r="N99" s="236"/>
      <c r="O99" s="236"/>
      <c r="P99" s="236"/>
      <c r="Q99" s="256"/>
      <c r="R99" s="235">
        <f>IF($AK95=0,AG152,AG134)</f>
        <v>7</v>
      </c>
      <c r="S99" s="236"/>
      <c r="T99" s="236"/>
      <c r="U99" s="236"/>
      <c r="V99" s="236"/>
      <c r="W99" s="235">
        <f>AQ112</f>
        <v>-48</v>
      </c>
      <c r="X99" s="236"/>
      <c r="Y99" s="236"/>
      <c r="Z99" s="239">
        <f>IF(AF146&gt;0,(AQ112/AF146),0)</f>
        <v>-0.24</v>
      </c>
      <c r="AA99" s="240"/>
      <c r="AB99" s="240"/>
      <c r="AC99" s="262">
        <f>IF(AF160=0,0,(AF152/AF160))</f>
        <v>0.125</v>
      </c>
      <c r="AD99" s="263"/>
      <c r="AE99" s="264"/>
      <c r="AF99" s="268">
        <v>5</v>
      </c>
      <c r="AG99" s="268">
        <v>1</v>
      </c>
      <c r="AH99" s="270"/>
      <c r="AI99" s="271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fj4ccoas2pm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227" t="str">
        <f>IF($AK94&gt;4,"5","")</f>
        <v>5</v>
      </c>
      <c r="B101" s="286" t="s">
        <v>10</v>
      </c>
      <c r="C101" s="287"/>
      <c r="D101" s="287"/>
      <c r="E101" s="232" t="str">
        <f>AU12</f>
        <v>SC Midlands 14 Garnet</v>
      </c>
      <c r="F101" s="233"/>
      <c r="G101" s="233"/>
      <c r="H101" s="233"/>
      <c r="I101" s="233"/>
      <c r="J101" s="233"/>
      <c r="K101" s="234"/>
      <c r="L101" s="235">
        <f>IF($AK95=0,AF153,AF135)</f>
        <v>5</v>
      </c>
      <c r="M101" s="236"/>
      <c r="N101" s="236"/>
      <c r="O101" s="236"/>
      <c r="P101" s="236"/>
      <c r="Q101" s="256"/>
      <c r="R101" s="235">
        <f>IF($AK95=0,AG153,AG135)</f>
        <v>3</v>
      </c>
      <c r="S101" s="236"/>
      <c r="T101" s="236"/>
      <c r="U101" s="236"/>
      <c r="V101" s="236"/>
      <c r="W101" s="235">
        <f>AQ113</f>
        <v>6</v>
      </c>
      <c r="X101" s="236"/>
      <c r="Y101" s="236"/>
      <c r="Z101" s="239">
        <f>IF(AF147&gt;0,(AQ113/AF147),0)</f>
        <v>0.03</v>
      </c>
      <c r="AA101" s="240"/>
      <c r="AB101" s="240"/>
      <c r="AC101" s="262">
        <f>IF(AF161=0,0,(AF153/AF161))</f>
        <v>0.625</v>
      </c>
      <c r="AD101" s="263"/>
      <c r="AE101" s="264"/>
      <c r="AF101" s="268">
        <v>2</v>
      </c>
      <c r="AG101" s="268">
        <v>1</v>
      </c>
      <c r="AH101" s="270"/>
      <c r="AI101" s="271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410" t="str">
        <f>AV12</f>
        <v>fj4scmid4pm</v>
      </c>
      <c r="F102" s="411"/>
      <c r="G102" s="411"/>
      <c r="H102" s="411"/>
      <c r="I102" s="411"/>
      <c r="J102" s="411"/>
      <c r="K102" s="411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305" t="s">
        <v>65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thickTop="1" x14ac:dyDescent="0.2">
      <c r="A104" s="4" t="s">
        <v>66</v>
      </c>
      <c r="B104" s="308">
        <v>0.35416666666666669</v>
      </c>
      <c r="C104" s="309"/>
      <c r="D104" s="310"/>
      <c r="E104" s="308">
        <v>0.38541666666666669</v>
      </c>
      <c r="F104" s="309"/>
      <c r="G104" s="310"/>
      <c r="H104" s="308">
        <v>0.41666666666666669</v>
      </c>
      <c r="I104" s="309"/>
      <c r="J104" s="310"/>
      <c r="K104" s="308">
        <v>0.44791666666666669</v>
      </c>
      <c r="L104" s="309"/>
      <c r="M104" s="310"/>
      <c r="N104" s="308">
        <v>0.47916666666666669</v>
      </c>
      <c r="O104" s="309"/>
      <c r="P104" s="310"/>
      <c r="Q104" s="308">
        <v>0.51041666666666663</v>
      </c>
      <c r="R104" s="309"/>
      <c r="S104" s="310"/>
      <c r="T104" s="308">
        <v>4.1666666666666664E-2</v>
      </c>
      <c r="U104" s="309"/>
      <c r="V104" s="310"/>
      <c r="W104" s="308">
        <v>7.2916666666666671E-2</v>
      </c>
      <c r="X104" s="309"/>
      <c r="Y104" s="310"/>
      <c r="Z104" s="308">
        <v>0.10416666666666667</v>
      </c>
      <c r="AA104" s="309"/>
      <c r="AB104" s="310"/>
      <c r="AC104" s="308">
        <v>0.13541666666666666</v>
      </c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>
        <v>0.35416666666666669</v>
      </c>
      <c r="C105" s="320"/>
      <c r="D105" s="321"/>
      <c r="E105" s="319">
        <v>0.38541666666666669</v>
      </c>
      <c r="F105" s="320"/>
      <c r="G105" s="321"/>
      <c r="H105" s="319">
        <v>0.41666666666666669</v>
      </c>
      <c r="I105" s="320"/>
      <c r="J105" s="321"/>
      <c r="K105" s="319">
        <v>0.4513888888888889</v>
      </c>
      <c r="L105" s="320"/>
      <c r="M105" s="321"/>
      <c r="N105" s="319">
        <v>0.45833333333333331</v>
      </c>
      <c r="O105" s="320"/>
      <c r="P105" s="321"/>
      <c r="Q105" s="319">
        <v>0.51041666666666663</v>
      </c>
      <c r="R105" s="320"/>
      <c r="S105" s="321"/>
      <c r="T105" s="319">
        <v>0.53472222222222221</v>
      </c>
      <c r="U105" s="320"/>
      <c r="V105" s="321"/>
      <c r="W105" s="319">
        <v>6.1805555555555558E-2</v>
      </c>
      <c r="X105" s="320"/>
      <c r="Y105" s="321"/>
      <c r="Z105" s="319">
        <v>8.6805555555555566E-2</v>
      </c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>
        <v>0.375</v>
      </c>
      <c r="C106" s="320"/>
      <c r="D106" s="321"/>
      <c r="E106" s="319">
        <v>0.40902777777777777</v>
      </c>
      <c r="F106" s="320"/>
      <c r="G106" s="321"/>
      <c r="H106" s="319">
        <v>0.43472222222222223</v>
      </c>
      <c r="I106" s="320"/>
      <c r="J106" s="321"/>
      <c r="K106" s="319">
        <v>0.46388888888888885</v>
      </c>
      <c r="L106" s="320"/>
      <c r="M106" s="321"/>
      <c r="N106" s="319">
        <v>0.49305555555555558</v>
      </c>
      <c r="O106" s="320"/>
      <c r="P106" s="321"/>
      <c r="Q106" s="319">
        <v>0.52777777777777779</v>
      </c>
      <c r="R106" s="320"/>
      <c r="S106" s="321"/>
      <c r="T106" s="319">
        <v>5.5555555555555552E-2</v>
      </c>
      <c r="U106" s="320"/>
      <c r="V106" s="321"/>
      <c r="W106" s="319">
        <v>8.3333333333333329E-2</v>
      </c>
      <c r="X106" s="320"/>
      <c r="Y106" s="321"/>
      <c r="Z106" s="319">
        <v>0.11458333333333333</v>
      </c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7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>Match 7</v>
      </c>
      <c r="U107" s="323"/>
      <c r="V107" s="324"/>
      <c r="W107" s="322" t="str">
        <f>IF(AK93&gt;7,"Match 8","")</f>
        <v>Match 8</v>
      </c>
      <c r="X107" s="323"/>
      <c r="Y107" s="324"/>
      <c r="Z107" s="322" t="str">
        <f>IF(AK93&gt;8,"Match 9","")</f>
        <v>Match 9</v>
      </c>
      <c r="AA107" s="323"/>
      <c r="AB107" s="324"/>
      <c r="AC107" s="322" t="str">
        <f>IF(AK93&gt;9,"Match 10","")</f>
        <v>Match 10</v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7"/>
      <c r="B108" s="325" t="s">
        <v>71</v>
      </c>
      <c r="C108" s="326"/>
      <c r="D108" s="327"/>
      <c r="E108" s="325" t="s">
        <v>72</v>
      </c>
      <c r="F108" s="326"/>
      <c r="G108" s="327"/>
      <c r="H108" s="325" t="s">
        <v>73</v>
      </c>
      <c r="I108" s="326"/>
      <c r="J108" s="327"/>
      <c r="K108" s="325" t="s">
        <v>74</v>
      </c>
      <c r="L108" s="326"/>
      <c r="M108" s="327"/>
      <c r="N108" s="325" t="s">
        <v>75</v>
      </c>
      <c r="O108" s="326"/>
      <c r="P108" s="327"/>
      <c r="Q108" s="325" t="s">
        <v>73</v>
      </c>
      <c r="R108" s="326"/>
      <c r="S108" s="327"/>
      <c r="T108" s="325" t="s">
        <v>71</v>
      </c>
      <c r="U108" s="326"/>
      <c r="V108" s="327"/>
      <c r="W108" s="325" t="s">
        <v>75</v>
      </c>
      <c r="X108" s="326"/>
      <c r="Y108" s="327"/>
      <c r="Z108" s="325" t="s">
        <v>74</v>
      </c>
      <c r="AA108" s="326"/>
      <c r="AB108" s="327"/>
      <c r="AC108" s="325" t="s">
        <v>72</v>
      </c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29</v>
      </c>
      <c r="AI109" s="48" t="str">
        <f>IF(AK94&lt;1,"",IF(AK93&lt;3,"",IF(H109=1,H115-J115,IF(J109=1,J115-H115,""))))</f>
        <v/>
      </c>
      <c r="AJ109" s="48" t="str">
        <f>IF(AK94&lt;1,"",IF(AK93&lt;4,"",IF(K109=1,K115-M115,IF(M109=1,M115-K115,""))))</f>
        <v/>
      </c>
      <c r="AK109" s="48">
        <f>IF(AK94&lt;1,"",IF(AK93&lt;5,"",IF(N109=1,N115-P115,IF(P109=1,P115-N115,""))))</f>
        <v>18</v>
      </c>
      <c r="AL109" s="48" t="str">
        <f>IF(AK94&lt;1,"",IF(AK93&lt;6,"",IF(Q109=1,Q115-S115,IF(S109=1,S115-Q115,""))))</f>
        <v/>
      </c>
      <c r="AM109" s="48" t="str">
        <f>IF(AK94&lt;1,"",IF(AK93&lt;7,"",IF(T109=1,T115-V115,IF(V109=1,V115-T115,""))))</f>
        <v/>
      </c>
      <c r="AN109" s="48">
        <f>IF(AK94&lt;1,"",IF(AK93&lt;8,"",IF(W109=1,W115-Y115,IF(Y109=1,Y115-W115,""))))</f>
        <v>26</v>
      </c>
      <c r="AO109" s="48" t="str">
        <f>IF(AK94&lt;1,"",IF(AK93&lt;9,"",IF(Z109=1,Z115-AB115,IF(AB109=1,AB115-Z115,""))))</f>
        <v/>
      </c>
      <c r="AP109" s="48">
        <f>IF(AK94&lt;1,"",IF(AK93&lt;10,"",IF(AC109=1,AC115-AE115,IF(AE109=1,AE115-AC115,""))))</f>
        <v>27</v>
      </c>
      <c r="AQ109" s="44">
        <f>SUM(AG109:AP109)</f>
        <v>100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23</v>
      </c>
      <c r="E110" s="49">
        <v>25</v>
      </c>
      <c r="F110" s="50" t="str">
        <f>IF(AK93&gt;1,"/","")</f>
        <v>/</v>
      </c>
      <c r="G110" s="51">
        <v>10</v>
      </c>
      <c r="H110" s="49">
        <v>16</v>
      </c>
      <c r="I110" s="50" t="str">
        <f>IF(AK93&gt;2,"/","")</f>
        <v>/</v>
      </c>
      <c r="J110" s="51">
        <v>25</v>
      </c>
      <c r="K110" s="49">
        <v>17</v>
      </c>
      <c r="L110" s="50" t="str">
        <f>IF(AK93&gt;3,"/","")</f>
        <v>/</v>
      </c>
      <c r="M110" s="51">
        <v>25</v>
      </c>
      <c r="N110" s="49">
        <v>25</v>
      </c>
      <c r="O110" s="50" t="str">
        <f>IF(AK93&gt;4,"/","")</f>
        <v>/</v>
      </c>
      <c r="P110" s="51">
        <v>19</v>
      </c>
      <c r="Q110" s="49">
        <v>23</v>
      </c>
      <c r="R110" s="50" t="str">
        <f>IF(AK93&gt;5,"/","")</f>
        <v>/</v>
      </c>
      <c r="S110" s="51">
        <v>25</v>
      </c>
      <c r="T110" s="49">
        <v>15</v>
      </c>
      <c r="U110" s="50" t="str">
        <f>IF(AK93&gt;6,"/","")</f>
        <v>/</v>
      </c>
      <c r="V110" s="51">
        <v>25</v>
      </c>
      <c r="W110" s="49">
        <v>25</v>
      </c>
      <c r="X110" s="50" t="str">
        <f>IF(AK93&gt;7,"/","")</f>
        <v>/</v>
      </c>
      <c r="Y110" s="51">
        <v>15</v>
      </c>
      <c r="Z110" s="49">
        <v>25</v>
      </c>
      <c r="AA110" s="50" t="str">
        <f>IF(AK93&gt;8,"/","")</f>
        <v>/</v>
      </c>
      <c r="AB110" s="51">
        <v>15</v>
      </c>
      <c r="AC110" s="49">
        <v>25</v>
      </c>
      <c r="AD110" s="50" t="str">
        <f>IF(AK93&gt;9,"/","")</f>
        <v>/</v>
      </c>
      <c r="AE110" s="51">
        <v>11</v>
      </c>
      <c r="AF110" s="42" t="str">
        <f>IF(AK94&gt;1,"Team 2","")</f>
        <v>Team 2</v>
      </c>
      <c r="AG110" s="48">
        <f>IF(AK94&lt;2,"",IF(AK93&lt;1,"",IF(B109=2,B115-D115,IF(D109=2,D115-B115,""))))</f>
        <v>-1</v>
      </c>
      <c r="AH110" s="48" t="str">
        <f>IF(AK94&lt;2,"",IF(AK93&lt;2,"",IF(E109=2,E115-G115,IF(G109=2,G115-E115,""))))</f>
        <v/>
      </c>
      <c r="AI110" s="48" t="str">
        <f>IF(AK94&lt;2,"",IF(AK93&lt;3,"",IF(H109=2,H115-J115,IF(J109=2,J115-H115,""))))</f>
        <v/>
      </c>
      <c r="AJ110" s="48">
        <f>IF(AK94&lt;2,"",IF(AK93&lt;4,"",IF(K109=2,K115-M115,IF(M109=2,M115-K115,""))))</f>
        <v>-5</v>
      </c>
      <c r="AK110" s="48" t="str">
        <f>IF(AK94&lt;2,"",IF(AK93&lt;5,"",IF(N109=2,N115-P115,IF(P109=2,P115-N115,""))))</f>
        <v/>
      </c>
      <c r="AL110" s="48" t="str">
        <f>IF(AK94&lt;2,"",IF(AK93&lt;6,"",IF(Q109=2,Q115-S115,IF(S109=2,S115-Q115,""))))</f>
        <v/>
      </c>
      <c r="AM110" s="48">
        <f>IF(AK94&lt;2,"",IF(AK93&lt;7,"",IF(T109=2,T115-V115,IF(V109=2,V115-T115,""))))</f>
        <v>-13</v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>
        <f>IF(AK94&lt;2,"",IF(AK93&lt;10,"",IF(AC109=2,AC115-AE115,IF(AE109=2,AE115-AC115,""))))</f>
        <v>-27</v>
      </c>
      <c r="AQ110" s="44">
        <f>SUM(AG110:AP110)</f>
        <v>-46</v>
      </c>
    </row>
    <row r="111" spans="1:44" ht="15" x14ac:dyDescent="0.2">
      <c r="A111" s="3" t="str">
        <f>IF(AK92&gt;1,"Game 2","")</f>
        <v>Game 2</v>
      </c>
      <c r="B111" s="49">
        <v>22</v>
      </c>
      <c r="C111" s="50" t="s">
        <v>80</v>
      </c>
      <c r="D111" s="51">
        <v>25</v>
      </c>
      <c r="E111" s="49">
        <v>25</v>
      </c>
      <c r="F111" s="50" t="str">
        <f>IF(AK93&gt;1,IF(AK92&gt;1,"/",""),"")</f>
        <v>/</v>
      </c>
      <c r="G111" s="51">
        <v>11</v>
      </c>
      <c r="H111" s="49">
        <v>15</v>
      </c>
      <c r="I111" s="50" t="str">
        <f>IF(AK93&gt;2,IF(AK92&gt;1,"/",""),"")</f>
        <v>/</v>
      </c>
      <c r="J111" s="51">
        <v>25</v>
      </c>
      <c r="K111" s="49">
        <v>25</v>
      </c>
      <c r="L111" s="50" t="str">
        <f>IF(AK93&gt;3,IF(AK92&gt;1,"/",""),"")</f>
        <v>/</v>
      </c>
      <c r="M111" s="51">
        <v>22</v>
      </c>
      <c r="N111" s="49">
        <v>25</v>
      </c>
      <c r="O111" s="50" t="str">
        <f>IF(AK93&gt;4,IF(AK92&gt;1,"/",""),"")</f>
        <v>/</v>
      </c>
      <c r="P111" s="51">
        <v>13</v>
      </c>
      <c r="Q111" s="49">
        <v>15</v>
      </c>
      <c r="R111" s="50" t="str">
        <f>IF(AK93&gt;5,IF(AK92&gt;1,"/",""),"")</f>
        <v>/</v>
      </c>
      <c r="S111" s="51">
        <v>25</v>
      </c>
      <c r="T111" s="49">
        <v>22</v>
      </c>
      <c r="U111" s="50" t="str">
        <f>IF(AK93&gt;6,IF(AK92&gt;1,"/",""),"")</f>
        <v>/</v>
      </c>
      <c r="V111" s="51">
        <v>25</v>
      </c>
      <c r="W111" s="49">
        <v>25</v>
      </c>
      <c r="X111" s="50" t="str">
        <f>IF(AK93&gt;7,IF(AK92&gt;1,"/",""),"")</f>
        <v>/</v>
      </c>
      <c r="Y111" s="51">
        <v>9</v>
      </c>
      <c r="Z111" s="49">
        <v>25</v>
      </c>
      <c r="AA111" s="50" t="str">
        <f>IF(AK93&gt;8,IF(AK92&gt;1,"/",""),"")</f>
        <v>/</v>
      </c>
      <c r="AB111" s="51">
        <v>23</v>
      </c>
      <c r="AC111" s="49">
        <v>25</v>
      </c>
      <c r="AD111" s="50" t="str">
        <f>IF(AK93&gt;9,IF(AK92&gt;1,"/",""),"")</f>
        <v>/</v>
      </c>
      <c r="AE111" s="51">
        <v>12</v>
      </c>
      <c r="AF111" s="42" t="str">
        <f>IF(AK94&gt;2,"Team 3","")</f>
        <v>Team 3</v>
      </c>
      <c r="AG111" s="48" t="str">
        <f>IF(AK94&lt;3,"",IF(AK93&lt;1,"",IF(B109=3,B115-D115,IF(D109=3,D115-B115,""))))</f>
        <v/>
      </c>
      <c r="AH111" s="48" t="str">
        <f>IF(AK94&lt;3,"",IF(AK93&lt;2,"",IF(E109=3,E115-G115,IF(G109=3,G115-E115,""))))</f>
        <v/>
      </c>
      <c r="AI111" s="48">
        <f>IF(AK94&lt;3,"",IF(AK93&lt;3,"",IF(H109=3,H115-J115,IF(J109=3,J115-H115,""))))</f>
        <v>-19</v>
      </c>
      <c r="AJ111" s="48" t="str">
        <f>IF(AK94&lt;3,"",IF(AK93&lt;4,"",IF(K109=3,K115-M115,IF(M109=3,M115-K115,""))))</f>
        <v/>
      </c>
      <c r="AK111" s="48">
        <f>IF(AK94&lt;3,"",IF(AK93&lt;5,"",IF(N109=3,N115-P115,IF(P109=3,P115-N115,""))))</f>
        <v>-18</v>
      </c>
      <c r="AL111" s="48" t="str">
        <f>IF(AK94&lt;3,"",IF(AK93&lt;6,"",IF(Q109=3,Q115-S115,IF(S109=3,S115-Q115,""))))</f>
        <v/>
      </c>
      <c r="AM111" s="48">
        <f>IF(AK94&lt;3,"",IF(AK93&lt;7,"",IF(T109=3,T115-V115,IF(V109=3,V115-T115,""))))</f>
        <v>13</v>
      </c>
      <c r="AN111" s="48" t="str">
        <f>IF(AK94&lt;3,"",IF(AK93&lt;8,"",IF(W109=3,W115-Y115,IF(Y109=3,Y115-W115,""))))</f>
        <v/>
      </c>
      <c r="AO111" s="48">
        <f>IF(AK94&lt;3,"",IF(AK93&lt;9,"",IF(Z109=3,Z115-AB115,IF(AB109=3,AB115-Z115,""))))</f>
        <v>12</v>
      </c>
      <c r="AP111" s="48" t="str">
        <f>IF(AK94&lt;3,"",IF(AK93&lt;9,"",IF(AC109=3,AC115-AE115,IF(AE109=3,AE115-AC115,""))))</f>
        <v/>
      </c>
      <c r="AQ111" s="44">
        <f>SUM(AG111:AP111)</f>
        <v>-12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-29</v>
      </c>
      <c r="AI112" s="48" t="str">
        <f>IF(AK94&lt;4,"",IF(AK93&lt;3,"",IF(H109=4,H115-J115,IF(J109=4,J115-H115,""))))</f>
        <v/>
      </c>
      <c r="AJ112" s="48">
        <f>IF(AK94&lt;4,"",IF(AK93&lt;4,"",IF(K109=4,K115-M115,IF(M109=4,M115-K115,""))))</f>
        <v>5</v>
      </c>
      <c r="AK112" s="48" t="str">
        <f>IF(AK94&lt;4,"",IF(AK93&lt;5,"",IF(N109=4,N115-P115,IF(P109=4,P115-N115,""))))</f>
        <v/>
      </c>
      <c r="AL112" s="48">
        <f>IF(AK94&lt;4,"",IF(AK93&lt;6,"",IF(Q109=4,Q115-S115,IF(S109=4,S115-Q115,""))))</f>
        <v>-12</v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>
        <f>IF(AK94&lt;4,"",IF(AK93&lt;9,"",IF(Z109=4,Z115-AB115,IF(AB109=4,AB115-Z115,""))))</f>
        <v>-12</v>
      </c>
      <c r="AP112" s="48" t="str">
        <f>IF(AK94&lt;4,"",IF(AK93&lt;10,"",IF(AC109=4,AC115-AE115,IF(AE109=4,AE115-AC115,""))))</f>
        <v/>
      </c>
      <c r="AQ112" s="44">
        <f>SUM(AG112:AP112)</f>
        <v>-48</v>
      </c>
    </row>
    <row r="113" spans="1:49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>Team 5</v>
      </c>
      <c r="AG113" s="52">
        <f>IF(AK94&lt;5,"",IF(AK93&lt;1,"",IF(B109=5,B115-D115,IF(D109=5,D115-B115,""))))</f>
        <v>1</v>
      </c>
      <c r="AH113" s="48" t="str">
        <f>IF(AK94&lt;5,"",IF(AK93&lt;2,"",IF(E109=5,E115-G115,IF(G109=5,G115-E115,""))))</f>
        <v/>
      </c>
      <c r="AI113" s="48">
        <f>IF(AK94&lt;5,"",IF(AK93&lt;3,"",IF(H109=5,H115-J115,IF(J109=5,J115-H115,""))))</f>
        <v>19</v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>
        <f>IF(AK94&lt;5,"",IF(AK93&lt;6,"",IF(Q109=5,Q115-S115,IF(S109=5,S115-Q115,""))))</f>
        <v>12</v>
      </c>
      <c r="AM113" s="48" t="str">
        <f>IF(AK94&lt;5,"",IF(AK93&lt;7,"",IF(T109=5,T115-V115,IF(V109=5,V115-T115,""))))</f>
        <v/>
      </c>
      <c r="AN113" s="48">
        <f>IF(AK94&lt;5,"",IF(AK93&lt;8,"",IF(W109=5,W115-Y115,IF(Y109=5,Y115-W115,""))))</f>
        <v>-26</v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6</v>
      </c>
    </row>
    <row r="114" spans="1:49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3"/>
      <c r="B115" s="53">
        <f>IF($AK92=5,SUM(B110:B114),IF($AK92=4,SUM(B110:B113),IF($AK92=3,SUM(B110:B112),IF($AK92=2,SUM(B110:B111),B110))))</f>
        <v>47</v>
      </c>
      <c r="C115" s="53"/>
      <c r="D115" s="53">
        <f>IF($AK92=5,SUM(D110:D114),IF($AK92=4,SUM(D110:D113),IF($AK92=3,SUM(D110:D112),IF($AK92=2,SUM(D110:D111),D110))))</f>
        <v>48</v>
      </c>
      <c r="E115" s="53">
        <f>IF($AK92=5,SUM(E110:E114),IF($AK92=4,SUM(E110:E113),IF($AK92=3,SUM(E110:E112),IF($AK92=2,SUM(E110:E111),E110))))</f>
        <v>50</v>
      </c>
      <c r="F115" s="53"/>
      <c r="G115" s="53">
        <f>IF($AK92=5,SUM(G110:G114),IF($AK92=4,SUM(G110:G113),IF($AK92=3,SUM(G110:G112),IF($AK92=2,SUM(G110:G111),G110))))</f>
        <v>21</v>
      </c>
      <c r="H115" s="53">
        <f>IF($AK92=5,SUM(H110:H114),IF($AK92=4,SUM(H110:H113),IF($AK92=3,SUM(H110:H112),IF($AK92=2,SUM(H110:H111),H110))))</f>
        <v>31</v>
      </c>
      <c r="I115" s="53"/>
      <c r="J115" s="53">
        <f>IF($AK92=5,SUM(J110:J114),IF($AK92=4,SUM(J110:J113),IF($AK92=3,SUM(J110:J112),IF($AK92=2,SUM(J110:J111),J110))))</f>
        <v>50</v>
      </c>
      <c r="K115" s="53">
        <f>IF($AK92=5,SUM(K110:K114),IF($AK92=4,SUM(K110:K113),IF($AK92=3,SUM(K110:K112),IF($AK92=2,SUM(K110:K111),K110))))</f>
        <v>42</v>
      </c>
      <c r="L115" s="53"/>
      <c r="M115" s="53">
        <f>IF($AK92=5,SUM(M110:M114),IF($AK92=4,SUM(M110:M113),IF($AK92=3,SUM(M110:M112),IF($AK92=2,SUM(M110:M111),M110))))</f>
        <v>47</v>
      </c>
      <c r="N115" s="53">
        <f>IF($AK92=5,SUM(N110:N114),IF($AK92=4,SUM(N110:N113),IF($AK92=3,SUM(N110:N112),IF($AK92=2,SUM(N110:N111),N110))))</f>
        <v>50</v>
      </c>
      <c r="O115" s="53"/>
      <c r="P115" s="53">
        <f>IF($AK92=5,SUM(P110:P114),IF($AK92=4,SUM(P110:P113),IF($AK92=3,SUM(P110:P112),IF($AK92=2,SUM(P110:P111),P110))))</f>
        <v>32</v>
      </c>
      <c r="Q115" s="53">
        <f>IF($AK92=5,SUM(Q110:Q114),IF($AK92=4,SUM(Q110:Q113),IF($AK92=3,SUM(Q110:Q112),IF($AK92=2,SUM(Q110:Q111),Q110))))</f>
        <v>38</v>
      </c>
      <c r="R115" s="53"/>
      <c r="S115" s="53">
        <f>IF($AK92=5,SUM(S110:S114),IF($AK92=4,SUM(S110:S113),IF($AK92=3,SUM(S110:S112),IF($AK92=2,SUM(S110:S111),S110))))</f>
        <v>50</v>
      </c>
      <c r="T115" s="53">
        <f>IF($AK92=5,SUM(T110:T114),IF($AK92=4,SUM(T110:T113),IF($AK92=3,SUM(T110:T112),IF($AK92=2,SUM(T110:T111),T110))))</f>
        <v>37</v>
      </c>
      <c r="U115" s="53"/>
      <c r="V115" s="53">
        <f>IF($AK92=5,SUM(V110:V114),IF($AK92=4,SUM(V110:V113),IF($AK92=3,SUM(V110:V112),IF($AK92=2,SUM(V110:V111),V110))))</f>
        <v>50</v>
      </c>
      <c r="W115" s="53">
        <f>IF($AK92=5,SUM(W110:W114),IF($AK92=4,SUM(W110:W113),IF($AK92=3,SUM(W110:W112),IF($AK92=2,SUM(W110:W111),W110))))</f>
        <v>50</v>
      </c>
      <c r="X115" s="53"/>
      <c r="Y115" s="53">
        <f>IF($AK92=5,SUM(Y110:Y114),IF($AK92=4,SUM(Y110:Y113),IF($AK92=3,SUM(Y110:Y112),IF($AK92=2,SUM(Y110:Y111),Y110))))</f>
        <v>24</v>
      </c>
      <c r="Z115" s="53">
        <f>IF($AK92=5,SUM(Z110:Z114),IF($AK92=4,SUM(Z110:Z113),IF($AK92=3,SUM(Z110:Z112),IF($AK92=2,SUM(Z110:Z111),Z110))))</f>
        <v>50</v>
      </c>
      <c r="AA115" s="53"/>
      <c r="AB115" s="53">
        <f>IF($AK92=5,SUM(AB110:AB114),IF($AK92=4,SUM(AB110:AB113),IF($AK92=3,SUM(AB110:AB112),IF($AK92=2,SUM(AB110:AB111),AB110))))</f>
        <v>38</v>
      </c>
      <c r="AC115" s="53">
        <f>IF($AK92=5,SUM(AC110:AC114),IF($AK92=4,SUM(AC110:AC113),IF($AK92=3,SUM(AC110:AC112),IF($AK92=2,SUM(AC110:AC111),AC110))))</f>
        <v>50</v>
      </c>
      <c r="AD115" s="53"/>
      <c r="AE115" s="53">
        <f>IF($AK92=5,SUM(AE110:AE114),IF($AK92=4,SUM(AE110:AE113),IF($AK92=3,SUM(AE110:AE112),IF($AK92=2,SUM(AE110:AE111),AE110))))</f>
        <v>23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1</v>
      </c>
      <c r="F116" s="56"/>
      <c r="G116" s="57">
        <f>IF(AND(G110&gt;E110,$AK93&gt;1,ISNUMBER(E110),ISNUMBER(G110)),1,0)</f>
        <v>0</v>
      </c>
      <c r="H116" s="56">
        <f>IF(AND(H110&gt;J110,$AK93&gt;2,ISNUMBER(H110),ISNUMBER(J110)),1,0)</f>
        <v>0</v>
      </c>
      <c r="I116" s="56"/>
      <c r="J116" s="57">
        <f>IF(AND(J110&gt;H110,$AK93&gt;2,ISNUMBER(H110),ISNUMBER(J110)),1,0)</f>
        <v>1</v>
      </c>
      <c r="K116" s="56">
        <f>IF(AND(K110&gt;M110,$AK93&gt;3,ISNUMBER(K110),ISNUMBER(M110)),1,0)</f>
        <v>0</v>
      </c>
      <c r="L116" s="56"/>
      <c r="M116" s="57">
        <f>IF(AND(M110&gt;K110,$AK93&gt;3,ISNUMBER(K110),ISNUMBER(M110)),1,0)</f>
        <v>1</v>
      </c>
      <c r="N116" s="56">
        <f>IF(AND(N110&gt;P110,$AK93&gt;4,ISNUMBER(N110),ISNUMBER(P110)),1,0)</f>
        <v>1</v>
      </c>
      <c r="O116" s="56"/>
      <c r="P116" s="57">
        <f>IF(AND(P110&gt;N110,$AK93&gt;4,ISNUMBER(N110),ISNUMBER(P110)),1,0)</f>
        <v>0</v>
      </c>
      <c r="Q116" s="56">
        <f>IF(AND(Q110&gt;S110,$AK93&gt;5,ISNUMBER(Q110),ISNUMBER(S110)),1,0)</f>
        <v>0</v>
      </c>
      <c r="R116" s="56"/>
      <c r="S116" s="57">
        <f>IF(AND(S110&gt;Q110,$AK93&gt;5,ISNUMBER(Q110),ISNUMBER(S110)),1,0)</f>
        <v>1</v>
      </c>
      <c r="T116" s="56">
        <f>IF(AND(T110&gt;V110,$AK93&gt;6,ISNUMBER(T110),ISNUMBER(V110)),1,0)</f>
        <v>0</v>
      </c>
      <c r="U116" s="56"/>
      <c r="V116" s="57">
        <f>IF(AND(V110&gt;T110,$AK93&gt;6,ISNUMBER(T110),ISNUMBER(V110)),1,0)</f>
        <v>1</v>
      </c>
      <c r="W116" s="56">
        <f>IF(AND(W110&gt;Y110,$AK93&gt;7,ISNUMBER(W110),ISNUMBER(Y110)),1,0)</f>
        <v>1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1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1</v>
      </c>
      <c r="AD116" s="56"/>
      <c r="AE116" s="57">
        <f>IF(AND(AE110&gt;AC110,$AK93&gt;9,ISNUMBER(AC110),ISNUMBER(AE110)),1,0)</f>
        <v>0</v>
      </c>
      <c r="AW116" s="58"/>
    </row>
    <row r="117" spans="1:49" s="55" customFormat="1" ht="12.75" hidden="1" customHeight="1" x14ac:dyDescent="0.2">
      <c r="A117" s="55" t="s">
        <v>82</v>
      </c>
      <c r="B117" s="56">
        <f>IF(AND(B111&gt;D111,$AK93&gt;0,$AK92&gt;1,ISNUMBER(B111),ISNUMBER(D111)),1,0)</f>
        <v>0</v>
      </c>
      <c r="C117" s="56"/>
      <c r="D117" s="57">
        <f>IF(AND(D111&gt;B111,$AK93&gt;0,$AK92&gt;1,ISNUMBER(B111),ISNUMBER(D111)),1,0)</f>
        <v>1</v>
      </c>
      <c r="E117" s="56">
        <f>IF(AND(E111&gt;G111,$AK93&gt;1,$AK92&gt;1,ISNUMBER(E111),ISNUMBER(G111)),1,0)</f>
        <v>1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0</v>
      </c>
      <c r="I117" s="56"/>
      <c r="J117" s="57">
        <f>IF(AND(J111&gt;H111,$AK93&gt;2,$AK92&gt;1,ISNUMBER(H111),ISNUMBER(J111)),1,0)</f>
        <v>1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1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0</v>
      </c>
      <c r="R117" s="56"/>
      <c r="S117" s="57">
        <f>IF(AND(S111&gt;Q111,$AK93&gt;5,$AK92&gt;1,ISNUMBER(Q111),ISNUMBER(S111)),1,0)</f>
        <v>1</v>
      </c>
      <c r="T117" s="56">
        <f>IF(AND(T111&gt;V111,$AK93&gt;6,$AK92&gt;1,ISNUMBER(T111),ISNUMBER(V111)),1,0)</f>
        <v>0</v>
      </c>
      <c r="U117" s="56"/>
      <c r="V117" s="57">
        <f>IF(AND(V111&gt;T111,$AK93&gt;6,$AK92&gt;1,ISNUMBER(T111),ISNUMBER(V111)),1,0)</f>
        <v>1</v>
      </c>
      <c r="W117" s="56">
        <f>IF(AND(W111&gt;Y111,$AK93&gt;7,$AK92&gt;1,ISNUMBER(W111),ISNUMBER(Y111)),1,0)</f>
        <v>1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1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1</v>
      </c>
      <c r="AD117" s="56"/>
      <c r="AE117" s="57">
        <f>IF(AND(AE111&gt;AC111,$AK93&gt;9,$AK92&gt;1,ISNUMBER(AC111),ISNUMBER(AE111)),1,0)</f>
        <v>0</v>
      </c>
      <c r="AW117" s="58"/>
    </row>
    <row r="118" spans="1:49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  <c r="AW118" s="58"/>
    </row>
    <row r="119" spans="1:49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  <c r="AW119" s="58"/>
    </row>
    <row r="120" spans="1:49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  <c r="AW120" s="58"/>
    </row>
    <row r="121" spans="1:49" s="55" customFormat="1" ht="38.25" hidden="1" customHeight="1" x14ac:dyDescent="0.2">
      <c r="A121" s="59" t="s">
        <v>86</v>
      </c>
      <c r="B121" s="55">
        <f>SUM(B116:B120)</f>
        <v>1</v>
      </c>
      <c r="D121" s="60">
        <f>SUM(D116:D120)</f>
        <v>1</v>
      </c>
      <c r="E121" s="55">
        <f>SUM(E116:E120)</f>
        <v>2</v>
      </c>
      <c r="G121" s="60">
        <f>SUM(G116:G120)</f>
        <v>0</v>
      </c>
      <c r="H121" s="55">
        <f>SUM(H116:H120)</f>
        <v>0</v>
      </c>
      <c r="J121" s="60">
        <f>SUM(J116:J120)</f>
        <v>2</v>
      </c>
      <c r="K121" s="55">
        <f>SUM(K116:K120)</f>
        <v>1</v>
      </c>
      <c r="M121" s="60">
        <f>SUM(M116:M120)</f>
        <v>1</v>
      </c>
      <c r="N121" s="55">
        <f>SUM(N116:N120)</f>
        <v>2</v>
      </c>
      <c r="P121" s="60">
        <f>SUM(P116:P120)</f>
        <v>0</v>
      </c>
      <c r="Q121" s="55">
        <f>SUM(Q116:Q120)</f>
        <v>0</v>
      </c>
      <c r="S121" s="60">
        <f>SUM(S116:S120)</f>
        <v>2</v>
      </c>
      <c r="T121" s="55">
        <f>SUM(T116:T120)</f>
        <v>0</v>
      </c>
      <c r="V121" s="60">
        <f>SUM(V116:V120)</f>
        <v>2</v>
      </c>
      <c r="W121" s="55">
        <f>SUM(W116:W120)</f>
        <v>2</v>
      </c>
      <c r="Y121" s="60">
        <f>SUM(Y116:Y120)</f>
        <v>0</v>
      </c>
      <c r="Z121" s="55">
        <f>SUM(Z116:Z120)</f>
        <v>2</v>
      </c>
      <c r="AB121" s="60">
        <f>SUM(AB116:AB120)</f>
        <v>0</v>
      </c>
      <c r="AC121" s="55">
        <f>SUM(AC116:AC120)</f>
        <v>2</v>
      </c>
      <c r="AE121" s="60">
        <f>SUM(AE116:AE120)</f>
        <v>0</v>
      </c>
      <c r="AW121" s="58"/>
    </row>
    <row r="122" spans="1:49" s="55" customFormat="1" ht="25.5" hidden="1" customHeight="1" x14ac:dyDescent="0.2">
      <c r="A122" s="59" t="s">
        <v>87</v>
      </c>
      <c r="B122" s="55">
        <f>IF(B121&gt;D121,IF(C156=AK92,1,IF(C156=AK92-1,1,0)),0)</f>
        <v>0</v>
      </c>
      <c r="C122" s="55">
        <f>B122+D122</f>
        <v>0</v>
      </c>
      <c r="D122" s="60">
        <f>IF(D121&gt;B121,IF(C156=AK92,1,IF(C156=AK92-1,1,0)),0)</f>
        <v>0</v>
      </c>
      <c r="E122" s="55">
        <f>IF(E121&gt;G121,IF(F156=AK92,1,IF(F156=AK92-1,1,0)),0)</f>
        <v>1</v>
      </c>
      <c r="F122" s="55">
        <f>E122+G122</f>
        <v>1</v>
      </c>
      <c r="G122" s="60">
        <f>IF(G121&gt;E121,IF(F156=AK92,1,IF(F156=AK92-1,1,0)),0)</f>
        <v>0</v>
      </c>
      <c r="H122" s="55">
        <f>IF(H121&gt;J121,IF(I156=AK92,1,IF(I156=AK92-1,1,0)),0)</f>
        <v>0</v>
      </c>
      <c r="I122" s="55">
        <f>H122+J122</f>
        <v>1</v>
      </c>
      <c r="J122" s="60">
        <f>IF(J121&gt;H121,IF(I156=AK92,1,IF(I156=AK92-1,1,0)),0)</f>
        <v>1</v>
      </c>
      <c r="K122" s="55">
        <f>IF(K121&gt;M121,IF(L156=AK92,1,IF(L156=AK92-1,1,0)),0)</f>
        <v>0</v>
      </c>
      <c r="L122" s="55">
        <f>K122+M122</f>
        <v>0</v>
      </c>
      <c r="M122" s="60">
        <f>IF(M121&gt;K121,IF(L156=AK92,1,IF(L156=AK92-1,1,0)),0)</f>
        <v>0</v>
      </c>
      <c r="N122" s="55">
        <f>IF(N121&gt;P121,IF(O156=AK92,1,IF(O156=AK92-1,1,0)),0)</f>
        <v>1</v>
      </c>
      <c r="O122" s="55">
        <f>N122+P122</f>
        <v>1</v>
      </c>
      <c r="P122" s="60">
        <f>IF(P121&gt;N121,IF(O156=AK92,1,IF(O156=AK92-1,1,0)),0)</f>
        <v>0</v>
      </c>
      <c r="Q122" s="55">
        <f>IF(Q121&gt;S121,IF(R156=AK92,1,IF(R156=AK92-1,1,0)),0)</f>
        <v>0</v>
      </c>
      <c r="R122" s="55">
        <f>Q122+S122</f>
        <v>1</v>
      </c>
      <c r="S122" s="60">
        <f>IF(S121&gt;Q121,IF(R156=AK92,1,IF(R156=AK92-1,1,0)),0)</f>
        <v>1</v>
      </c>
      <c r="T122" s="55">
        <f>IF(T121&gt;V121,IF(U156=AK92,1,IF(U156=AK92-1,1,0)),0)</f>
        <v>0</v>
      </c>
      <c r="U122" s="55">
        <f>T122+V122</f>
        <v>1</v>
      </c>
      <c r="V122" s="60">
        <f>IF(V121&gt;T121,IF(U156=AK92,1,IF(U156=AK92-1,1,0)),0)</f>
        <v>1</v>
      </c>
      <c r="W122" s="55">
        <f>IF(W121&gt;Y121,IF(X156=AK92,1,IF(X156=AK92-1,1,0)),0)</f>
        <v>1</v>
      </c>
      <c r="X122" s="55">
        <f>W122+Y122</f>
        <v>1</v>
      </c>
      <c r="Y122" s="60">
        <f>IF(Y121&gt;W121,IF(X156=AK92,1,IF(X156=AK92-1,1,0)),0)</f>
        <v>0</v>
      </c>
      <c r="Z122" s="55">
        <f>IF(Z121&gt;AB121,IF(AA156=AK92,1,IF(AA156=AK92-1,1,0)),0)</f>
        <v>1</v>
      </c>
      <c r="AA122" s="55">
        <f>Z122+AB122</f>
        <v>1</v>
      </c>
      <c r="AB122" s="60">
        <f>IF(AB121&gt;Z121,IF(AA156=AK92,1,IF(AA156=AK92-1,1,0)),0)</f>
        <v>0</v>
      </c>
      <c r="AC122" s="55">
        <f>IF(AC121&gt;AE121,IF(AD156=AK92,1,IF(AD156=AK92-1,1,0)),0)</f>
        <v>1</v>
      </c>
      <c r="AD122" s="55">
        <f>AC122+AE122</f>
        <v>1</v>
      </c>
      <c r="AE122" s="60">
        <f>IF(AE121&gt;AC121,IF(AD156=AK92,1,IF(AD156=AK92-1,1,0)),0)</f>
        <v>0</v>
      </c>
      <c r="AW122" s="58"/>
    </row>
    <row r="123" spans="1:49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  <c r="AW123" s="58"/>
    </row>
    <row r="124" spans="1:49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25</v>
      </c>
      <c r="G124" s="60">
        <f t="shared" ref="G124:H128" si="12">IF(G116=1,G110,0)</f>
        <v>0</v>
      </c>
      <c r="H124" s="55">
        <f t="shared" si="12"/>
        <v>0</v>
      </c>
      <c r="J124" s="60">
        <f t="shared" ref="J124:K128" si="13">IF(J116=1,J110,0)</f>
        <v>25</v>
      </c>
      <c r="K124" s="55">
        <f t="shared" si="13"/>
        <v>0</v>
      </c>
      <c r="M124" s="60">
        <f t="shared" ref="M124:N128" si="14">IF(M116=1,M110,0)</f>
        <v>25</v>
      </c>
      <c r="N124" s="55">
        <f t="shared" si="14"/>
        <v>25</v>
      </c>
      <c r="P124" s="60">
        <f t="shared" ref="P124:Q128" si="15">IF(P116=1,P110,0)</f>
        <v>0</v>
      </c>
      <c r="Q124" s="55">
        <f t="shared" si="15"/>
        <v>0</v>
      </c>
      <c r="S124" s="60">
        <f t="shared" ref="S124:T128" si="16">IF(S116=1,S110,0)</f>
        <v>25</v>
      </c>
      <c r="T124" s="55">
        <f t="shared" si="16"/>
        <v>0</v>
      </c>
      <c r="V124" s="60">
        <f t="shared" ref="V124:W128" si="17">IF(V116=1,V110,0)</f>
        <v>25</v>
      </c>
      <c r="W124" s="55">
        <f t="shared" si="17"/>
        <v>25</v>
      </c>
      <c r="Y124" s="60">
        <f t="shared" ref="Y124:Z128" si="18">IF(Y116=1,Y110,0)</f>
        <v>0</v>
      </c>
      <c r="Z124" s="55">
        <f t="shared" si="18"/>
        <v>25</v>
      </c>
      <c r="AB124" s="60">
        <f t="shared" ref="AB124:AC128" si="19">IF(AB116=1,AB110,0)</f>
        <v>0</v>
      </c>
      <c r="AC124" s="55">
        <f t="shared" si="19"/>
        <v>25</v>
      </c>
      <c r="AE124" s="60">
        <f>IF(AE116=1,AE110,0)</f>
        <v>0</v>
      </c>
      <c r="AW124" s="58"/>
    </row>
    <row r="125" spans="1:49" s="55" customFormat="1" ht="12.75" hidden="1" customHeight="1" x14ac:dyDescent="0.2">
      <c r="A125" s="55" t="s">
        <v>89</v>
      </c>
      <c r="B125" s="55">
        <f>IF(B117=1,B111,0)</f>
        <v>0</v>
      </c>
      <c r="D125" s="60">
        <f t="shared" si="11"/>
        <v>25</v>
      </c>
      <c r="E125" s="55">
        <f t="shared" si="11"/>
        <v>25</v>
      </c>
      <c r="G125" s="60">
        <f t="shared" si="12"/>
        <v>0</v>
      </c>
      <c r="H125" s="55">
        <f t="shared" si="12"/>
        <v>0</v>
      </c>
      <c r="J125" s="60">
        <f t="shared" si="13"/>
        <v>25</v>
      </c>
      <c r="K125" s="55">
        <f t="shared" si="13"/>
        <v>25</v>
      </c>
      <c r="M125" s="60">
        <f t="shared" si="14"/>
        <v>0</v>
      </c>
      <c r="N125" s="55">
        <f t="shared" si="14"/>
        <v>25</v>
      </c>
      <c r="P125" s="60">
        <f t="shared" si="15"/>
        <v>0</v>
      </c>
      <c r="Q125" s="55">
        <f t="shared" si="15"/>
        <v>0</v>
      </c>
      <c r="S125" s="60">
        <f t="shared" si="16"/>
        <v>25</v>
      </c>
      <c r="T125" s="55">
        <f t="shared" si="16"/>
        <v>0</v>
      </c>
      <c r="V125" s="60">
        <f t="shared" si="17"/>
        <v>25</v>
      </c>
      <c r="W125" s="55">
        <f t="shared" si="17"/>
        <v>25</v>
      </c>
      <c r="Y125" s="60">
        <f t="shared" si="18"/>
        <v>0</v>
      </c>
      <c r="Z125" s="55">
        <f t="shared" si="18"/>
        <v>25</v>
      </c>
      <c r="AB125" s="60">
        <f t="shared" si="19"/>
        <v>0</v>
      </c>
      <c r="AC125" s="55">
        <f t="shared" si="19"/>
        <v>25</v>
      </c>
      <c r="AE125" s="60">
        <f>IF(AE117=1,AE111,0)</f>
        <v>0</v>
      </c>
      <c r="AW125" s="58"/>
    </row>
    <row r="126" spans="1:49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  <c r="AW126" s="58"/>
    </row>
    <row r="127" spans="1:49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  <c r="AW127" s="58"/>
    </row>
    <row r="128" spans="1:49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  <c r="AW128" s="58"/>
    </row>
    <row r="129" spans="1:49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50</v>
      </c>
      <c r="G129" s="60"/>
      <c r="H129" s="55">
        <f>SUM(H124:J128)</f>
        <v>50</v>
      </c>
      <c r="J129" s="60"/>
      <c r="K129" s="55">
        <f>SUM(K124:M128)</f>
        <v>50</v>
      </c>
      <c r="M129" s="60"/>
      <c r="N129" s="55">
        <f>SUM(N124:P128)</f>
        <v>50</v>
      </c>
      <c r="P129" s="60"/>
      <c r="Q129" s="55">
        <f>SUM(Q124:S128)</f>
        <v>50</v>
      </c>
      <c r="S129" s="60"/>
      <c r="T129" s="55">
        <f>SUM(T124:V128)</f>
        <v>50</v>
      </c>
      <c r="V129" s="60"/>
      <c r="W129" s="55">
        <f>SUM(W124:Y128)</f>
        <v>50</v>
      </c>
      <c r="Y129" s="60"/>
      <c r="Z129" s="55">
        <f>SUM(Z124:AB128)</f>
        <v>50</v>
      </c>
      <c r="AB129" s="60"/>
      <c r="AC129" s="55">
        <f>SUM(AC124:AE128)</f>
        <v>50</v>
      </c>
      <c r="AE129" s="60"/>
      <c r="AW129" s="58"/>
    </row>
    <row r="130" spans="1:49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  <c r="AW130" s="58"/>
    </row>
    <row r="131" spans="1:49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1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1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1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1</v>
      </c>
      <c r="AE131" s="60">
        <f>IF(AE109=1,IF(AE122=1,1,0),0)</f>
        <v>0</v>
      </c>
      <c r="AF131" s="55">
        <f>SUM(B131:AE131)</f>
        <v>4</v>
      </c>
      <c r="AG131" s="55">
        <f>AF137-AF131</f>
        <v>0</v>
      </c>
      <c r="AW131" s="58"/>
    </row>
    <row r="132" spans="1:49" s="55" customFormat="1" ht="12.75" hidden="1" customHeight="1" x14ac:dyDescent="0.2">
      <c r="A132" s="55" t="s">
        <v>98</v>
      </c>
      <c r="B132" s="55">
        <f>IF(B109=2,IF(B122=1,1,0),0)</f>
        <v>0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0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0</v>
      </c>
      <c r="AG132" s="55">
        <f>AF138-AF132</f>
        <v>2</v>
      </c>
      <c r="AW132" s="58"/>
    </row>
    <row r="133" spans="1:49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1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1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2</v>
      </c>
      <c r="AG133" s="55">
        <f>AF139-AF133</f>
        <v>2</v>
      </c>
      <c r="AW133" s="58"/>
    </row>
    <row r="134" spans="1:49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0</v>
      </c>
      <c r="AG134" s="55">
        <f>AF140-AF134</f>
        <v>3</v>
      </c>
      <c r="AW134" s="58"/>
    </row>
    <row r="135" spans="1:49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1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1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2</v>
      </c>
      <c r="AG135" s="55">
        <f>AF141-AF135</f>
        <v>1</v>
      </c>
      <c r="AW135" s="58"/>
    </row>
    <row r="136" spans="1:49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  <c r="AW136" s="58"/>
    </row>
    <row r="137" spans="1:49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0</v>
      </c>
      <c r="M137" s="60">
        <f>IF(M109=1,IF(L122=1,1,0),0)</f>
        <v>0</v>
      </c>
      <c r="N137" s="55">
        <f>IF(N109=1,IF(O122=1,1,0),0)</f>
        <v>1</v>
      </c>
      <c r="P137" s="60">
        <f>IF(P109=1,IF(O122=1,1,0),0)</f>
        <v>0</v>
      </c>
      <c r="Q137" s="55">
        <f>IF(Q109=1,IF(R122=1,1,0),0)</f>
        <v>0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1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1</v>
      </c>
      <c r="AE137" s="60">
        <f>IF(AE109=1,IF(AD122=1,1,0),0)</f>
        <v>0</v>
      </c>
      <c r="AF137" s="55">
        <f>SUM(B137:AE137)</f>
        <v>4</v>
      </c>
      <c r="AW137" s="58"/>
    </row>
    <row r="138" spans="1:49" s="55" customFormat="1" ht="12.75" hidden="1" customHeight="1" x14ac:dyDescent="0.2">
      <c r="A138" s="55" t="s">
        <v>104</v>
      </c>
      <c r="B138" s="55">
        <f>IF(B109=2,IF(C122=1,1,0),0)</f>
        <v>0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0</v>
      </c>
      <c r="K138" s="55">
        <f>IF(K109=2,IF(L122=1,1,0),0)</f>
        <v>0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0</v>
      </c>
      <c r="T138" s="55">
        <f>IF(T109=2,IF(U122=1,1,0),0)</f>
        <v>1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1</v>
      </c>
      <c r="AF138" s="55">
        <f>SUM(B138:AE138)</f>
        <v>2</v>
      </c>
      <c r="AW138" s="58"/>
    </row>
    <row r="139" spans="1:49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0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1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0</v>
      </c>
      <c r="N139" s="55">
        <f>IF(N109=3,IF(O122=1,1,0),0)</f>
        <v>0</v>
      </c>
      <c r="P139" s="60">
        <f>IF(P109=3,IF(O122=1,1,0),0)</f>
        <v>1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1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1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4</v>
      </c>
      <c r="AW139" s="58"/>
    </row>
    <row r="140" spans="1:49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0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1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1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3</v>
      </c>
      <c r="AW140" s="58"/>
    </row>
    <row r="141" spans="1:49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0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1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1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1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3</v>
      </c>
      <c r="AW141" s="58"/>
    </row>
    <row r="142" spans="1:49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  <c r="AW142" s="58"/>
    </row>
    <row r="143" spans="1:49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0</v>
      </c>
      <c r="M143" s="60">
        <f>IF(M109=1,K129,0)</f>
        <v>0</v>
      </c>
      <c r="N143" s="55">
        <f>IF(N109=1,N129,0)</f>
        <v>50</v>
      </c>
      <c r="P143" s="60">
        <f>IF(P109=1,N129,0)</f>
        <v>0</v>
      </c>
      <c r="Q143" s="55">
        <f>IF(Q109=1,Q129,0)</f>
        <v>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50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50</v>
      </c>
      <c r="AE143" s="60">
        <f>IF(AE109=1,AC129,0)</f>
        <v>0</v>
      </c>
      <c r="AF143" s="55">
        <f>SUM(B143:AE143)</f>
        <v>200</v>
      </c>
      <c r="AW143" s="58"/>
    </row>
    <row r="144" spans="1:49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0</v>
      </c>
      <c r="J144" s="60">
        <f>IF(J109=2,H129,0)</f>
        <v>0</v>
      </c>
      <c r="K144" s="55">
        <f>IF(K109=2,K129,0)</f>
        <v>50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0</v>
      </c>
      <c r="T144" s="55">
        <f>IF(T109=2,T129,0)</f>
        <v>50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50</v>
      </c>
      <c r="AF144" s="55">
        <f>SUM(B144:AE144)</f>
        <v>200</v>
      </c>
      <c r="AW144" s="58"/>
    </row>
    <row r="145" spans="1:49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0</v>
      </c>
      <c r="E145" s="55">
        <f>IF(E109=3,E129,0)</f>
        <v>0</v>
      </c>
      <c r="G145" s="60">
        <f>IF(G109=3,E129,0)</f>
        <v>0</v>
      </c>
      <c r="H145" s="55">
        <f>IF(H109=3,H129,0)</f>
        <v>50</v>
      </c>
      <c r="J145" s="60">
        <f>IF(J109=3,H129,0)</f>
        <v>0</v>
      </c>
      <c r="K145" s="55">
        <f>IF(K109=3,K129,0)</f>
        <v>0</v>
      </c>
      <c r="M145" s="60">
        <f>IF(M109=3,K129,0)</f>
        <v>0</v>
      </c>
      <c r="N145" s="55">
        <f>IF(N109=3,N129,0)</f>
        <v>0</v>
      </c>
      <c r="P145" s="60">
        <f>IF(P109=3,N129,0)</f>
        <v>50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50</v>
      </c>
      <c r="W145" s="55">
        <f>IF(W109=3,W129,0)</f>
        <v>0</v>
      </c>
      <c r="Y145" s="60">
        <f>IF(Y109=3,W129,0)</f>
        <v>0</v>
      </c>
      <c r="Z145" s="55">
        <f>IF(Z109=3,Z129,0)</f>
        <v>50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200</v>
      </c>
      <c r="AW145" s="58"/>
    </row>
    <row r="146" spans="1:49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50</v>
      </c>
      <c r="N146" s="55">
        <f>IF(N109=4,N129,0)</f>
        <v>0</v>
      </c>
      <c r="P146" s="60">
        <f>IF(P109=4,N129,0)</f>
        <v>0</v>
      </c>
      <c r="Q146" s="55">
        <f>IF(Q109=4,Q129,0)</f>
        <v>50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50</v>
      </c>
      <c r="AC146" s="55">
        <f>IF(AC109=4,AC129,0)</f>
        <v>0</v>
      </c>
      <c r="AE146" s="60">
        <f>IF(AE109=4,AC129,0)</f>
        <v>0</v>
      </c>
      <c r="AF146" s="55">
        <f>SUM(B146:AE146)</f>
        <v>200</v>
      </c>
      <c r="AW146" s="58"/>
    </row>
    <row r="147" spans="1:49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50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50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50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50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200</v>
      </c>
      <c r="AW147" s="58"/>
    </row>
    <row r="148" spans="1:49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  <c r="AW148" s="58"/>
    </row>
    <row r="149" spans="1:49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2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2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2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2</v>
      </c>
      <c r="AE149" s="60">
        <f>IF(AE109=1,SUMIF(AE116:AE120,"&gt;0"),0)</f>
        <v>0</v>
      </c>
      <c r="AF149" s="55">
        <f>SUM(B149:AE149)</f>
        <v>8</v>
      </c>
      <c r="AG149" s="55">
        <f>AF157-AF149</f>
        <v>0</v>
      </c>
      <c r="AW149" s="58"/>
    </row>
    <row r="150" spans="1:49" s="55" customFormat="1" ht="12.75" hidden="1" customHeight="1" x14ac:dyDescent="0.2">
      <c r="A150" s="55" t="s">
        <v>98</v>
      </c>
      <c r="B150" s="55">
        <f>IF(B109=2,SUMIF(B116:B120,"&gt;0"),0)</f>
        <v>1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1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0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2</v>
      </c>
      <c r="AG150" s="55">
        <f>AF158-AF150</f>
        <v>6</v>
      </c>
      <c r="AW150" s="58"/>
    </row>
    <row r="151" spans="1:49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0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2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2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4</v>
      </c>
      <c r="AG151" s="55">
        <f>AF159-AF151</f>
        <v>4</v>
      </c>
      <c r="AW151" s="58"/>
    </row>
    <row r="152" spans="1:49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1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0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0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1</v>
      </c>
      <c r="AG152" s="55">
        <f>AF160-AF152</f>
        <v>7</v>
      </c>
      <c r="AW152" s="58"/>
    </row>
    <row r="153" spans="1:49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1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2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2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5</v>
      </c>
      <c r="AG153" s="55">
        <f>AF161-AF153</f>
        <v>3</v>
      </c>
      <c r="AW153" s="58"/>
    </row>
    <row r="154" spans="1:49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  <c r="AW154" s="58"/>
    </row>
    <row r="155" spans="1:49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  <c r="AW155" s="58"/>
    </row>
    <row r="156" spans="1:49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2</v>
      </c>
      <c r="V156" s="60"/>
      <c r="X156" s="55">
        <f>SUMIF(W149:Y153,"&gt;0")</f>
        <v>2</v>
      </c>
      <c r="Y156" s="60"/>
      <c r="AA156" s="55">
        <f>SUMIF(Z149:AB153,"&gt;0")</f>
        <v>2</v>
      </c>
      <c r="AB156" s="60"/>
      <c r="AD156" s="55">
        <f>SUMIF(AC149:AE153,"&gt;0")</f>
        <v>2</v>
      </c>
      <c r="AE156" s="60"/>
      <c r="AF156" s="59" t="s">
        <v>113</v>
      </c>
      <c r="AW156" s="58"/>
    </row>
    <row r="157" spans="1:49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0</v>
      </c>
      <c r="M157" s="60">
        <f>IF(M109=1,L156,0)</f>
        <v>0</v>
      </c>
      <c r="N157" s="55">
        <f>IF(N109=1,O156,0)</f>
        <v>2</v>
      </c>
      <c r="P157" s="60">
        <f>IF(P109=1,O156,0)</f>
        <v>0</v>
      </c>
      <c r="Q157" s="55">
        <f>IF(Q109=1,R156,0)</f>
        <v>0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2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2</v>
      </c>
      <c r="AE157" s="60">
        <f>IF(AE109=1,AD156,0)</f>
        <v>0</v>
      </c>
      <c r="AF157" s="55">
        <f>SUM(B157:AE157)</f>
        <v>8</v>
      </c>
      <c r="AW157" s="58"/>
    </row>
    <row r="158" spans="1:49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0</v>
      </c>
      <c r="J158" s="60">
        <f>IF(J109=2,I156,0)</f>
        <v>0</v>
      </c>
      <c r="K158" s="55">
        <f>IF(K109=2,L156,0)</f>
        <v>2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0</v>
      </c>
      <c r="T158" s="55">
        <f>IF(T109=2,U156,0)</f>
        <v>2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2</v>
      </c>
      <c r="AF158" s="55">
        <f>SUM(B158:AE158)</f>
        <v>8</v>
      </c>
      <c r="AW158" s="58"/>
    </row>
    <row r="159" spans="1:49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0</v>
      </c>
      <c r="E159" s="55">
        <f>IF(E109=3,F156,0)</f>
        <v>0</v>
      </c>
      <c r="G159" s="60">
        <f>IF(G109=3,F156,0)</f>
        <v>0</v>
      </c>
      <c r="H159" s="55">
        <f>IF(H109=3,I156,0)</f>
        <v>2</v>
      </c>
      <c r="J159" s="60">
        <f>IF(J109=3,I156,0)</f>
        <v>0</v>
      </c>
      <c r="K159" s="55">
        <f>IF(K109=3,L156,0)</f>
        <v>0</v>
      </c>
      <c r="M159" s="60">
        <f>IF(M109=3,L156,0)</f>
        <v>0</v>
      </c>
      <c r="N159" s="55">
        <f>IF(N109=3,O156,0)</f>
        <v>0</v>
      </c>
      <c r="P159" s="60">
        <f>IF(P109=3,O156,0)</f>
        <v>2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2</v>
      </c>
      <c r="W159" s="55">
        <f>IF(W109=3,X156,0)</f>
        <v>0</v>
      </c>
      <c r="Y159" s="60">
        <f>IF(Y109=3,X156,0)</f>
        <v>0</v>
      </c>
      <c r="Z159" s="55">
        <f>IF(Z109=3,AA156,0)</f>
        <v>2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8</v>
      </c>
      <c r="AW159" s="58"/>
    </row>
    <row r="160" spans="1:49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2</v>
      </c>
      <c r="N160" s="55">
        <f>IF(N109=4,O156,0)</f>
        <v>0</v>
      </c>
      <c r="P160" s="60">
        <f>IF(P109=4,O156,0)</f>
        <v>0</v>
      </c>
      <c r="Q160" s="55">
        <f>IF(Q109=4,R156,0)</f>
        <v>2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2</v>
      </c>
      <c r="AC160" s="55">
        <f>IF(AC109=4,AD156,0)</f>
        <v>0</v>
      </c>
      <c r="AE160" s="60">
        <f>IF(AE109=4,AD156,0)</f>
        <v>0</v>
      </c>
      <c r="AF160" s="55">
        <f>SUM(B160:AE160)</f>
        <v>8</v>
      </c>
      <c r="AW160" s="58"/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2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2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2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2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8</v>
      </c>
      <c r="AW161" s="58"/>
    </row>
    <row r="162" spans="1:54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BB162" s="130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TEV 14 Whitney</v>
      </c>
      <c r="C164" s="67">
        <f>VLOOKUP(B164,AU$3:AY$12,3,FALSE)</f>
        <v>1800</v>
      </c>
      <c r="D164" s="67">
        <f>IF(B157,B172,IF(D157,D172,C164))</f>
        <v>1800</v>
      </c>
      <c r="E164" s="67"/>
      <c r="F164" s="67"/>
      <c r="G164" s="67">
        <f>IF(E157,E172,IF(G157,G172,D164))</f>
        <v>1825.9204442004709</v>
      </c>
      <c r="H164" s="67"/>
      <c r="I164" s="67"/>
      <c r="J164" s="67">
        <f>IF(H157,H172,IF(J157,J172,G164))</f>
        <v>1825.9204442004709</v>
      </c>
      <c r="K164" s="67"/>
      <c r="L164" s="67"/>
      <c r="M164" s="67">
        <f>IF(K157,K172,IF(M157,M172,J164))</f>
        <v>1825.9204442004709</v>
      </c>
      <c r="N164" s="67"/>
      <c r="O164" s="67"/>
      <c r="P164" s="67">
        <f>IF(N157,N172,IF(P157,P172,M164))</f>
        <v>1847.6410948109567</v>
      </c>
      <c r="Q164" s="67"/>
      <c r="R164" s="67"/>
      <c r="S164" s="67">
        <f>IF(Q157,Q172,IF(S157,S172,P164))</f>
        <v>1847.6410948109567</v>
      </c>
      <c r="T164" s="67"/>
      <c r="U164" s="67"/>
      <c r="V164" s="67">
        <f>IF(T157,T172,IF(V157,V172,S164))</f>
        <v>1847.6410948109567</v>
      </c>
      <c r="W164" s="67"/>
      <c r="X164" s="67"/>
      <c r="Y164" s="67">
        <f>IF(W157,W172,IF(Y157,Y172,V164))</f>
        <v>1872.3797206308329</v>
      </c>
      <c r="Z164" s="67"/>
      <c r="AA164" s="67"/>
      <c r="AB164" s="67">
        <f>IF(Z157,Z172,IF(AB157,AB172,Y164))</f>
        <v>1872.3797206308329</v>
      </c>
      <c r="AC164" s="67"/>
      <c r="AD164" s="67"/>
      <c r="AE164" s="67">
        <f>IF(AC157,AC172,IF(AE157,AE172,AB164))</f>
        <v>1891.3497881492999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TEV 14 Whitney</v>
      </c>
      <c r="AU164" s="63">
        <f>AE164</f>
        <v>1891.3497881492999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Emerald City 14-2</v>
      </c>
      <c r="C165" s="67">
        <f>VLOOKUP(B165,AU$3:AY$12,3,FALSE)</f>
        <v>1773.2758988569869</v>
      </c>
      <c r="D165" s="67">
        <f>IF(B158,B172,IF(D158,D172,C165))</f>
        <v>1766.1405962923645</v>
      </c>
      <c r="E165" s="67"/>
      <c r="F165" s="67"/>
      <c r="G165" s="67">
        <f>IF(E158,E172,IF(G158,G172,D165))</f>
        <v>1766.1405962923645</v>
      </c>
      <c r="H165" s="67"/>
      <c r="I165" s="67"/>
      <c r="J165" s="67">
        <f>IF(H158,H172,IF(J158,J172,G165))</f>
        <v>1766.1405962923645</v>
      </c>
      <c r="K165" s="67"/>
      <c r="L165" s="67"/>
      <c r="M165" s="67">
        <f>IF(K158,K172,IF(M158,M172,J165))</f>
        <v>1760.7688024035924</v>
      </c>
      <c r="N165" s="67"/>
      <c r="O165" s="67"/>
      <c r="P165" s="67">
        <f>IF(N158,N172,IF(P158,P172,M165))</f>
        <v>1760.7688024035924</v>
      </c>
      <c r="Q165" s="67"/>
      <c r="R165" s="67"/>
      <c r="S165" s="67">
        <f>IF(Q158,Q172,IF(S158,S172,P165))</f>
        <v>1760.7688024035924</v>
      </c>
      <c r="T165" s="67"/>
      <c r="U165" s="67"/>
      <c r="V165" s="67">
        <f>IF(T158,T172,IF(V158,V172,S165))</f>
        <v>1722.2067529749734</v>
      </c>
      <c r="W165" s="67"/>
      <c r="X165" s="67"/>
      <c r="Y165" s="67">
        <f>IF(W158,W172,IF(Y158,Y172,V165))</f>
        <v>1722.2067529749734</v>
      </c>
      <c r="Z165" s="67"/>
      <c r="AA165" s="67"/>
      <c r="AB165" s="67">
        <f>IF(Z158,Z172,IF(AB158,AB172,Y165))</f>
        <v>1722.2067529749734</v>
      </c>
      <c r="AC165" s="67"/>
      <c r="AD165" s="67"/>
      <c r="AE165" s="67">
        <f>IF(AC158,AC172,IF(AE158,AE172,AB165))</f>
        <v>1703.2366854565064</v>
      </c>
      <c r="AF165" s="4"/>
      <c r="AG165" s="4"/>
      <c r="AJ165" s="4"/>
      <c r="AL165" s="4"/>
      <c r="AM165" s="4"/>
      <c r="AN165" s="4"/>
      <c r="AO165" s="4"/>
      <c r="AT165" s="63" t="str">
        <f>B165</f>
        <v>Emerald City 14-2</v>
      </c>
      <c r="AU165" s="63">
        <f>AE165</f>
        <v>1703.2366854565064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Intense 14 Region</v>
      </c>
      <c r="C166" s="67">
        <f>VLOOKUP(B166,AU$3:AY$12,3,FALSE)</f>
        <v>1746.3122871137466</v>
      </c>
      <c r="D166" s="67">
        <f>IF(B159,B172,IF(D159,D172,C166))</f>
        <v>1746.3122871137466</v>
      </c>
      <c r="E166" s="67"/>
      <c r="F166" s="67"/>
      <c r="G166" s="67">
        <f>IF(E159,E172,IF(G159,G172,D166))</f>
        <v>1746.3122871137466</v>
      </c>
      <c r="H166" s="67"/>
      <c r="I166" s="67"/>
      <c r="J166" s="67">
        <f>IF(H159,H172,IF(J159,J172,G166))</f>
        <v>1710.2182578686798</v>
      </c>
      <c r="K166" s="67"/>
      <c r="L166" s="67"/>
      <c r="M166" s="67">
        <f>IF(K159,K172,IF(M159,M172,J166))</f>
        <v>1710.2182578686798</v>
      </c>
      <c r="N166" s="67"/>
      <c r="O166" s="67"/>
      <c r="P166" s="67">
        <f>IF(N159,N172,IF(P159,P172,M166))</f>
        <v>1688.497607258194</v>
      </c>
      <c r="Q166" s="67"/>
      <c r="R166" s="67"/>
      <c r="S166" s="67">
        <f>IF(Q159,Q172,IF(S159,S172,P166))</f>
        <v>1688.497607258194</v>
      </c>
      <c r="T166" s="67"/>
      <c r="U166" s="67"/>
      <c r="V166" s="67">
        <f>IF(T159,T172,IF(V159,V172,S166))</f>
        <v>1727.059656686813</v>
      </c>
      <c r="W166" s="67"/>
      <c r="X166" s="67"/>
      <c r="Y166" s="67">
        <f>IF(W159,W172,IF(Y159,Y172,V166))</f>
        <v>1727.059656686813</v>
      </c>
      <c r="Z166" s="67"/>
      <c r="AA166" s="67"/>
      <c r="AB166" s="67">
        <f>IF(Z159,Z172,IF(AB159,AB172,Y166))</f>
        <v>1755.0175598013802</v>
      </c>
      <c r="AC166" s="67"/>
      <c r="AD166" s="67"/>
      <c r="AE166" s="67">
        <f>IF(AC159,AC172,IF(AE159,AE172,AB166))</f>
        <v>1755.0175598013802</v>
      </c>
      <c r="AF166" s="4"/>
      <c r="AG166" s="4"/>
      <c r="AJ166" s="4"/>
      <c r="AL166" s="4"/>
      <c r="AM166" s="4"/>
      <c r="AN166" s="4"/>
      <c r="AO166" s="4"/>
      <c r="AT166" s="63" t="str">
        <f>B166</f>
        <v>Intense 14 Region</v>
      </c>
      <c r="AU166" s="63">
        <f>AE166</f>
        <v>1755.0175598013802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Club Coastal 14 White</v>
      </c>
      <c r="C167" s="67">
        <f>VLOOKUP(B167,AU$3:AY$12,3,FALSE)</f>
        <v>1733.1802264513806</v>
      </c>
      <c r="D167" s="67">
        <f>IF(B160,B172,IF(D160,D172,C167))</f>
        <v>1733.1802264513806</v>
      </c>
      <c r="E167" s="67"/>
      <c r="F167" s="67"/>
      <c r="G167" s="67">
        <f>IF(E160,E172,IF(G160,G172,D167))</f>
        <v>1707.2597822509097</v>
      </c>
      <c r="H167" s="67"/>
      <c r="I167" s="67"/>
      <c r="J167" s="67">
        <f>IF(H160,H172,IF(J160,J172,G167))</f>
        <v>1707.2597822509097</v>
      </c>
      <c r="K167" s="67"/>
      <c r="L167" s="67"/>
      <c r="M167" s="67">
        <f>IF(K160,K172,IF(M160,M172,J167))</f>
        <v>1712.6315761396818</v>
      </c>
      <c r="N167" s="67"/>
      <c r="O167" s="67"/>
      <c r="P167" s="67">
        <f>IF(N160,N172,IF(P160,P172,M167))</f>
        <v>1712.6315761396818</v>
      </c>
      <c r="Q167" s="67"/>
      <c r="R167" s="67"/>
      <c r="S167" s="67">
        <f>IF(Q160,Q172,IF(S160,S172,P167))</f>
        <v>1682.9374749980116</v>
      </c>
      <c r="T167" s="67"/>
      <c r="U167" s="67"/>
      <c r="V167" s="67">
        <f>IF(T160,T172,IF(V160,V172,S167))</f>
        <v>1682.9374749980116</v>
      </c>
      <c r="W167" s="67"/>
      <c r="X167" s="67"/>
      <c r="Y167" s="67">
        <f>IF(W160,W172,IF(Y160,Y172,V167))</f>
        <v>1682.9374749980116</v>
      </c>
      <c r="Z167" s="67"/>
      <c r="AA167" s="67"/>
      <c r="AB167" s="67">
        <f>IF(Z160,Z172,IF(AB160,AB172,Y167))</f>
        <v>1654.9795718834444</v>
      </c>
      <c r="AC167" s="67"/>
      <c r="AD167" s="67"/>
      <c r="AE167" s="67">
        <f>IF(AC160,AC172,IF(AE160,AE172,AB167))</f>
        <v>1654.9795718834444</v>
      </c>
      <c r="AF167" s="4"/>
      <c r="AG167" s="4"/>
      <c r="AJ167" s="4"/>
      <c r="AL167" s="4"/>
      <c r="AM167" s="4"/>
      <c r="AN167" s="4"/>
      <c r="AO167" s="4"/>
      <c r="AT167" s="63" t="str">
        <f>B167</f>
        <v>Club Coastal 14 White</v>
      </c>
      <c r="AU167" s="63">
        <f>AE167</f>
        <v>1654.9795718834444</v>
      </c>
      <c r="AW167" s="66"/>
      <c r="BB167" s="66"/>
    </row>
    <row r="168" spans="1:54" s="63" customFormat="1" hidden="1" x14ac:dyDescent="0.2">
      <c r="A168" s="67">
        <v>5</v>
      </c>
      <c r="B168" s="67" t="str">
        <f>E101</f>
        <v>SC Midlands 14 Garnet</v>
      </c>
      <c r="C168" s="67">
        <f>VLOOKUP(B168,AU$3:AY$12,3,FALSE)</f>
        <v>1694.4816920998894</v>
      </c>
      <c r="D168" s="67">
        <f>IF(B161,B172,IF(D161,D172,C168))</f>
        <v>1701.6169946645118</v>
      </c>
      <c r="E168" s="67"/>
      <c r="F168" s="67"/>
      <c r="G168" s="67">
        <f>IF(E161,E172,IF(G161,G172,D168))</f>
        <v>1701.6169946645118</v>
      </c>
      <c r="H168" s="67"/>
      <c r="I168" s="67"/>
      <c r="J168" s="67">
        <f>IF(H161,H172,IF(J161,J172,G168))</f>
        <v>1737.7110239095787</v>
      </c>
      <c r="K168" s="67"/>
      <c r="L168" s="67"/>
      <c r="M168" s="67">
        <f>IF(K161,K172,IF(M161,M172,J168))</f>
        <v>1737.7110239095787</v>
      </c>
      <c r="N168" s="67"/>
      <c r="O168" s="67"/>
      <c r="P168" s="67">
        <f>IF(N161,N172,IF(P161,P172,M168))</f>
        <v>1737.7110239095787</v>
      </c>
      <c r="Q168" s="67"/>
      <c r="R168" s="67"/>
      <c r="S168" s="67">
        <f>IF(Q161,Q172,IF(S161,S172,P168))</f>
        <v>1767.4051250512489</v>
      </c>
      <c r="T168" s="67"/>
      <c r="U168" s="67"/>
      <c r="V168" s="67">
        <f>IF(T161,T172,IF(V161,V172,S168))</f>
        <v>1767.4051250512489</v>
      </c>
      <c r="W168" s="67"/>
      <c r="X168" s="67"/>
      <c r="Y168" s="67">
        <f>IF(W161,W172,IF(Y161,Y172,V168))</f>
        <v>1742.6664992313727</v>
      </c>
      <c r="Z168" s="67"/>
      <c r="AA168" s="67"/>
      <c r="AB168" s="67">
        <f>IF(Z161,Z172,IF(AB161,AB172,Y168))</f>
        <v>1742.6664992313727</v>
      </c>
      <c r="AC168" s="67"/>
      <c r="AD168" s="67"/>
      <c r="AE168" s="67">
        <f>IF(AC161,AC172,IF(AE161,AE172,AB168))</f>
        <v>1742.6664992313727</v>
      </c>
      <c r="AF168" s="4"/>
      <c r="AG168" s="4"/>
      <c r="AJ168" s="4"/>
      <c r="AL168" s="4"/>
      <c r="AM168" s="4"/>
      <c r="AN168" s="4"/>
      <c r="AO168" s="4"/>
      <c r="AT168" s="63" t="str">
        <f>B168</f>
        <v>SC Midlands 14 Garnet</v>
      </c>
      <c r="AU168" s="63">
        <f>AE168</f>
        <v>1742.6664992313727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1773.2758988569869</v>
      </c>
      <c r="C170" s="67">
        <v>1</v>
      </c>
      <c r="D170" s="67">
        <f>VLOOKUP(D109,$A164:$AE168,3,FALSE)</f>
        <v>1694.4816920998894</v>
      </c>
      <c r="E170" s="67">
        <f>VLOOKUP(E109,$A164:$AE168,4,FALSE)</f>
        <v>1800</v>
      </c>
      <c r="F170" s="67">
        <v>2</v>
      </c>
      <c r="G170" s="67">
        <f>VLOOKUP(G109,$A164:$AE168,4,FALSE)</f>
        <v>1733.1802264513806</v>
      </c>
      <c r="H170" s="67">
        <f>VLOOKUP(H109,$A164:$AE168,7,FALSE)</f>
        <v>1746.3122871137466</v>
      </c>
      <c r="I170" s="67">
        <v>3</v>
      </c>
      <c r="J170" s="67">
        <f>VLOOKUP(J109,$A164:$AE168,7,FALSE)</f>
        <v>1701.6169946645118</v>
      </c>
      <c r="K170" s="67">
        <f>VLOOKUP(K109,$A164:$AE168,10,FALSE)</f>
        <v>1766.1405962923645</v>
      </c>
      <c r="L170" s="67">
        <v>4</v>
      </c>
      <c r="M170" s="67">
        <f>VLOOKUP(M109,$A164:$AE168,10,FALSE)</f>
        <v>1707.2597822509097</v>
      </c>
      <c r="N170" s="67">
        <f>VLOOKUP(N109,$A164:$AE168,13,FALSE)</f>
        <v>1825.9204442004709</v>
      </c>
      <c r="O170" s="67">
        <v>5</v>
      </c>
      <c r="P170" s="67">
        <f>VLOOKUP(P109,$A164:$AE168,13,FALSE)</f>
        <v>1710.2182578686798</v>
      </c>
      <c r="Q170" s="67">
        <f>VLOOKUP(Q109,$A164:$AE168,16,FALSE)</f>
        <v>1712.6315761396818</v>
      </c>
      <c r="R170" s="67">
        <v>6</v>
      </c>
      <c r="S170" s="67">
        <f>VLOOKUP(S109,$A164:$AE168,16,FALSE)</f>
        <v>1737.7110239095787</v>
      </c>
      <c r="T170" s="67">
        <f>VLOOKUP(T109,$A164:$AE168,19,FALSE)</f>
        <v>1760.7688024035924</v>
      </c>
      <c r="U170" s="67">
        <v>7</v>
      </c>
      <c r="V170" s="67">
        <f>VLOOKUP(V109,$A164:$AE168,19,FALSE)</f>
        <v>1688.497607258194</v>
      </c>
      <c r="W170" s="67">
        <f>VLOOKUP(W109,$A164:$AE168,22,FALSE)</f>
        <v>1847.6410948109567</v>
      </c>
      <c r="X170" s="67">
        <v>8</v>
      </c>
      <c r="Y170" s="67">
        <f>VLOOKUP(Y109,$A164:$AE168,22,FALSE)</f>
        <v>1767.4051250512489</v>
      </c>
      <c r="Z170" s="67">
        <f>VLOOKUP(Z109,$A164:$AE168,25,FALSE)</f>
        <v>1727.059656686813</v>
      </c>
      <c r="AA170" s="67">
        <v>9</v>
      </c>
      <c r="AB170" s="67">
        <f>VLOOKUP(AB109,$A164:$AE168,25,FALSE)</f>
        <v>1682.9374749980116</v>
      </c>
      <c r="AC170" s="67">
        <f>VLOOKUP(AC109,$A164:$AE168,28,FALSE)</f>
        <v>1872.3797206308329</v>
      </c>
      <c r="AD170" s="67">
        <v>10</v>
      </c>
      <c r="AE170" s="67">
        <f>VLOOKUP(AE109,$A164:$AE168,28,FALSE)</f>
        <v>1722.2067529749734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1.2229782051444489</v>
      </c>
      <c r="C171" s="68"/>
      <c r="D171" s="68">
        <f>1/(1+(10^-((D170-B170)/400)))*(B121+D121)</f>
        <v>0.7770217948555509</v>
      </c>
      <c r="E171" s="68">
        <f>1/(1+(10^-((E170-G170)/400)))*(E121+G121)</f>
        <v>1.189986118735286</v>
      </c>
      <c r="F171" s="68"/>
      <c r="G171" s="68">
        <f>1/(1+(10^-((G170-E170)/400)))*(E121+G121)</f>
        <v>0.81001388126471396</v>
      </c>
      <c r="H171" s="68">
        <f>1/(1+(10^-((H170-J170)/400)))*(H121+J121)</f>
        <v>1.1279384139083393</v>
      </c>
      <c r="I171" s="68"/>
      <c r="J171" s="68">
        <f>1/(1+(10^-((J170-H170)/400)))*(H121+J121)</f>
        <v>0.87206158609166062</v>
      </c>
      <c r="K171" s="68">
        <f>1/(1+(10^-((K170-M170)/400)))*(K121+M121)</f>
        <v>1.1678685590241318</v>
      </c>
      <c r="L171" s="68"/>
      <c r="M171" s="68">
        <f>1/(1+(10^-((M170-K170)/400)))*(K121+M121)</f>
        <v>0.83213144097586822</v>
      </c>
      <c r="N171" s="68">
        <f>1/(1+(10^-((N170-P170)/400)))*(N121+P121)</f>
        <v>1.3212296684223166</v>
      </c>
      <c r="O171" s="68"/>
      <c r="P171" s="68">
        <f>1/(1+(10^-((P170-N170)/400)))*(N121+P121)</f>
        <v>0.67877033157768329</v>
      </c>
      <c r="Q171" s="68">
        <f>1/(1+(10^-((Q170-S170)/400)))*(Q121+S121)</f>
        <v>0.92794066067719405</v>
      </c>
      <c r="R171" s="68"/>
      <c r="S171" s="68">
        <f>1/(1+(10^-((S170-Q170)/400)))*(Q121+S121)</f>
        <v>1.0720593393228059</v>
      </c>
      <c r="T171" s="68">
        <f>1/(1+(10^-((T170-V170)/400)))*(T121+V121)</f>
        <v>1.2050640446443464</v>
      </c>
      <c r="U171" s="68"/>
      <c r="V171" s="68">
        <f>1/(1+(10^-((V170-T170)/400)))*(T121+V121)</f>
        <v>0.79493595535565376</v>
      </c>
      <c r="W171" s="68">
        <f>1/(1+(10^-((W170-Y170)/400)))*(W121+Y121)</f>
        <v>1.2269179431288706</v>
      </c>
      <c r="X171" s="68"/>
      <c r="Y171" s="68">
        <f>1/(1+(10^-((Y170-W170)/400)))*(W121+Y121)</f>
        <v>0.77308205687112963</v>
      </c>
      <c r="Z171" s="68">
        <f>1/(1+(10^-((Z170-AB170)/400)))*(Z121+AB121)</f>
        <v>1.1263155276697734</v>
      </c>
      <c r="AA171" s="68"/>
      <c r="AB171" s="68">
        <f>1/(1+(10^-((AB170-Z170)/400)))*(Z121+AB121)</f>
        <v>0.87368447233022684</v>
      </c>
      <c r="AC171" s="68">
        <f>1/(1+(10^-((AC170-AE170)/400)))*(AC121+AE121)</f>
        <v>1.4071853900479079</v>
      </c>
      <c r="AD171" s="68"/>
      <c r="AE171" s="68">
        <f>1/(1+(10^-((AE170-AC170)/400)))*(AC121+AE121)</f>
        <v>0.59281460995209201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1766.1405962923645</v>
      </c>
      <c r="C172" s="74"/>
      <c r="D172" s="74">
        <f>D170+(D121-D171)*$BA$1</f>
        <v>1701.6169946645118</v>
      </c>
      <c r="E172" s="74">
        <f>E170+(E121-E171)*$BA$1</f>
        <v>1825.9204442004709</v>
      </c>
      <c r="F172" s="74"/>
      <c r="G172" s="74">
        <f>G170+(G121-G171)*$BA$1</f>
        <v>1707.2597822509097</v>
      </c>
      <c r="H172" s="74">
        <f>H170+(H121-H171)*$BA$1</f>
        <v>1710.2182578686798</v>
      </c>
      <c r="I172" s="74"/>
      <c r="J172" s="74">
        <f>J170+(J121-J171)*$BA$1</f>
        <v>1737.7110239095787</v>
      </c>
      <c r="K172" s="74">
        <f>K170+(K121-K171)*$BA$1</f>
        <v>1760.7688024035924</v>
      </c>
      <c r="L172" s="74"/>
      <c r="M172" s="74">
        <f>M170+(M121-M171)*$BA$1</f>
        <v>1712.6315761396818</v>
      </c>
      <c r="N172" s="74">
        <f>N170+(N121-N171)*$BA$1</f>
        <v>1847.6410948109567</v>
      </c>
      <c r="O172" s="74"/>
      <c r="P172" s="74">
        <f>P170+(P121-P171)*$BA$1</f>
        <v>1688.497607258194</v>
      </c>
      <c r="Q172" s="74">
        <f>Q170+(Q121-Q171)*$BA$1</f>
        <v>1682.9374749980116</v>
      </c>
      <c r="R172" s="74"/>
      <c r="S172" s="74">
        <f>S170+(S121-S171)*$BA$1</f>
        <v>1767.4051250512489</v>
      </c>
      <c r="T172" s="74">
        <f>T170+(T121-T171)*$BA$1</f>
        <v>1722.2067529749734</v>
      </c>
      <c r="U172" s="74"/>
      <c r="V172" s="74">
        <f>V170+(V121-V171)*$BA$1</f>
        <v>1727.059656686813</v>
      </c>
      <c r="W172" s="74">
        <f>W170+(W121-W171)*$BA$1</f>
        <v>1872.3797206308329</v>
      </c>
      <c r="X172" s="74"/>
      <c r="Y172" s="74">
        <f>Y170+(Y121-Y171)*$BA$1</f>
        <v>1742.6664992313727</v>
      </c>
      <c r="Z172" s="74">
        <f>Z170+(Z121-Z171)*$BA$1</f>
        <v>1755.0175598013802</v>
      </c>
      <c r="AA172" s="74"/>
      <c r="AB172" s="74">
        <f>AB170+(AB121-AB171)*$BA$1</f>
        <v>1654.9795718834444</v>
      </c>
      <c r="AC172" s="74">
        <f>AC170+(AC121-AC171)*$BA$1</f>
        <v>1891.3497881492999</v>
      </c>
      <c r="AD172" s="74"/>
      <c r="AE172" s="74">
        <f>AE170+(AE121-AE171)*$BA$1</f>
        <v>1703.2366854565064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  <c r="AW174" s="66"/>
    </row>
    <row r="175" spans="1:54" s="63" customFormat="1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W175" s="66"/>
    </row>
    <row r="176" spans="1:54" ht="21" thickBot="1" x14ac:dyDescent="0.35">
      <c r="A176" s="345" t="s">
        <v>120</v>
      </c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</row>
    <row r="177" spans="1:53" ht="13.5" thickBot="1" x14ac:dyDescent="0.25">
      <c r="A177" s="346" t="s">
        <v>121</v>
      </c>
      <c r="B177" s="348" t="s">
        <v>122</v>
      </c>
      <c r="C177" s="349"/>
      <c r="D177" s="349"/>
      <c r="E177" s="349"/>
      <c r="F177" s="349"/>
      <c r="G177" s="349"/>
      <c r="H177" s="349"/>
      <c r="I177" s="349"/>
      <c r="J177" s="349"/>
      <c r="K177" s="350"/>
      <c r="L177" s="348" t="s">
        <v>123</v>
      </c>
      <c r="M177" s="349"/>
      <c r="N177" s="349"/>
      <c r="O177" s="349"/>
      <c r="P177" s="349"/>
      <c r="Q177" s="349"/>
      <c r="R177" s="349"/>
      <c r="S177" s="349"/>
      <c r="T177" s="349"/>
      <c r="U177" s="350"/>
      <c r="V177" s="348" t="s">
        <v>124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348" t="s">
        <v>125</v>
      </c>
      <c r="AG177" s="349"/>
      <c r="AH177" s="349"/>
      <c r="AI177" s="349"/>
      <c r="AJ177" s="349"/>
      <c r="AK177" s="349"/>
      <c r="AL177" s="349"/>
      <c r="AM177" s="349"/>
      <c r="AN177" s="349"/>
      <c r="AO177" s="350"/>
    </row>
    <row r="178" spans="1:53" ht="13.5" thickBot="1" x14ac:dyDescent="0.25">
      <c r="A178" s="347"/>
      <c r="B178" s="354" t="s">
        <v>10</v>
      </c>
      <c r="C178" s="355"/>
      <c r="D178" s="355"/>
      <c r="E178" s="355"/>
      <c r="F178" s="355"/>
      <c r="G178" s="356"/>
      <c r="H178" s="354" t="s">
        <v>126</v>
      </c>
      <c r="I178" s="355"/>
      <c r="J178" s="355"/>
      <c r="K178" s="356"/>
      <c r="L178" s="354" t="s">
        <v>10</v>
      </c>
      <c r="M178" s="355"/>
      <c r="N178" s="355"/>
      <c r="O178" s="355"/>
      <c r="P178" s="355"/>
      <c r="Q178" s="356"/>
      <c r="R178" s="354" t="s">
        <v>126</v>
      </c>
      <c r="S178" s="355"/>
      <c r="T178" s="355"/>
      <c r="U178" s="356"/>
      <c r="V178" s="354" t="s">
        <v>10</v>
      </c>
      <c r="W178" s="355"/>
      <c r="X178" s="355"/>
      <c r="Y178" s="355"/>
      <c r="Z178" s="355"/>
      <c r="AA178" s="356"/>
      <c r="AB178" s="354" t="s">
        <v>126</v>
      </c>
      <c r="AC178" s="355"/>
      <c r="AD178" s="355"/>
      <c r="AE178" s="356"/>
      <c r="AF178" s="354" t="s">
        <v>10</v>
      </c>
      <c r="AG178" s="355"/>
      <c r="AH178" s="355"/>
      <c r="AI178" s="355"/>
      <c r="AJ178" s="355"/>
      <c r="AK178" s="356"/>
      <c r="AL178" s="354" t="s">
        <v>126</v>
      </c>
      <c r="AM178" s="355"/>
      <c r="AN178" s="355"/>
      <c r="AO178" s="356"/>
    </row>
    <row r="179" spans="1:53" x14ac:dyDescent="0.2">
      <c r="A179" s="82" t="s">
        <v>127</v>
      </c>
      <c r="B179" s="412" t="str">
        <f>IF($AF$8=1,$E$8,IF($AF$10=1,$E$10,IF($AF$12=1,$E$12,IF($AF$14=1,$E$14,IF($AF$16=1,$E$16,"1st Place "&amp;$A179)))))</f>
        <v>TEV 14 LeAnn</v>
      </c>
      <c r="C179" s="413"/>
      <c r="D179" s="413"/>
      <c r="E179" s="413"/>
      <c r="F179" s="413"/>
      <c r="G179" s="413"/>
      <c r="H179" s="414" t="str">
        <f>IF($AF$8=1,$E$9,IF($AF$10=1,$E$11,IF($AF$12=1,$E$13,IF($AF$14=1,$E$15,IF($AF$16=1,$E$17,"1st Place "&amp;$A179)))))</f>
        <v>fj4triex2so</v>
      </c>
      <c r="I179" s="414"/>
      <c r="J179" s="414"/>
      <c r="K179" s="415"/>
      <c r="L179" s="412" t="str">
        <f>IF($AF$8=2,$E$8,IF($AF$10=2,$E$10,IF($AF$12=2,$E$12,IF($AF$14=2,$E$14,IF($AF$16=2,$E$16,"2nd Place "&amp;$A179)))))</f>
        <v>SCWE14TALONS</v>
      </c>
      <c r="M179" s="413"/>
      <c r="N179" s="413"/>
      <c r="O179" s="413"/>
      <c r="P179" s="413"/>
      <c r="Q179" s="413"/>
      <c r="R179" s="414" t="str">
        <f>IF($AF$8=2,$E$9,IF($AF$10=2,$E$11,IF($AF$12=2,$E$13,IF($AF$14=2,$E$15,IF($AF$16=2,$E$17,"2nd Place "&amp;$A179)))))</f>
        <v>fj4scwea2pm</v>
      </c>
      <c r="S179" s="414"/>
      <c r="T179" s="414"/>
      <c r="U179" s="415"/>
      <c r="V179" s="412" t="str">
        <f>IF($AF$8=3,$E$8,IF($AF$10=3,$E$10,IF($AF$12=3,$E$12,IF($AF$14=3,$E$14,IF($AF$16=3,$E$16,"3rd Place "&amp;$A179)))))</f>
        <v>Emerald City 14-1</v>
      </c>
      <c r="W179" s="413"/>
      <c r="X179" s="413"/>
      <c r="Y179" s="413"/>
      <c r="Z179" s="413"/>
      <c r="AA179" s="413"/>
      <c r="AB179" s="414" t="str">
        <f>IF($AF$8=3,$E$9,IF($AF$10=3,$E$11,IF($AF$12=3,$E$13,IF($AF$14=3,$E$15,IF($AF$16=3,$E$17,"3rd Place "&amp;$A179)))))</f>
        <v>fj4ecity1pm</v>
      </c>
      <c r="AC179" s="414"/>
      <c r="AD179" s="414"/>
      <c r="AE179" s="415"/>
      <c r="AF179" s="412" t="str">
        <f>IF($AF$8=4,$E$8,IF($AF$10=4,$E$10,IF($AF$12=4,$E$12,IF($AF$14=4,$E$14,IF($AF$16=4,$E$16,"4th Place "&amp;$A179)))))</f>
        <v>CSRA Heat 14 White</v>
      </c>
      <c r="AG179" s="413"/>
      <c r="AH179" s="413"/>
      <c r="AI179" s="413"/>
      <c r="AJ179" s="413"/>
      <c r="AK179" s="413"/>
      <c r="AL179" s="414" t="str">
        <f>IF($AF$8=4,$E$9,IF($AF$10=4,$E$11,IF($AF$12=4,$E$13,IF($AF$14=4,$E$15,IF($AF$16=4,$E$17,"4th Place "&amp;$A179)))))</f>
        <v>fj4csrah5pm</v>
      </c>
      <c r="AM179" s="414"/>
      <c r="AN179" s="414"/>
      <c r="AO179" s="415"/>
    </row>
    <row r="180" spans="1:53" ht="13.5" thickBot="1" x14ac:dyDescent="0.25">
      <c r="A180" s="83" t="s">
        <v>128</v>
      </c>
      <c r="B180" s="416" t="str">
        <f>IF($AF$93=1,$E$93,IF($AF$95=1,$E$95,IF($AF$97=1,$E$97,IF($AF$99=1,$E$99,IF($AF$101=1,$E$101,"1st Place "&amp;$A180)))))</f>
        <v>TEV 14 Whitney</v>
      </c>
      <c r="C180" s="417"/>
      <c r="D180" s="417"/>
      <c r="E180" s="417"/>
      <c r="F180" s="417"/>
      <c r="G180" s="417"/>
      <c r="H180" s="418" t="str">
        <f>IF($AF$93=1,$E$94,IF($AF$95=1,$E$96,IF($AF$97=1,$E$98,IF($AF$99=1,$E$100,IF($AF$101=1,$E$102,"1st Place "&amp;$A180)))))</f>
        <v>fj4triex1so</v>
      </c>
      <c r="I180" s="418"/>
      <c r="J180" s="418"/>
      <c r="K180" s="419"/>
      <c r="L180" s="416" t="str">
        <f>IF($AF$93=2,$E$93,IF($AF$95=2,$E$95,IF($AF$97=2,$E$97,IF($AF$99=2,$E$99,IF($AF$101=2,$E$101,"2nd Place "&amp;$A180)))))</f>
        <v>SC Midlands 14 Garnet</v>
      </c>
      <c r="M180" s="417"/>
      <c r="N180" s="417"/>
      <c r="O180" s="417"/>
      <c r="P180" s="417"/>
      <c r="Q180" s="417"/>
      <c r="R180" s="418" t="str">
        <f>IF($AF$93=2,$E$94,IF($AF$95=2,$E$96,IF($AF$97=2,$E$98,IF($AF$99=2,$E$100,IF($AF$101=2,$E$102,"2nd Place "&amp;$A180)))))</f>
        <v>fj4scmid4pm</v>
      </c>
      <c r="S180" s="418"/>
      <c r="T180" s="418"/>
      <c r="U180" s="419"/>
      <c r="V180" s="416" t="str">
        <f>IF($AF$93=3,$E$93,IF($AF$95=3,$E$95,IF($AF$97=3,$E$97,IF($AF$99=3,$E$99,IF($AF$101=3,$E$101,"3rd Place "&amp;$A180)))))</f>
        <v>Intense 14 Region</v>
      </c>
      <c r="W180" s="417"/>
      <c r="X180" s="417"/>
      <c r="Y180" s="417"/>
      <c r="Z180" s="417"/>
      <c r="AA180" s="417"/>
      <c r="AB180" s="418" t="str">
        <f>IF($AF$93=3,$E$94,IF($AF$95=3,$E$96,IF($AF$97=3,$E$98,IF($AF$99=3,$E$100,IF($AF$101=3,$E$102,"3rd Place "&amp;$A180)))))</f>
        <v>fj4inten4pm</v>
      </c>
      <c r="AC180" s="418"/>
      <c r="AD180" s="418"/>
      <c r="AE180" s="419"/>
      <c r="AF180" s="416" t="str">
        <f>IF($AF$93=4,$E$93,IF($AF$95=4,$E$95,IF($AF$97=4,$E$97,IF($AF$99=4,$E$99,IF($AF$101=4,$E$101,"4th Place "&amp;$A180)))))</f>
        <v>Emerald City 14-2</v>
      </c>
      <c r="AG180" s="417"/>
      <c r="AH180" s="417"/>
      <c r="AI180" s="417"/>
      <c r="AJ180" s="417"/>
      <c r="AK180" s="417"/>
      <c r="AL180" s="418" t="str">
        <f>IF($AF$93=4,$E$94,IF($AF$95=4,$E$96,IF($AF$97=4,$E$98,IF($AF$99=4,$E$100,IF($AF$101=4,$E$102,"4th Place "&amp;$A180)))))</f>
        <v>fj4ecity2pm</v>
      </c>
      <c r="AM180" s="418"/>
      <c r="AN180" s="418"/>
      <c r="AO180" s="41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W181" s="130"/>
      <c r="AX181" s="4"/>
      <c r="AY181" s="4"/>
      <c r="AZ181" s="4"/>
      <c r="BA181" s="4"/>
    </row>
    <row r="182" spans="1:53" ht="15.75" x14ac:dyDescent="0.25">
      <c r="A182" s="426" t="s">
        <v>129</v>
      </c>
      <c r="B182" s="426"/>
      <c r="C182" s="426"/>
      <c r="D182" s="426"/>
      <c r="E182" s="426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T182" s="86"/>
      <c r="AU182" s="86"/>
      <c r="AV182" s="86"/>
    </row>
    <row r="183" spans="1:53" ht="14.25" x14ac:dyDescent="0.2">
      <c r="A183" s="427" t="s">
        <v>130</v>
      </c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</row>
    <row r="184" spans="1:53" x14ac:dyDescent="0.2">
      <c r="A184" s="428" t="s">
        <v>131</v>
      </c>
      <c r="B184" s="428"/>
      <c r="C184" s="428"/>
      <c r="D184" s="428"/>
      <c r="E184" s="428"/>
      <c r="F184" s="428"/>
      <c r="G184" s="428"/>
      <c r="H184" s="428"/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53" x14ac:dyDescent="0.2">
      <c r="A185" s="428"/>
      <c r="B185" s="428"/>
      <c r="C185" s="428"/>
      <c r="D185" s="428"/>
      <c r="E185" s="428"/>
      <c r="F185" s="428"/>
      <c r="G185" s="428"/>
      <c r="H185" s="428"/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53" x14ac:dyDescent="0.2">
      <c r="A186" s="429" t="s">
        <v>132</v>
      </c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330" t="s">
        <v>133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130"/>
      <c r="R188" s="330" t="s">
        <v>134</v>
      </c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</row>
    <row r="190" spans="1:53" ht="13.5" thickBot="1" x14ac:dyDescent="0.25">
      <c r="A190" s="420" t="str">
        <f>IF(B218=1,B210,IF(B218=2,B211,IF(B218=3,B212,IF(B218=4,B213,IF(OR(B218="B",B218="b"),"BYE","invalid")))))</f>
        <v>TEV 14 LeAnn</v>
      </c>
      <c r="B190" s="420"/>
      <c r="C190" s="420"/>
      <c r="D190" s="420"/>
      <c r="E190" s="420"/>
      <c r="F190" s="88"/>
      <c r="G190" s="88"/>
      <c r="H190" s="88"/>
      <c r="I190" s="88"/>
      <c r="J190" s="88"/>
      <c r="K190" s="88"/>
      <c r="L190" s="88"/>
      <c r="M190" s="88"/>
      <c r="N190" s="88"/>
      <c r="S190" s="131"/>
      <c r="T190" s="131"/>
      <c r="U190" s="420" t="str">
        <f>IF(W218=1,X210,IF(W218=2,X211,IF(W218=3,X212,IF(W218=4,X213,IF(OR(W218="B",W218="b"),"BYE","invalid")))))</f>
        <v>Emerald City 14-1</v>
      </c>
      <c r="V190" s="420"/>
      <c r="W190" s="420"/>
      <c r="X190" s="420"/>
      <c r="Y190" s="420"/>
      <c r="Z190" s="420"/>
      <c r="AA190" s="420"/>
      <c r="AB190" s="88"/>
      <c r="AC190" s="88"/>
      <c r="AD190" s="88"/>
      <c r="AE190" s="88"/>
    </row>
    <row r="191" spans="1:53" x14ac:dyDescent="0.2">
      <c r="A191" s="421" t="s">
        <v>135</v>
      </c>
      <c r="B191" s="421"/>
      <c r="C191" s="421"/>
      <c r="D191" s="421"/>
      <c r="E191" s="421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422" t="s">
        <v>136</v>
      </c>
      <c r="V191" s="422"/>
      <c r="W191" s="422"/>
      <c r="X191" s="422"/>
      <c r="Y191" s="422"/>
      <c r="Z191" s="422"/>
      <c r="AA191" s="423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422" t="str">
        <f>B212&amp;" ref"</f>
        <v>SCWE14TALONS ref</v>
      </c>
      <c r="B193" s="422"/>
      <c r="C193" s="422"/>
      <c r="D193" s="422"/>
      <c r="E193" s="423"/>
      <c r="F193" s="424" t="str">
        <f>IF(H218=1,B210,IF(H218=2,B211,IF(H218=3,B212,IF(H218=4,B213,"Winner Match 1"))))</f>
        <v>TEV 14 LeAnn</v>
      </c>
      <c r="G193" s="425"/>
      <c r="H193" s="425"/>
      <c r="I193" s="425"/>
      <c r="J193" s="425"/>
      <c r="K193" s="425"/>
      <c r="L193" s="425"/>
      <c r="M193" s="425"/>
      <c r="N193" s="88"/>
      <c r="P193" s="93"/>
      <c r="Q193" s="93"/>
      <c r="R193" s="93"/>
      <c r="S193" s="93"/>
      <c r="T193" s="422" t="str">
        <f>X212&amp;" ref"</f>
        <v>CSRA Heat 14 White ref</v>
      </c>
      <c r="U193" s="422"/>
      <c r="V193" s="422"/>
      <c r="W193" s="422"/>
      <c r="X193" s="422"/>
      <c r="Y193" s="422"/>
      <c r="Z193" s="422"/>
      <c r="AA193" s="423"/>
      <c r="AB193" s="424" t="str">
        <f>IF(AC218=1,X210,IF(AC218=2,X211,IF(AC218=3,X212,IF(AC218=4,X213,"Winner Match 1"))))</f>
        <v>Emerald City 14-1</v>
      </c>
      <c r="AC193" s="425"/>
      <c r="AD193" s="425"/>
      <c r="AE193" s="425"/>
      <c r="AF193" s="425"/>
      <c r="AG193" s="425"/>
      <c r="AH193" s="425"/>
    </row>
    <row r="194" spans="1:53" x14ac:dyDescent="0.2">
      <c r="A194" s="434" t="s">
        <v>137</v>
      </c>
      <c r="B194" s="434"/>
      <c r="C194" s="434"/>
      <c r="D194" s="434"/>
      <c r="E194" s="434"/>
      <c r="F194" s="435"/>
      <c r="G194" s="436"/>
      <c r="H194" s="436"/>
      <c r="I194" s="437"/>
      <c r="J194" s="438"/>
      <c r="K194" s="439"/>
      <c r="L194" s="439"/>
      <c r="M194" s="439"/>
      <c r="N194" s="88"/>
      <c r="O194" s="88"/>
      <c r="P194" s="94"/>
      <c r="Q194" s="6"/>
      <c r="R194" s="95"/>
      <c r="S194" s="95"/>
      <c r="T194" s="440" t="s">
        <v>138</v>
      </c>
      <c r="U194" s="440"/>
      <c r="V194" s="440"/>
      <c r="W194" s="440"/>
      <c r="X194" s="440"/>
      <c r="Y194" s="440"/>
      <c r="Z194" s="440"/>
      <c r="AA194" s="92"/>
      <c r="AB194" s="435"/>
      <c r="AC194" s="436"/>
      <c r="AD194" s="436"/>
      <c r="AE194" s="437"/>
      <c r="AF194" s="438"/>
      <c r="AG194" s="439"/>
      <c r="AH194" s="439"/>
    </row>
    <row r="195" spans="1:53" ht="13.5" thickBot="1" x14ac:dyDescent="0.25">
      <c r="A195" s="420" t="str">
        <f>IF(D218=1,B210,IF(D218=2,B211,IF(D218=3,B212,IF(D218=4,B213,IF(OR(D218="B",D218="b"),"BYE","invalid")))))</f>
        <v>SC Midlands 14 Garnet</v>
      </c>
      <c r="B195" s="420"/>
      <c r="C195" s="420"/>
      <c r="D195" s="420"/>
      <c r="E195" s="430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420" t="str">
        <f>IF(Y218=1,X210,IF(Y218=2,X211,IF(Y218=3,X212,IF(Y218=4,X213,IF(OR(Y218="B",Y218="b"),"BYE","invalid")))))</f>
        <v>Emerald City 14-2</v>
      </c>
      <c r="V195" s="420"/>
      <c r="W195" s="420"/>
      <c r="X195" s="420"/>
      <c r="Y195" s="420"/>
      <c r="Z195" s="420"/>
      <c r="AA195" s="430"/>
      <c r="AB195" s="88"/>
      <c r="AC195" s="88"/>
      <c r="AD195" s="88"/>
      <c r="AE195" s="92"/>
      <c r="AF195" s="88"/>
      <c r="AG195" s="88"/>
    </row>
    <row r="196" spans="1:53" x14ac:dyDescent="0.2">
      <c r="A196" s="421" t="s">
        <v>139</v>
      </c>
      <c r="B196" s="421"/>
      <c r="C196" s="421"/>
      <c r="D196" s="421"/>
      <c r="E196" s="421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431" t="s">
        <v>140</v>
      </c>
      <c r="V196" s="431"/>
      <c r="W196" s="431"/>
      <c r="X196" s="431"/>
      <c r="Y196" s="431"/>
      <c r="Z196" s="431"/>
      <c r="AA196" s="431"/>
      <c r="AB196" s="88"/>
      <c r="AC196" s="88"/>
      <c r="AD196" s="88"/>
      <c r="AE196" s="92"/>
      <c r="AF196" s="88"/>
      <c r="AG196" s="88"/>
      <c r="AQ196" s="96"/>
      <c r="AR196" s="96"/>
      <c r="AS196" s="96"/>
    </row>
    <row r="197" spans="1:53" x14ac:dyDescent="0.2">
      <c r="A197" s="88"/>
      <c r="B197" s="88"/>
      <c r="C197" s="88"/>
      <c r="D197" s="88"/>
      <c r="E197" s="88"/>
      <c r="F197" s="432" t="s">
        <v>141</v>
      </c>
      <c r="G197" s="432"/>
      <c r="H197" s="432"/>
      <c r="I197" s="433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432" t="s">
        <v>141</v>
      </c>
      <c r="AC197" s="432"/>
      <c r="AD197" s="432"/>
      <c r="AE197" s="433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445" t="str">
        <f>IF(K223=1,B210,IF(K223=2,B211,IF(K223=3,B212,IF(K223=4,B213,"Division Winner"))))</f>
        <v>TEV 14 LeAnn</v>
      </c>
      <c r="K198" s="446"/>
      <c r="L198" s="446"/>
      <c r="M198" s="446"/>
      <c r="N198" s="446"/>
      <c r="O198" s="446"/>
      <c r="P198" s="446"/>
      <c r="Q198" s="131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446" t="str">
        <f>IF(AF223=1,X210,IF(AF223=2,X211,IF(AF223=3,X212,IF(AF223=4,X213,"Division Winner"))))</f>
        <v>Emerald City 14-1</v>
      </c>
      <c r="AG198" s="446"/>
      <c r="AH198" s="446"/>
      <c r="AI198" s="446"/>
      <c r="AJ198" s="446"/>
      <c r="AK198" s="98"/>
    </row>
    <row r="199" spans="1:53" ht="13.5" thickBot="1" x14ac:dyDescent="0.25">
      <c r="A199" s="420" t="str">
        <f>IF(E218=1,B210,IF(E218=2,B211,IF(E218=3,B212,IF(E218=4,B213,IF(OR(E218="B",E218="b"),"BYE","invalid")))))</f>
        <v>TEV 14 Whitney</v>
      </c>
      <c r="B199" s="420"/>
      <c r="C199" s="420"/>
      <c r="D199" s="420"/>
      <c r="E199" s="420"/>
      <c r="F199" s="434" t="s">
        <v>142</v>
      </c>
      <c r="G199" s="434"/>
      <c r="H199" s="434"/>
      <c r="I199" s="434"/>
      <c r="J199" s="441" t="s">
        <v>143</v>
      </c>
      <c r="K199" s="432"/>
      <c r="L199" s="432"/>
      <c r="M199" s="432"/>
      <c r="N199" s="432"/>
      <c r="O199" s="432"/>
      <c r="P199" s="432"/>
      <c r="R199" s="98"/>
      <c r="S199" s="98"/>
      <c r="T199" s="98"/>
      <c r="U199" s="420" t="str">
        <f>IF(Z218=1,X210,IF(Z218=2,X211,IF(Z218=3,X212,IF(Z218=4,X213,IF(OR(Z218="B",Z218="b"),"BYE","invalid")))))</f>
        <v>Intense 14 Region</v>
      </c>
      <c r="V199" s="420"/>
      <c r="W199" s="420"/>
      <c r="X199" s="420"/>
      <c r="Y199" s="420"/>
      <c r="Z199" s="420"/>
      <c r="AA199" s="420"/>
      <c r="AB199" s="434" t="s">
        <v>144</v>
      </c>
      <c r="AC199" s="434"/>
      <c r="AD199" s="434"/>
      <c r="AE199" s="447"/>
      <c r="AF199" s="448" t="s">
        <v>145</v>
      </c>
      <c r="AG199" s="449"/>
      <c r="AH199" s="449"/>
      <c r="AI199" s="449"/>
      <c r="AJ199" s="449"/>
    </row>
    <row r="200" spans="1:53" x14ac:dyDescent="0.2">
      <c r="A200" s="421" t="s">
        <v>146</v>
      </c>
      <c r="B200" s="421"/>
      <c r="C200" s="421"/>
      <c r="D200" s="421"/>
      <c r="E200" s="421"/>
      <c r="F200" s="90"/>
      <c r="G200" s="88"/>
      <c r="H200" s="88"/>
      <c r="I200" s="88"/>
      <c r="J200" s="441"/>
      <c r="K200" s="432"/>
      <c r="L200" s="432"/>
      <c r="M200" s="432"/>
      <c r="N200" s="432"/>
      <c r="O200" s="432"/>
      <c r="P200" s="432"/>
      <c r="Q200" s="88"/>
      <c r="R200" s="96"/>
      <c r="S200" s="96"/>
      <c r="T200" s="96"/>
      <c r="U200" s="422" t="s">
        <v>147</v>
      </c>
      <c r="V200" s="422"/>
      <c r="W200" s="422"/>
      <c r="X200" s="422"/>
      <c r="Y200" s="422"/>
      <c r="Z200" s="422"/>
      <c r="AA200" s="423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W201" s="58"/>
      <c r="AX201" s="55"/>
      <c r="AY201" s="55"/>
      <c r="AZ201" s="55"/>
      <c r="BA201" s="55"/>
    </row>
    <row r="202" spans="1:53" ht="13.5" thickBot="1" x14ac:dyDescent="0.25">
      <c r="A202" s="432" t="s">
        <v>148</v>
      </c>
      <c r="B202" s="432"/>
      <c r="C202" s="432"/>
      <c r="D202" s="432"/>
      <c r="E202" s="94"/>
      <c r="F202" s="442"/>
      <c r="G202" s="443"/>
      <c r="H202" s="443"/>
      <c r="I202" s="444"/>
      <c r="J202" s="438"/>
      <c r="K202" s="439"/>
      <c r="L202" s="439"/>
      <c r="M202" s="439"/>
      <c r="N202" s="88"/>
      <c r="Q202" s="93"/>
      <c r="R202" s="93"/>
      <c r="S202" s="93"/>
      <c r="T202" s="432" t="s">
        <v>148</v>
      </c>
      <c r="U202" s="432"/>
      <c r="V202" s="432"/>
      <c r="W202" s="432"/>
      <c r="X202" s="432"/>
      <c r="Y202" s="432"/>
      <c r="Z202" s="432"/>
      <c r="AA202" s="88"/>
      <c r="AB202" s="442"/>
      <c r="AC202" s="443"/>
      <c r="AD202" s="443"/>
      <c r="AE202" s="444"/>
      <c r="AF202" s="438"/>
      <c r="AG202" s="439"/>
      <c r="AH202" s="439"/>
      <c r="AW202" s="58"/>
      <c r="AX202" s="55"/>
      <c r="AY202" s="55"/>
      <c r="AZ202" s="55"/>
      <c r="BA202" s="55"/>
    </row>
    <row r="203" spans="1:53" x14ac:dyDescent="0.2">
      <c r="A203" s="434" t="s">
        <v>137</v>
      </c>
      <c r="B203" s="434"/>
      <c r="C203" s="434"/>
      <c r="D203" s="434"/>
      <c r="E203" s="447"/>
      <c r="F203" s="424" t="str">
        <f>IF(J218=1,B210,IF(J218=2,B211,IF(J218=3,B212,IF(J218=4,B213,"Winner Match 2"))))</f>
        <v>TEV 14 Whitney</v>
      </c>
      <c r="G203" s="425"/>
      <c r="H203" s="425"/>
      <c r="I203" s="425"/>
      <c r="J203" s="425"/>
      <c r="K203" s="425"/>
      <c r="L203" s="425"/>
      <c r="M203" s="425"/>
      <c r="N203" s="88"/>
      <c r="P203" s="94"/>
      <c r="Q203" s="94"/>
      <c r="S203" s="95"/>
      <c r="T203" s="434" t="s">
        <v>138</v>
      </c>
      <c r="U203" s="434"/>
      <c r="V203" s="434"/>
      <c r="W203" s="434"/>
      <c r="X203" s="434"/>
      <c r="Y203" s="434"/>
      <c r="Z203" s="434"/>
      <c r="AA203" s="92"/>
      <c r="AB203" s="424" t="str">
        <f>IF(AE218=1,X210,IF(AE218=2,X211,IF(AE218=3,X212,IF(AE218=4,X213,"Winner Match 2"))))</f>
        <v>Intense 14 Region</v>
      </c>
      <c r="AC203" s="425"/>
      <c r="AD203" s="425"/>
      <c r="AE203" s="425"/>
      <c r="AF203" s="425"/>
      <c r="AG203" s="425"/>
      <c r="AH203" s="425"/>
      <c r="AW203" s="58"/>
      <c r="AX203" s="55"/>
      <c r="AY203" s="55"/>
      <c r="AZ203" s="55"/>
      <c r="BA203" s="55"/>
    </row>
    <row r="204" spans="1:53" ht="13.5" thickBot="1" x14ac:dyDescent="0.25">
      <c r="A204" s="420" t="str">
        <f>IF(G218=1,B210,IF(G218=2,B211,IF(G218=3,B212,IF(G218=4,B213,IF(OR(G218="B",G218="b"),"BYE","invalid")))))</f>
        <v>SCWE14TALONS</v>
      </c>
      <c r="B204" s="420"/>
      <c r="C204" s="420"/>
      <c r="D204" s="420"/>
      <c r="E204" s="430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420" t="str">
        <f>IF(AB218=1,X210,IF(AB218=2,X211,IF(AB218=3,X212,IF(AB218=4,X213,IF(OR(AB218="B",AB218="b"),"BYE","invalid")))))</f>
        <v>CSRA Heat 14 White</v>
      </c>
      <c r="V204" s="420"/>
      <c r="W204" s="420"/>
      <c r="X204" s="420"/>
      <c r="Y204" s="420"/>
      <c r="Z204" s="420"/>
      <c r="AA204" s="430"/>
      <c r="AB204" s="88"/>
      <c r="AC204" s="88"/>
      <c r="AD204" s="88"/>
      <c r="AE204" s="88"/>
      <c r="AW204" s="58"/>
      <c r="AX204" s="55"/>
      <c r="AY204" s="55"/>
      <c r="AZ204" s="55"/>
      <c r="BA204" s="55"/>
    </row>
    <row r="205" spans="1:53" x14ac:dyDescent="0.2">
      <c r="A205" s="421" t="s">
        <v>149</v>
      </c>
      <c r="B205" s="421"/>
      <c r="C205" s="421"/>
      <c r="D205" s="421"/>
      <c r="E205" s="421"/>
      <c r="S205" s="96"/>
      <c r="T205" s="96"/>
      <c r="U205" s="422" t="s">
        <v>150</v>
      </c>
      <c r="V205" s="422"/>
      <c r="W205" s="422"/>
      <c r="X205" s="422"/>
      <c r="Y205" s="422"/>
      <c r="Z205" s="422"/>
      <c r="AA205" s="422"/>
      <c r="AW205" s="58"/>
      <c r="AX205" s="55"/>
      <c r="AY205" s="55"/>
      <c r="AZ205" s="55"/>
      <c r="BA205" s="55"/>
    </row>
    <row r="206" spans="1:53" x14ac:dyDescent="0.2">
      <c r="AT206" s="55"/>
      <c r="AU206" s="55"/>
      <c r="AV206" s="55"/>
      <c r="AW206" s="58"/>
      <c r="AX206" s="55"/>
      <c r="AY206" s="55"/>
      <c r="AZ206" s="55"/>
      <c r="BA206" s="55"/>
    </row>
    <row r="207" spans="1:53" x14ac:dyDescent="0.2">
      <c r="AT207" s="55"/>
      <c r="AU207" s="55"/>
      <c r="AV207" s="55"/>
      <c r="AW207" s="58"/>
      <c r="AX207" s="55"/>
      <c r="AY207" s="55"/>
      <c r="AZ207" s="55"/>
      <c r="BA207" s="55"/>
    </row>
    <row r="208" spans="1:53" ht="16.5" thickBot="1" x14ac:dyDescent="0.3">
      <c r="A208" s="450" t="s">
        <v>151</v>
      </c>
      <c r="B208" s="450"/>
      <c r="C208" s="450"/>
      <c r="D208" s="450"/>
      <c r="E208" s="450"/>
      <c r="F208" s="450"/>
      <c r="G208" s="450"/>
      <c r="H208" s="450"/>
      <c r="I208" s="450"/>
      <c r="J208" s="450"/>
      <c r="Q208" s="100"/>
      <c r="R208" s="100"/>
      <c r="S208" s="100"/>
      <c r="U208" s="450" t="s">
        <v>152</v>
      </c>
      <c r="V208" s="450"/>
      <c r="W208" s="450"/>
      <c r="X208" s="450"/>
      <c r="Y208" s="450"/>
      <c r="Z208" s="450"/>
      <c r="AA208" s="450"/>
      <c r="AB208" s="450"/>
      <c r="AC208" s="450"/>
      <c r="AD208" s="450"/>
      <c r="AE208" s="450"/>
      <c r="AF208" s="450"/>
      <c r="AT208" s="55"/>
      <c r="AU208" s="55"/>
      <c r="AV208" s="55"/>
      <c r="AW208" s="58"/>
      <c r="AX208" s="55"/>
      <c r="AY208" s="55"/>
      <c r="AZ208" s="55"/>
      <c r="BA208" s="55"/>
    </row>
    <row r="209" spans="1:53" ht="13.5" thickBot="1" x14ac:dyDescent="0.25">
      <c r="A209" s="101" t="s">
        <v>153</v>
      </c>
      <c r="B209" s="451" t="s">
        <v>154</v>
      </c>
      <c r="C209" s="452"/>
      <c r="D209" s="452"/>
      <c r="E209" s="452"/>
      <c r="F209" s="452"/>
      <c r="G209" s="452"/>
      <c r="H209" s="452"/>
      <c r="I209" s="452"/>
      <c r="J209" s="453"/>
      <c r="K209" s="454" t="s">
        <v>155</v>
      </c>
      <c r="L209" s="455"/>
      <c r="M209" s="455"/>
      <c r="N209" s="455"/>
      <c r="O209" s="455"/>
      <c r="P209" s="455"/>
      <c r="Q209" s="456"/>
      <c r="U209" s="457" t="s">
        <v>153</v>
      </c>
      <c r="V209" s="458"/>
      <c r="W209" s="459"/>
      <c r="X209" s="451" t="s">
        <v>154</v>
      </c>
      <c r="Y209" s="452"/>
      <c r="Z209" s="452"/>
      <c r="AA209" s="452"/>
      <c r="AB209" s="452"/>
      <c r="AC209" s="452"/>
      <c r="AD209" s="452"/>
      <c r="AE209" s="452"/>
      <c r="AF209" s="453"/>
      <c r="AG209" s="454" t="s">
        <v>155</v>
      </c>
      <c r="AH209" s="455"/>
      <c r="AI209" s="455"/>
      <c r="AJ209" s="455"/>
      <c r="AK209" s="455"/>
      <c r="AL209" s="455"/>
      <c r="AM209" s="456"/>
      <c r="AT209" s="55"/>
      <c r="AU209" s="55"/>
      <c r="AV209" s="55"/>
      <c r="AW209" s="58"/>
      <c r="AX209" s="55"/>
      <c r="AY209" s="55"/>
      <c r="AZ209" s="55"/>
      <c r="BA209" s="55"/>
    </row>
    <row r="210" spans="1:53" ht="13.5" thickBot="1" x14ac:dyDescent="0.25">
      <c r="A210" s="101">
        <v>1</v>
      </c>
      <c r="B210" s="460" t="str">
        <f>B179</f>
        <v>TEV 14 LeAnn</v>
      </c>
      <c r="C210" s="461"/>
      <c r="D210" s="461"/>
      <c r="E210" s="461"/>
      <c r="F210" s="461"/>
      <c r="G210" s="461"/>
      <c r="H210" s="461"/>
      <c r="I210" s="461"/>
      <c r="J210" s="462"/>
      <c r="K210" s="463" t="str">
        <f>H179</f>
        <v>fj4triex2so</v>
      </c>
      <c r="L210" s="464"/>
      <c r="M210" s="464"/>
      <c r="N210" s="464"/>
      <c r="O210" s="464"/>
      <c r="P210" s="464"/>
      <c r="Q210" s="465"/>
      <c r="U210" s="457">
        <v>1</v>
      </c>
      <c r="V210" s="458"/>
      <c r="W210" s="459"/>
      <c r="X210" s="460" t="str">
        <f>V179</f>
        <v>Emerald City 14-1</v>
      </c>
      <c r="Y210" s="461"/>
      <c r="Z210" s="461"/>
      <c r="AA210" s="461"/>
      <c r="AB210" s="461"/>
      <c r="AC210" s="461"/>
      <c r="AD210" s="461"/>
      <c r="AE210" s="461"/>
      <c r="AF210" s="462"/>
      <c r="AG210" s="463" t="str">
        <f>AB179</f>
        <v>fj4ecity1pm</v>
      </c>
      <c r="AH210" s="464"/>
      <c r="AI210" s="464"/>
      <c r="AJ210" s="464"/>
      <c r="AK210" s="464"/>
      <c r="AL210" s="464"/>
      <c r="AM210" s="465"/>
      <c r="AT210" s="55"/>
      <c r="AU210" s="55"/>
      <c r="AV210" s="55"/>
      <c r="AW210" s="58"/>
      <c r="AX210" s="55"/>
      <c r="AY210" s="55"/>
      <c r="AZ210" s="55"/>
      <c r="BA210" s="55"/>
    </row>
    <row r="211" spans="1:53" ht="13.5" thickBot="1" x14ac:dyDescent="0.25">
      <c r="A211" s="101">
        <v>2</v>
      </c>
      <c r="B211" s="460" t="str">
        <f>B180</f>
        <v>TEV 14 Whitney</v>
      </c>
      <c r="C211" s="461"/>
      <c r="D211" s="461"/>
      <c r="E211" s="461"/>
      <c r="F211" s="461"/>
      <c r="G211" s="461"/>
      <c r="H211" s="461"/>
      <c r="I211" s="461"/>
      <c r="J211" s="462"/>
      <c r="K211" s="463" t="str">
        <f>H180</f>
        <v>fj4triex1so</v>
      </c>
      <c r="L211" s="464"/>
      <c r="M211" s="464"/>
      <c r="N211" s="464"/>
      <c r="O211" s="464"/>
      <c r="P211" s="464"/>
      <c r="Q211" s="465"/>
      <c r="U211" s="457">
        <v>2</v>
      </c>
      <c r="V211" s="458"/>
      <c r="W211" s="459"/>
      <c r="X211" s="460" t="str">
        <f>V180</f>
        <v>Intense 14 Region</v>
      </c>
      <c r="Y211" s="461"/>
      <c r="Z211" s="461"/>
      <c r="AA211" s="461"/>
      <c r="AB211" s="461"/>
      <c r="AC211" s="461"/>
      <c r="AD211" s="461"/>
      <c r="AE211" s="461"/>
      <c r="AF211" s="462"/>
      <c r="AG211" s="463" t="str">
        <f>AB180</f>
        <v>fj4inten4pm</v>
      </c>
      <c r="AH211" s="464"/>
      <c r="AI211" s="464"/>
      <c r="AJ211" s="464"/>
      <c r="AK211" s="464"/>
      <c r="AL211" s="464"/>
      <c r="AM211" s="465"/>
      <c r="AT211" s="55"/>
      <c r="AU211" s="55"/>
      <c r="AV211" s="55"/>
      <c r="AW211" s="58"/>
      <c r="AX211" s="55"/>
      <c r="AY211" s="55"/>
      <c r="AZ211" s="55"/>
      <c r="BA211" s="55"/>
    </row>
    <row r="212" spans="1:53" ht="13.5" thickBot="1" x14ac:dyDescent="0.25">
      <c r="A212" s="101">
        <v>3</v>
      </c>
      <c r="B212" s="460" t="str">
        <f>L179</f>
        <v>SCWE14TALONS</v>
      </c>
      <c r="C212" s="461"/>
      <c r="D212" s="461"/>
      <c r="E212" s="461"/>
      <c r="F212" s="461"/>
      <c r="G212" s="461"/>
      <c r="H212" s="461"/>
      <c r="I212" s="461"/>
      <c r="J212" s="462"/>
      <c r="K212" s="463" t="str">
        <f>R179</f>
        <v>fj4scwea2pm</v>
      </c>
      <c r="L212" s="464"/>
      <c r="M212" s="464"/>
      <c r="N212" s="464"/>
      <c r="O212" s="464"/>
      <c r="P212" s="464"/>
      <c r="Q212" s="465"/>
      <c r="U212" s="457">
        <v>3</v>
      </c>
      <c r="V212" s="458"/>
      <c r="W212" s="459"/>
      <c r="X212" s="460" t="str">
        <f>AF179</f>
        <v>CSRA Heat 14 White</v>
      </c>
      <c r="Y212" s="461"/>
      <c r="Z212" s="461"/>
      <c r="AA212" s="461"/>
      <c r="AB212" s="461"/>
      <c r="AC212" s="461"/>
      <c r="AD212" s="461"/>
      <c r="AE212" s="461"/>
      <c r="AF212" s="462"/>
      <c r="AG212" s="463" t="str">
        <f>AL179</f>
        <v>fj4csrah5pm</v>
      </c>
      <c r="AH212" s="464"/>
      <c r="AI212" s="464"/>
      <c r="AJ212" s="464"/>
      <c r="AK212" s="464"/>
      <c r="AL212" s="464"/>
      <c r="AM212" s="465"/>
      <c r="AT212" s="55"/>
      <c r="AU212" s="55"/>
      <c r="AV212" s="55"/>
      <c r="AW212" s="58"/>
      <c r="AX212" s="55"/>
      <c r="AY212" s="55"/>
      <c r="AZ212" s="55"/>
      <c r="BA212" s="55"/>
    </row>
    <row r="213" spans="1:53" ht="13.5" thickBot="1" x14ac:dyDescent="0.25">
      <c r="A213" s="101">
        <v>4</v>
      </c>
      <c r="B213" s="460" t="str">
        <f>L180</f>
        <v>SC Midlands 14 Garnet</v>
      </c>
      <c r="C213" s="461"/>
      <c r="D213" s="461"/>
      <c r="E213" s="461"/>
      <c r="F213" s="461"/>
      <c r="G213" s="461"/>
      <c r="H213" s="461"/>
      <c r="I213" s="461"/>
      <c r="J213" s="462"/>
      <c r="K213" s="463" t="str">
        <f>R180</f>
        <v>fj4scmid4pm</v>
      </c>
      <c r="L213" s="464"/>
      <c r="M213" s="464"/>
      <c r="N213" s="464"/>
      <c r="O213" s="464"/>
      <c r="P213" s="464"/>
      <c r="Q213" s="465"/>
      <c r="U213" s="457">
        <v>4</v>
      </c>
      <c r="V213" s="458"/>
      <c r="W213" s="459"/>
      <c r="X213" s="460" t="str">
        <f>AF180</f>
        <v>Emerald City 14-2</v>
      </c>
      <c r="Y213" s="461"/>
      <c r="Z213" s="461"/>
      <c r="AA213" s="461"/>
      <c r="AB213" s="461"/>
      <c r="AC213" s="461"/>
      <c r="AD213" s="461"/>
      <c r="AE213" s="461"/>
      <c r="AF213" s="462"/>
      <c r="AG213" s="463" t="str">
        <f>AL180</f>
        <v>fj4ecity2pm</v>
      </c>
      <c r="AH213" s="464"/>
      <c r="AI213" s="464"/>
      <c r="AJ213" s="464"/>
      <c r="AK213" s="464"/>
      <c r="AL213" s="464"/>
      <c r="AM213" s="465"/>
      <c r="AT213" s="55"/>
      <c r="AU213" s="55"/>
      <c r="AV213" s="55"/>
      <c r="AW213" s="58"/>
      <c r="AX213" s="55"/>
      <c r="AY213" s="55"/>
      <c r="AZ213" s="55"/>
      <c r="BA213" s="55"/>
    </row>
    <row r="214" spans="1:53" ht="13.5" thickBot="1" x14ac:dyDescent="0.25">
      <c r="AT214" s="55"/>
      <c r="AU214" s="55"/>
      <c r="AV214" s="55"/>
      <c r="AW214" s="58"/>
      <c r="AX214" s="55"/>
      <c r="AY214" s="55"/>
      <c r="AZ214" s="55"/>
      <c r="BA214" s="55"/>
    </row>
    <row r="215" spans="1:53" x14ac:dyDescent="0.2">
      <c r="B215" s="466" t="s">
        <v>156</v>
      </c>
      <c r="C215" s="467"/>
      <c r="D215" s="468"/>
      <c r="E215" s="469" t="s">
        <v>156</v>
      </c>
      <c r="F215" s="467"/>
      <c r="G215" s="468"/>
      <c r="H215" s="469" t="s">
        <v>14</v>
      </c>
      <c r="I215" s="467"/>
      <c r="J215" s="470"/>
      <c r="K215" s="471" t="s">
        <v>157</v>
      </c>
      <c r="L215" s="472"/>
      <c r="M215" s="472"/>
      <c r="N215" s="472"/>
      <c r="O215" s="472"/>
      <c r="P215" s="472"/>
      <c r="Q215" s="473"/>
      <c r="R215" s="102"/>
      <c r="S215" s="102"/>
      <c r="T215" s="102"/>
      <c r="U215" s="102"/>
      <c r="W215" s="466" t="s">
        <v>156</v>
      </c>
      <c r="X215" s="467"/>
      <c r="Y215" s="468"/>
      <c r="Z215" s="469" t="s">
        <v>156</v>
      </c>
      <c r="AA215" s="467"/>
      <c r="AB215" s="468"/>
      <c r="AC215" s="469" t="s">
        <v>14</v>
      </c>
      <c r="AD215" s="467"/>
      <c r="AE215" s="470"/>
      <c r="AF215" s="471" t="s">
        <v>157</v>
      </c>
      <c r="AG215" s="480"/>
      <c r="AH215" s="480"/>
      <c r="AI215" s="480"/>
      <c r="AJ215" s="481"/>
      <c r="AW215" s="58"/>
      <c r="AX215" s="55"/>
      <c r="AY215" s="55"/>
      <c r="AZ215" s="55"/>
      <c r="BA215" s="55"/>
    </row>
    <row r="216" spans="1:53" x14ac:dyDescent="0.2">
      <c r="A216" s="41" t="s">
        <v>158</v>
      </c>
      <c r="B216" s="488">
        <v>3</v>
      </c>
      <c r="C216" s="489"/>
      <c r="D216" s="490"/>
      <c r="E216" s="491" t="s">
        <v>159</v>
      </c>
      <c r="F216" s="489"/>
      <c r="G216" s="490"/>
      <c r="H216" s="491" t="s">
        <v>160</v>
      </c>
      <c r="I216" s="489"/>
      <c r="J216" s="492"/>
      <c r="K216" s="474"/>
      <c r="L216" s="475"/>
      <c r="M216" s="475"/>
      <c r="N216" s="475"/>
      <c r="O216" s="475"/>
      <c r="P216" s="475"/>
      <c r="Q216" s="476"/>
      <c r="R216" s="102"/>
      <c r="S216" s="102"/>
      <c r="T216" s="493" t="s">
        <v>158</v>
      </c>
      <c r="U216" s="493"/>
      <c r="V216" s="494"/>
      <c r="W216" s="488">
        <v>3</v>
      </c>
      <c r="X216" s="489"/>
      <c r="Y216" s="490"/>
      <c r="Z216" s="491" t="s">
        <v>159</v>
      </c>
      <c r="AA216" s="489"/>
      <c r="AB216" s="490"/>
      <c r="AC216" s="491" t="s">
        <v>160</v>
      </c>
      <c r="AD216" s="489"/>
      <c r="AE216" s="492"/>
      <c r="AF216" s="482"/>
      <c r="AG216" s="483"/>
      <c r="AH216" s="483"/>
      <c r="AI216" s="483"/>
      <c r="AJ216" s="484"/>
      <c r="AW216" s="58"/>
      <c r="AX216" s="55"/>
      <c r="AY216" s="55"/>
      <c r="AZ216" s="55"/>
      <c r="BA216" s="55"/>
    </row>
    <row r="217" spans="1:53" ht="13.5" thickBot="1" x14ac:dyDescent="0.25">
      <c r="A217" s="7"/>
      <c r="B217" s="501" t="s">
        <v>70</v>
      </c>
      <c r="C217" s="323"/>
      <c r="D217" s="324"/>
      <c r="E217" s="322" t="s">
        <v>161</v>
      </c>
      <c r="F217" s="323"/>
      <c r="G217" s="324"/>
      <c r="H217" s="322" t="s">
        <v>162</v>
      </c>
      <c r="I217" s="323"/>
      <c r="J217" s="495"/>
      <c r="K217" s="477"/>
      <c r="L217" s="478"/>
      <c r="M217" s="478"/>
      <c r="N217" s="478"/>
      <c r="O217" s="478"/>
      <c r="P217" s="478"/>
      <c r="Q217" s="479"/>
      <c r="R217" s="102"/>
      <c r="S217" s="102"/>
      <c r="T217" s="499"/>
      <c r="U217" s="499"/>
      <c r="V217" s="500"/>
      <c r="W217" s="501" t="s">
        <v>70</v>
      </c>
      <c r="X217" s="323"/>
      <c r="Y217" s="324"/>
      <c r="Z217" s="322" t="s">
        <v>161</v>
      </c>
      <c r="AA217" s="323"/>
      <c r="AB217" s="324"/>
      <c r="AC217" s="322" t="s">
        <v>162</v>
      </c>
      <c r="AD217" s="323"/>
      <c r="AE217" s="495"/>
      <c r="AF217" s="485"/>
      <c r="AG217" s="486"/>
      <c r="AH217" s="486"/>
      <c r="AI217" s="486"/>
      <c r="AJ217" s="487"/>
      <c r="AW217" s="58"/>
      <c r="AX217" s="55"/>
      <c r="AY217" s="55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1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2</v>
      </c>
      <c r="K218" s="496" t="s">
        <v>163</v>
      </c>
      <c r="L218" s="497"/>
      <c r="M218" s="497"/>
      <c r="N218" s="498"/>
      <c r="R218" s="102"/>
      <c r="S218" s="102"/>
      <c r="T218" s="499"/>
      <c r="U218" s="499"/>
      <c r="V218" s="500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1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2</v>
      </c>
      <c r="AF218" s="496" t="s">
        <v>163</v>
      </c>
      <c r="AG218" s="498"/>
      <c r="AH218" s="102"/>
      <c r="AI218" s="102"/>
      <c r="AJ218" s="102"/>
      <c r="AW218" s="58"/>
      <c r="AX218" s="55"/>
      <c r="AY218" s="55"/>
      <c r="AZ218" s="55"/>
      <c r="BA218" s="55"/>
    </row>
    <row r="219" spans="1:53" ht="13.5" hidden="1" customHeight="1" x14ac:dyDescent="0.2">
      <c r="A219" s="7"/>
      <c r="B219" s="110">
        <f>IF(B223&gt;D223,1,0)</f>
        <v>1</v>
      </c>
      <c r="C219" s="111"/>
      <c r="D219" s="112">
        <f>IF(D223&gt;B223,1,0)</f>
        <v>0</v>
      </c>
      <c r="E219" s="110">
        <f>IF(E223&gt;G223,1,0)</f>
        <v>1</v>
      </c>
      <c r="F219" s="111"/>
      <c r="G219" s="112">
        <f>IF(G223&gt;E223,1,0)</f>
        <v>0</v>
      </c>
      <c r="H219" s="110">
        <f>IF(H223&gt;J223,1,0)</f>
        <v>1</v>
      </c>
      <c r="I219" s="111"/>
      <c r="J219" s="112">
        <f>IF(J223&gt;H223,1,0)</f>
        <v>0</v>
      </c>
      <c r="K219" s="113"/>
      <c r="L219" s="114"/>
      <c r="M219" s="114"/>
      <c r="N219" s="115"/>
      <c r="R219" s="102"/>
      <c r="S219" s="102"/>
      <c r="T219" s="499"/>
      <c r="U219" s="499"/>
      <c r="V219" s="500"/>
      <c r="W219" s="110">
        <f>IF(W223&gt;Y223,1,0)</f>
        <v>1</v>
      </c>
      <c r="X219" s="111"/>
      <c r="Y219" s="112">
        <f>IF(Y223&gt;W223,1,0)</f>
        <v>0</v>
      </c>
      <c r="Z219" s="110">
        <f>IF(Z223&gt;AB223,1,0)</f>
        <v>1</v>
      </c>
      <c r="AA219" s="111"/>
      <c r="AB219" s="112">
        <f>IF(AB223&gt;Z223,1,0)</f>
        <v>0</v>
      </c>
      <c r="AC219" s="110">
        <f>IF(AC223&gt;AE223,1,0)</f>
        <v>1</v>
      </c>
      <c r="AD219" s="111"/>
      <c r="AE219" s="112">
        <f>IF(AE223&gt;AC223,1,0)</f>
        <v>0</v>
      </c>
      <c r="AF219" s="116"/>
      <c r="AG219" s="117"/>
      <c r="AH219" s="102"/>
      <c r="AI219" s="102"/>
      <c r="AJ219" s="102"/>
      <c r="AW219" s="58"/>
      <c r="AX219" s="55"/>
      <c r="AY219" s="55"/>
      <c r="AZ219" s="55"/>
      <c r="BA219" s="55"/>
    </row>
    <row r="220" spans="1:53" ht="13.5" hidden="1" customHeight="1" x14ac:dyDescent="0.2">
      <c r="A220" s="7"/>
      <c r="B220" s="110">
        <f>IF(B224&gt;D224,1,0)</f>
        <v>0</v>
      </c>
      <c r="C220" s="111"/>
      <c r="D220" s="112">
        <f>IF(D224&gt;B224,1,0)</f>
        <v>0</v>
      </c>
      <c r="E220" s="110">
        <f>IF(E224&gt;G224,1,0)</f>
        <v>0</v>
      </c>
      <c r="F220" s="111"/>
      <c r="G220" s="112">
        <f>IF(G224&gt;E224,1,0)</f>
        <v>0</v>
      </c>
      <c r="H220" s="110">
        <f>IF(H224&gt;J224,1,0)</f>
        <v>1</v>
      </c>
      <c r="I220" s="111"/>
      <c r="J220" s="112">
        <f>IF(J224&gt;H224,1,0)</f>
        <v>0</v>
      </c>
      <c r="K220" s="113"/>
      <c r="L220" s="114"/>
      <c r="M220" s="114"/>
      <c r="N220" s="115"/>
      <c r="R220" s="102"/>
      <c r="S220" s="102"/>
      <c r="T220" s="499"/>
      <c r="U220" s="499"/>
      <c r="V220" s="500"/>
      <c r="W220" s="110">
        <f>IF(W224&gt;Y224,1,0)</f>
        <v>0</v>
      </c>
      <c r="X220" s="111"/>
      <c r="Y220" s="112">
        <f>IF(Y224&gt;W224,1,0)</f>
        <v>0</v>
      </c>
      <c r="Z220" s="110">
        <f>IF(Z224&gt;AB224,1,0)</f>
        <v>0</v>
      </c>
      <c r="AA220" s="111"/>
      <c r="AB220" s="112">
        <f>IF(AB224&gt;Z224,1,0)</f>
        <v>0</v>
      </c>
      <c r="AC220" s="110">
        <f>IF(AC224&gt;AE224,1,0)</f>
        <v>1</v>
      </c>
      <c r="AD220" s="111"/>
      <c r="AE220" s="112">
        <f>IF(AE224&gt;AC224,1,0)</f>
        <v>0</v>
      </c>
      <c r="AF220" s="116"/>
      <c r="AG220" s="117"/>
      <c r="AH220" s="102"/>
      <c r="AI220" s="102"/>
      <c r="AJ220" s="102"/>
      <c r="AW220" s="58"/>
      <c r="AX220" s="55"/>
      <c r="AY220" s="55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0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0</v>
      </c>
      <c r="K221" s="113"/>
      <c r="L221" s="114"/>
      <c r="M221" s="114"/>
      <c r="N221" s="115"/>
      <c r="R221" s="102"/>
      <c r="S221" s="102"/>
      <c r="T221" s="499"/>
      <c r="U221" s="499"/>
      <c r="V221" s="500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0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0</v>
      </c>
      <c r="AF221" s="116"/>
      <c r="AG221" s="117"/>
      <c r="AH221" s="102"/>
      <c r="AI221" s="102"/>
      <c r="AJ221" s="102"/>
      <c r="AW221" s="58"/>
      <c r="AX221" s="55"/>
      <c r="AY221" s="55"/>
      <c r="AZ221" s="55"/>
      <c r="BA221" s="55"/>
    </row>
    <row r="222" spans="1:53" ht="13.5" hidden="1" customHeight="1" x14ac:dyDescent="0.2">
      <c r="A222" s="7"/>
      <c r="B222" s="110">
        <f>SUM(B219:B221)</f>
        <v>1</v>
      </c>
      <c r="C222" s="111"/>
      <c r="D222" s="110">
        <f>SUM(D219:D221)</f>
        <v>0</v>
      </c>
      <c r="E222" s="110">
        <f>SUM(E219:E221)</f>
        <v>1</v>
      </c>
      <c r="F222" s="111"/>
      <c r="G222" s="110">
        <f>SUM(G219:G221)</f>
        <v>0</v>
      </c>
      <c r="H222" s="110">
        <f>SUM(H219:H221)</f>
        <v>2</v>
      </c>
      <c r="I222" s="111"/>
      <c r="J222" s="110">
        <f>SUM(J219:J221)</f>
        <v>0</v>
      </c>
      <c r="K222" s="113"/>
      <c r="L222" s="114"/>
      <c r="M222" s="114"/>
      <c r="N222" s="115"/>
      <c r="R222" s="102"/>
      <c r="S222" s="102"/>
      <c r="T222" s="499"/>
      <c r="U222" s="499"/>
      <c r="V222" s="500"/>
      <c r="W222" s="110">
        <f>SUM(W219:W221)</f>
        <v>1</v>
      </c>
      <c r="X222" s="111"/>
      <c r="Y222" s="110">
        <f>SUM(Y219:Y221)</f>
        <v>0</v>
      </c>
      <c r="Z222" s="110">
        <f>SUM(Z219:Z221)</f>
        <v>1</v>
      </c>
      <c r="AA222" s="111"/>
      <c r="AB222" s="110">
        <f>SUM(AB219:AB221)</f>
        <v>0</v>
      </c>
      <c r="AC222" s="110">
        <f>SUM(AC219:AC221)</f>
        <v>2</v>
      </c>
      <c r="AD222" s="111"/>
      <c r="AE222" s="110">
        <f>SUM(AE219:AE221)</f>
        <v>0</v>
      </c>
      <c r="AF222" s="116"/>
      <c r="AG222" s="117"/>
      <c r="AH222" s="102"/>
      <c r="AI222" s="102"/>
      <c r="AJ222" s="102"/>
      <c r="AW222" s="58"/>
      <c r="AX222" s="55"/>
      <c r="AY222" s="55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10</v>
      </c>
      <c r="E223" s="120">
        <v>25</v>
      </c>
      <c r="F223" s="50" t="s">
        <v>80</v>
      </c>
      <c r="G223" s="119">
        <v>11</v>
      </c>
      <c r="H223" s="120">
        <v>25</v>
      </c>
      <c r="I223" s="50" t="s">
        <v>80</v>
      </c>
      <c r="J223" s="121">
        <v>17</v>
      </c>
      <c r="K223" s="504">
        <f>IF(AND(OR(H222&gt;0,J222&gt;0),AND(1&lt;=H218,H218&lt;=4),AND(1&lt;=J218,J218&lt;=4)),IF(H222&gt;J222,H218,IF(J222&gt;H222,J218,"")),"")</f>
        <v>1</v>
      </c>
      <c r="L223" s="505"/>
      <c r="M223" s="505"/>
      <c r="N223" s="506"/>
      <c r="R223" s="102"/>
      <c r="S223" s="102"/>
      <c r="T223" s="122"/>
      <c r="U223" s="122"/>
      <c r="V223" s="5" t="s">
        <v>79</v>
      </c>
      <c r="W223" s="118">
        <v>25</v>
      </c>
      <c r="X223" s="50" t="s">
        <v>80</v>
      </c>
      <c r="Y223" s="119">
        <v>20</v>
      </c>
      <c r="Z223" s="120">
        <v>25</v>
      </c>
      <c r="AA223" s="50" t="s">
        <v>80</v>
      </c>
      <c r="AB223" s="119">
        <v>19</v>
      </c>
      <c r="AC223" s="120">
        <v>25</v>
      </c>
      <c r="AD223" s="50" t="s">
        <v>80</v>
      </c>
      <c r="AE223" s="121">
        <v>22</v>
      </c>
      <c r="AF223" s="504">
        <f>IF(AND(OR(AC222&gt;0,AE222&gt;0),AND(1&lt;=AC218,AC218&lt;=4),AND(1&lt;=AE218,AE218&lt;=4)),IF(AC222&gt;AE222,AC218,IF(AE222&gt;AC222,AE218,"")),"")</f>
        <v>1</v>
      </c>
      <c r="AG223" s="506"/>
      <c r="AH223" s="102"/>
      <c r="AI223" s="102"/>
      <c r="AJ223" s="102"/>
      <c r="AW223" s="58"/>
      <c r="AX223" s="55"/>
      <c r="AY223" s="55"/>
      <c r="AZ223" s="55"/>
      <c r="BA223" s="55"/>
    </row>
    <row r="224" spans="1:53" ht="12.75" customHeight="1" x14ac:dyDescent="0.2">
      <c r="A224" s="5" t="s">
        <v>164</v>
      </c>
      <c r="B224" s="118"/>
      <c r="C224" s="50" t="s">
        <v>80</v>
      </c>
      <c r="D224" s="119"/>
      <c r="E224" s="120"/>
      <c r="F224" s="50" t="s">
        <v>80</v>
      </c>
      <c r="G224" s="119"/>
      <c r="H224" s="120">
        <v>25</v>
      </c>
      <c r="I224" s="50" t="s">
        <v>80</v>
      </c>
      <c r="J224" s="121">
        <v>15</v>
      </c>
      <c r="K224" s="507"/>
      <c r="L224" s="508"/>
      <c r="M224" s="508"/>
      <c r="N224" s="509"/>
      <c r="R224" s="102"/>
      <c r="S224" s="102"/>
      <c r="T224" s="122"/>
      <c r="U224" s="122"/>
      <c r="V224" s="5" t="s">
        <v>164</v>
      </c>
      <c r="W224" s="118"/>
      <c r="X224" s="50" t="s">
        <v>80</v>
      </c>
      <c r="Y224" s="119"/>
      <c r="Z224" s="120"/>
      <c r="AA224" s="50" t="s">
        <v>80</v>
      </c>
      <c r="AB224" s="119"/>
      <c r="AC224" s="120">
        <v>25</v>
      </c>
      <c r="AD224" s="50" t="s">
        <v>80</v>
      </c>
      <c r="AE224" s="121">
        <v>19</v>
      </c>
      <c r="AF224" s="507"/>
      <c r="AG224" s="509"/>
      <c r="AH224" s="102"/>
      <c r="AI224" s="102"/>
      <c r="AJ224" s="102"/>
      <c r="AW224" s="58"/>
      <c r="AX224" s="55"/>
      <c r="AY224" s="55"/>
      <c r="AZ224" s="55"/>
      <c r="BA224" s="55"/>
    </row>
    <row r="225" spans="1:77" ht="13.5" customHeight="1" thickBot="1" x14ac:dyDescent="0.25">
      <c r="A225" s="5" t="s">
        <v>165</v>
      </c>
      <c r="B225" s="123"/>
      <c r="C225" s="124" t="s">
        <v>80</v>
      </c>
      <c r="D225" s="125"/>
      <c r="E225" s="126"/>
      <c r="F225" s="124" t="s">
        <v>80</v>
      </c>
      <c r="G225" s="125"/>
      <c r="H225" s="126"/>
      <c r="I225" s="124" t="s">
        <v>80</v>
      </c>
      <c r="J225" s="127"/>
      <c r="K225" s="510"/>
      <c r="L225" s="511"/>
      <c r="M225" s="511"/>
      <c r="N225" s="512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/>
      <c r="AA225" s="124" t="s">
        <v>80</v>
      </c>
      <c r="AB225" s="125"/>
      <c r="AC225" s="126"/>
      <c r="AD225" s="124" t="s">
        <v>80</v>
      </c>
      <c r="AE225" s="127"/>
      <c r="AF225" s="510"/>
      <c r="AG225" s="512"/>
      <c r="AH225" s="102"/>
      <c r="AI225" s="102"/>
      <c r="AJ225" s="102"/>
      <c r="AW225" s="58"/>
      <c r="AX225" s="55"/>
      <c r="AY225" s="55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TEV 14 LeAnn</v>
      </c>
      <c r="AU226" s="4">
        <f>J227</f>
        <v>1890.7449469245469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TEV 14 LeAnn</v>
      </c>
      <c r="C227" s="4">
        <f>VLOOKUP(B227,AU$2:AY$22,4,FALSE)</f>
        <v>1868.380243376394</v>
      </c>
      <c r="D227" s="4">
        <f>IF(A227=B218,B233,IF(A227=D218,D233,C227))</f>
        <v>1873.6056211346645</v>
      </c>
      <c r="G227" s="4">
        <f>IF(A227=E218,E233,IF(A227=G218,G233,D227))</f>
        <v>1873.6056211346645</v>
      </c>
      <c r="J227" s="4">
        <f>IF(A227=H218,H233,IF(A227=J218,J233,G227))</f>
        <v>1890.7449469245469</v>
      </c>
      <c r="U227" s="129"/>
      <c r="V227" s="129">
        <v>1</v>
      </c>
      <c r="W227" s="4" t="str">
        <f>X210</f>
        <v>Emerald City 14-1</v>
      </c>
      <c r="X227" s="4">
        <f>VLOOKUP(W227,AU$2:AY$22,4,FALSE)</f>
        <v>1770.0273105855756</v>
      </c>
      <c r="Y227" s="4">
        <f>IF(V227=W218,W233,IF(V227=Y218,Y233,X227))</f>
        <v>1776.5080685875726</v>
      </c>
      <c r="AB227" s="4">
        <f>IF(V227=Z218,Z233,IF(V227=AB218,AB233,Y227))</f>
        <v>1776.5080685875726</v>
      </c>
      <c r="AE227" s="4">
        <f>IF(V227=AC218,AC233,IF(V227=AE218,AE233,AB227))</f>
        <v>1791.8211586686618</v>
      </c>
      <c r="AT227" s="4" t="str">
        <f>B228</f>
        <v>TEV 14 Whitney</v>
      </c>
      <c r="AU227" s="4">
        <f>J228</f>
        <v>1881.2483836659826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TEV 14 Whitney</v>
      </c>
      <c r="C228" s="4">
        <f>VLOOKUP(B228,AU$2:AY$22,4,FALSE)</f>
        <v>1891.3497881492999</v>
      </c>
      <c r="D228" s="4">
        <f>IF(A228=B218,B233,IF(A228=D218,D233,C228))</f>
        <v>1891.3497881492999</v>
      </c>
      <c r="G228" s="4">
        <f>IF(A228=E218,E233,IF(A228=G218,G233,D228))</f>
        <v>1898.387709455865</v>
      </c>
      <c r="J228" s="4">
        <f>IF(A228=H218,H233,IF(A228=J218,J233,G228))</f>
        <v>1881.2483836659826</v>
      </c>
      <c r="U228" s="129"/>
      <c r="V228" s="129">
        <v>2</v>
      </c>
      <c r="W228" s="4" t="str">
        <f>X211</f>
        <v>Intense 14 Region</v>
      </c>
      <c r="X228" s="4">
        <f>VLOOKUP(W228,AU$2:AY$22,4,FALSE)</f>
        <v>1755.0175598013802</v>
      </c>
      <c r="Y228" s="4">
        <f>IF(V228=W218,W233,IF(V228=Y218,Y233,X228))</f>
        <v>1755.0175598013802</v>
      </c>
      <c r="AB228" s="4">
        <f>IF(V228=Z218,Z233,IF(V228=AB218,AB233,Y228))</f>
        <v>1761.5828349166318</v>
      </c>
      <c r="AE228" s="4">
        <f>IF(V228=AC218,AC233,IF(V228=AE218,AE233,AB228))</f>
        <v>1746.2697448355425</v>
      </c>
      <c r="AT228" s="4" t="str">
        <f>B229</f>
        <v>SCWE14TALONS</v>
      </c>
      <c r="AU228" s="4">
        <f>J229</f>
        <v>1842.3261282509975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SCWE14TALONS</v>
      </c>
      <c r="C229" s="4">
        <f>VLOOKUP(B229,AU$2:AY$22,4,FALSE)</f>
        <v>1849.3640495575626</v>
      </c>
      <c r="D229" s="4">
        <f>IF(A229=B218,B233,IF(A229=D218,D233,C229))</f>
        <v>1849.3640495575626</v>
      </c>
      <c r="G229" s="4">
        <f>IF(A229=E218,E233,IF(A229=G218,G233,D229))</f>
        <v>1842.3261282509975</v>
      </c>
      <c r="J229" s="4">
        <f>IF(A229=H218,H233,IF(A229=J218,J233,G229))</f>
        <v>1842.3261282509975</v>
      </c>
      <c r="U229" s="129"/>
      <c r="V229" s="129">
        <v>3</v>
      </c>
      <c r="W229" s="4" t="str">
        <f>X212</f>
        <v>CSRA Heat 14 White</v>
      </c>
      <c r="X229" s="4">
        <f>VLOOKUP(W229,AU$2:AY$22,4,FALSE)</f>
        <v>1692.0270354115453</v>
      </c>
      <c r="Y229" s="4">
        <f>IF(V229=W218,W233,IF(V229=Y218,Y233,X229))</f>
        <v>1692.0270354115453</v>
      </c>
      <c r="AB229" s="4">
        <f>IF(V229=Z218,Z233,IF(V229=AB218,AB233,Y229))</f>
        <v>1685.4617602962937</v>
      </c>
      <c r="AE229" s="4">
        <f>IF(V229=AC218,AC233,IF(V229=AE218,AE233,AB229))</f>
        <v>1685.4617602962937</v>
      </c>
      <c r="AT229" s="4" t="str">
        <f>B230</f>
        <v>SC Midlands 14 Garnet</v>
      </c>
      <c r="AU229" s="4">
        <f>J230</f>
        <v>1737.4411214731022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SC Midlands 14 Garnet</v>
      </c>
      <c r="C230" s="4">
        <f>VLOOKUP(B230,AU$2:AY$22,4,FALSE)</f>
        <v>1742.6664992313727</v>
      </c>
      <c r="D230" s="4">
        <f>IF(A230=B218,B233,IF(A230=D218,D233,C230))</f>
        <v>1737.4411214731022</v>
      </c>
      <c r="G230" s="4">
        <f>IF(A230=E218,E233,IF(A230=G218,G233,D230))</f>
        <v>1737.4411214731022</v>
      </c>
      <c r="J230" s="4">
        <f>IF(A230=H218,H233,IF(A230=J218,J233,G230))</f>
        <v>1737.4411214731022</v>
      </c>
      <c r="U230" s="129"/>
      <c r="V230" s="129">
        <v>4</v>
      </c>
      <c r="W230" s="4" t="str">
        <f>X213</f>
        <v>Emerald City 14-2</v>
      </c>
      <c r="X230" s="4">
        <f>VLOOKUP(W230,AU$2:AY$22,4,FALSE)</f>
        <v>1703.2366854565064</v>
      </c>
      <c r="Y230" s="4">
        <f>IF(V230=W218,W233,IF(V230=Y218,Y233,X230))</f>
        <v>1696.7559274545094</v>
      </c>
      <c r="AB230" s="4">
        <f>IF(V230=Z218,Z233,IF(V230=AB218,AB233,Y230))</f>
        <v>1696.7559274545094</v>
      </c>
      <c r="AE230" s="4">
        <f>IF(V230=AC218,AC233,IF(V230=AE218,AE233,AB230))</f>
        <v>1696.7559274545094</v>
      </c>
      <c r="AT230" s="4" t="str">
        <f>W227</f>
        <v>Emerald City 14-1</v>
      </c>
      <c r="AU230" s="4">
        <f>AE227</f>
        <v>1791.8211586686618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1868.380243376394</v>
      </c>
      <c r="D231" s="4">
        <f>VLOOKUP(D218,$A227:$J230,3,FALSE)</f>
        <v>1742.6664992313727</v>
      </c>
      <c r="E231" s="4">
        <f>VLOOKUP(E218,$A227:$J230,4,FALSE)</f>
        <v>1891.3497881492999</v>
      </c>
      <c r="G231" s="4">
        <f>VLOOKUP(G218,$A227:$J230,4,FALSE)</f>
        <v>1849.3640495575626</v>
      </c>
      <c r="H231" s="4">
        <f>VLOOKUP(H218,$A227:$J230,7,FALSE)</f>
        <v>1873.6056211346645</v>
      </c>
      <c r="J231" s="4">
        <f>VLOOKUP(J218,$A227:$J230,7,FALSE)</f>
        <v>1898.387709455865</v>
      </c>
      <c r="T231" s="513" t="s">
        <v>116</v>
      </c>
      <c r="U231" s="513"/>
      <c r="V231" s="513"/>
      <c r="W231" s="4">
        <f>VLOOKUP(W218,$V227:$AE230,3,FALSE)</f>
        <v>1770.0273105855756</v>
      </c>
      <c r="Y231" s="4">
        <f>VLOOKUP(Y218,$V227:$AE230,3,FALSE)</f>
        <v>1703.2366854565064</v>
      </c>
      <c r="Z231" s="4">
        <f>VLOOKUP(Z218,$V227:$AE230,4,FALSE)</f>
        <v>1755.0175598013802</v>
      </c>
      <c r="AB231" s="4">
        <f>VLOOKUP(AB218,$V227:$AE230,4,FALSE)</f>
        <v>1692.0270354115453</v>
      </c>
      <c r="AC231" s="4">
        <f>VLOOKUP(AC218,$V227:$AE230,7,FALSE)</f>
        <v>1776.5080685875726</v>
      </c>
      <c r="AE231" s="4">
        <f>VLOOKUP(AE218,$V227:$AE230,7,FALSE)</f>
        <v>1761.5828349166318</v>
      </c>
      <c r="AT231" s="4" t="str">
        <f>W228</f>
        <v>Intense 14 Region</v>
      </c>
      <c r="AU231" s="4">
        <f>AE228</f>
        <v>1746.2697448355425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1/(1+(10^-((B231-D231)/400)))*(B222+D222)</f>
        <v>0.67341389010809849</v>
      </c>
      <c r="C232" s="69"/>
      <c r="D232" s="69">
        <f>1/(1+(10^-((D231-B231)/400)))*(B222+D222)</f>
        <v>0.32658610989190145</v>
      </c>
      <c r="E232" s="69">
        <f>1/(1+(10^-((E231-G231)/400)))*(E222+G222)</f>
        <v>0.56012991833968961</v>
      </c>
      <c r="G232" s="69">
        <f>1/(1+(10^-((G231-E231)/400)))*(E222+G222)</f>
        <v>0.43987008166031027</v>
      </c>
      <c r="H232" s="69">
        <f>1/(1+(10^-((H231-J231)/400)))*(H222+J222)</f>
        <v>0.92879213813235362</v>
      </c>
      <c r="J232" s="69">
        <f>1/(1+(10^-((J231-H231)/400)))*(H222+J222)</f>
        <v>1.0712078618676464</v>
      </c>
      <c r="T232" s="514" t="s">
        <v>117</v>
      </c>
      <c r="U232" s="514"/>
      <c r="V232" s="514"/>
      <c r="W232" s="69">
        <f>1/(1+(10^-((W231-Y231)/400)))*(W222+Y222)</f>
        <v>0.59495262487518752</v>
      </c>
      <c r="X232" s="69"/>
      <c r="Y232" s="69">
        <f>1/(1+(10^-((Y231-W231)/400)))*(W222+Y222)</f>
        <v>0.40504737512481254</v>
      </c>
      <c r="Z232" s="69">
        <f>1/(1+(10^-((Z231-AB231)/400)))*(Z222+AB222)</f>
        <v>0.58967030529677866</v>
      </c>
      <c r="AB232" s="69">
        <f>1/(1+(10^-((AB231-Z231)/400)))*(Z222+AB222)</f>
        <v>0.41032969470322134</v>
      </c>
      <c r="AC232" s="69">
        <f>1/(1+(10^-((AC231-AE231)/400)))*(AC222+AE222)</f>
        <v>1.0429318699319159</v>
      </c>
      <c r="AE232" s="69">
        <f>1/(1+(10^-((AE231-AC231)/400)))*(AC222+AE222)</f>
        <v>0.95706813006808411</v>
      </c>
      <c r="AT232" s="4" t="str">
        <f>W229</f>
        <v>CSRA Heat 14 White</v>
      </c>
      <c r="AU232" s="4">
        <f>AE229</f>
        <v>1685.4617602962937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1873.6056211346645</v>
      </c>
      <c r="C233" s="75"/>
      <c r="D233" s="75">
        <f>D231+(D222-D232)*$BA$2</f>
        <v>1737.4411214731022</v>
      </c>
      <c r="E233" s="75">
        <f>E231+(E222-E232)*$BA$2</f>
        <v>1898.387709455865</v>
      </c>
      <c r="G233" s="75">
        <f>G231+(G222-G232)*$BA$2</f>
        <v>1842.3261282509975</v>
      </c>
      <c r="H233" s="75">
        <f>H231+(H222-H232)*$BA$2</f>
        <v>1890.7449469245469</v>
      </c>
      <c r="J233" s="75">
        <f>J231+(J222-J232)*$BA$2</f>
        <v>1881.2483836659826</v>
      </c>
      <c r="T233" s="502" t="s">
        <v>118</v>
      </c>
      <c r="U233" s="502"/>
      <c r="V233" s="502"/>
      <c r="W233" s="75">
        <f>W231+(W222-W232)*$BA$2</f>
        <v>1776.5080685875726</v>
      </c>
      <c r="X233" s="75"/>
      <c r="Y233" s="75">
        <f>Y231+(Y222-Y232)*$BA$2</f>
        <v>1696.7559274545094</v>
      </c>
      <c r="Z233" s="75">
        <f>Z231+(Z222-Z232)*$BA$2</f>
        <v>1761.5828349166318</v>
      </c>
      <c r="AB233" s="75">
        <f>AB231+(AB222-AB232)*$BA$2</f>
        <v>1685.4617602962937</v>
      </c>
      <c r="AC233" s="75">
        <f>AC231+(AC222-AC232)*$BA$2</f>
        <v>1791.8211586686618</v>
      </c>
      <c r="AE233" s="75">
        <f>AE231+(AE222-AE232)*$BA$2</f>
        <v>1746.2697448355425</v>
      </c>
      <c r="AT233" s="4" t="str">
        <f>W230</f>
        <v>Emerald City 14-2</v>
      </c>
      <c r="AU233" s="4">
        <f>AE230</f>
        <v>1696.7559274545094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503" t="s">
        <v>169</v>
      </c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R234" s="102"/>
      <c r="S234" s="102"/>
      <c r="T234" s="122"/>
      <c r="U234" s="122"/>
      <c r="V234" s="503" t="s">
        <v>169</v>
      </c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02"/>
      <c r="AI234" s="102"/>
      <c r="AJ234" s="102"/>
      <c r="AW234" s="58"/>
      <c r="AX234" s="55"/>
      <c r="AY234" s="55"/>
      <c r="AZ234" s="55"/>
      <c r="BA234" s="55"/>
    </row>
    <row r="235" spans="1:77" x14ac:dyDescent="0.2">
      <c r="AT235" s="55"/>
      <c r="AU235" s="55"/>
      <c r="AV235" s="55"/>
      <c r="AW235" s="58"/>
      <c r="AX235" s="55"/>
      <c r="AY235" s="55"/>
      <c r="AZ235" s="55"/>
      <c r="BA235" s="55"/>
    </row>
    <row r="236" spans="1:77" x14ac:dyDescent="0.2">
      <c r="AT236" s="55"/>
      <c r="AU236" s="55"/>
      <c r="AV236" s="55"/>
      <c r="AW236" s="58"/>
      <c r="AX236" s="55"/>
      <c r="AY236" s="55"/>
      <c r="AZ236" s="55"/>
      <c r="BA236" s="55"/>
    </row>
    <row r="237" spans="1:77" x14ac:dyDescent="0.2">
      <c r="AT237" s="55"/>
      <c r="AU237" s="55"/>
      <c r="AV237" s="55"/>
      <c r="AW237" s="58"/>
      <c r="AX237" s="55"/>
      <c r="AY237" s="55"/>
      <c r="AZ237" s="55"/>
      <c r="BA237" s="55"/>
    </row>
    <row r="238" spans="1:77" x14ac:dyDescent="0.2">
      <c r="AT238" s="55"/>
      <c r="AU238" s="55"/>
      <c r="AV238" s="55"/>
      <c r="AW238" s="58"/>
      <c r="AX238" s="55"/>
      <c r="AY238" s="55"/>
      <c r="AZ238" s="55"/>
      <c r="BA238" s="55"/>
    </row>
    <row r="239" spans="1:77" x14ac:dyDescent="0.2">
      <c r="AT239" s="55"/>
      <c r="AU239" s="55"/>
      <c r="AV239" s="55"/>
      <c r="AW239" s="58"/>
      <c r="AX239" s="55"/>
      <c r="AY239" s="55"/>
      <c r="AZ239" s="55"/>
      <c r="BA239" s="55"/>
    </row>
    <row r="240" spans="1:77" x14ac:dyDescent="0.2">
      <c r="AT240" s="55"/>
      <c r="AU240" s="55"/>
      <c r="AV240" s="55"/>
      <c r="AW240" s="58"/>
      <c r="AX240" s="55"/>
      <c r="AY240" s="55"/>
      <c r="AZ240" s="55"/>
      <c r="BA240" s="55"/>
    </row>
    <row r="241" spans="46:53" x14ac:dyDescent="0.2">
      <c r="AT241" s="55"/>
      <c r="AU241" s="55"/>
      <c r="AV241" s="55"/>
      <c r="AW241" s="58"/>
      <c r="AX241" s="55"/>
      <c r="AY241" s="55"/>
      <c r="AZ241" s="55"/>
      <c r="BA241" s="55"/>
    </row>
    <row r="242" spans="46:53" x14ac:dyDescent="0.2">
      <c r="AT242" s="55"/>
      <c r="AU242" s="55"/>
      <c r="AV242" s="55"/>
      <c r="AW242" s="58"/>
      <c r="AX242" s="55"/>
      <c r="AY242" s="55"/>
      <c r="AZ242" s="55"/>
      <c r="BA242" s="55"/>
    </row>
    <row r="243" spans="46:53" x14ac:dyDescent="0.2">
      <c r="AT243" s="55"/>
      <c r="AU243" s="55"/>
      <c r="AV243" s="55"/>
      <c r="AW243" s="58"/>
      <c r="AX243" s="55"/>
      <c r="AY243" s="55"/>
      <c r="AZ243" s="55"/>
      <c r="BA243" s="55"/>
    </row>
    <row r="244" spans="46:53" x14ac:dyDescent="0.2">
      <c r="AT244" s="55"/>
      <c r="AU244" s="55"/>
      <c r="AV244" s="55"/>
      <c r="AW244" s="58"/>
      <c r="AX244" s="55"/>
      <c r="AY244" s="55"/>
      <c r="AZ244" s="55"/>
      <c r="BA244" s="55"/>
    </row>
    <row r="245" spans="46:53" x14ac:dyDescent="0.2">
      <c r="AT245" s="55"/>
      <c r="AU245" s="55"/>
      <c r="AV245" s="55"/>
      <c r="AW245" s="58"/>
      <c r="AX245" s="55"/>
      <c r="AY245" s="55"/>
      <c r="AZ245" s="55"/>
      <c r="BA245" s="55"/>
    </row>
    <row r="246" spans="46:53" x14ac:dyDescent="0.2">
      <c r="AT246" s="55"/>
      <c r="AU246" s="55"/>
      <c r="AV246" s="55"/>
      <c r="AW246" s="58"/>
      <c r="AX246" s="55"/>
      <c r="AY246" s="55"/>
      <c r="AZ246" s="55"/>
      <c r="BA246" s="55"/>
    </row>
    <row r="247" spans="46:53" x14ac:dyDescent="0.2">
      <c r="AT247" s="55"/>
      <c r="AU247" s="55"/>
      <c r="AV247" s="55"/>
    </row>
    <row r="248" spans="46:53" x14ac:dyDescent="0.2">
      <c r="AT248" s="55"/>
      <c r="AU248" s="55"/>
      <c r="AV248" s="55"/>
      <c r="AW248" s="66"/>
      <c r="AX248" s="63"/>
      <c r="AY248" s="63"/>
      <c r="AZ248" s="63"/>
      <c r="BA248" s="63"/>
    </row>
    <row r="249" spans="46:53" x14ac:dyDescent="0.2">
      <c r="AT249" s="55"/>
      <c r="AU249" s="55"/>
      <c r="AV249" s="55"/>
      <c r="AW249" s="66"/>
      <c r="AX249" s="63"/>
      <c r="AY249" s="63"/>
      <c r="AZ249" s="63"/>
      <c r="BA249" s="63"/>
    </row>
    <row r="250" spans="46:53" x14ac:dyDescent="0.2">
      <c r="AT250" s="55"/>
      <c r="AU250" s="55"/>
      <c r="AV250" s="55"/>
      <c r="AW250" s="66"/>
      <c r="AX250" s="63"/>
      <c r="AY250" s="63"/>
      <c r="AZ250" s="63"/>
      <c r="BA250" s="63"/>
    </row>
    <row r="251" spans="46:53" x14ac:dyDescent="0.2">
      <c r="AT251" s="55"/>
      <c r="AU251" s="55"/>
      <c r="AV251" s="55"/>
      <c r="AW251" s="66"/>
      <c r="AX251" s="63"/>
      <c r="AY251" s="63"/>
      <c r="AZ251" s="63"/>
      <c r="BA251" s="63"/>
    </row>
    <row r="252" spans="46:53" x14ac:dyDescent="0.2">
      <c r="AT252" s="55"/>
      <c r="AU252" s="55"/>
      <c r="AV252" s="55"/>
      <c r="AW252" s="66"/>
      <c r="AX252" s="63"/>
      <c r="AY252" s="63"/>
      <c r="AZ252" s="63"/>
      <c r="BA252" s="63"/>
    </row>
    <row r="253" spans="46:53" x14ac:dyDescent="0.2">
      <c r="AT253" s="55"/>
      <c r="AU253" s="55"/>
      <c r="AV253" s="55"/>
      <c r="AW253" s="66"/>
      <c r="AX253" s="63"/>
      <c r="AY253" s="63"/>
      <c r="AZ253" s="63"/>
      <c r="BA253" s="63"/>
    </row>
    <row r="254" spans="46:53" x14ac:dyDescent="0.2">
      <c r="AT254" s="55"/>
      <c r="AU254" s="55"/>
      <c r="AV254" s="55"/>
      <c r="AW254" s="66"/>
      <c r="AX254" s="63"/>
      <c r="AY254" s="63"/>
      <c r="AZ254" s="63"/>
      <c r="BA254" s="63"/>
    </row>
    <row r="255" spans="46:53" x14ac:dyDescent="0.2">
      <c r="AT255" s="55"/>
      <c r="AU255" s="55"/>
      <c r="AV255" s="55"/>
      <c r="AW255" s="66"/>
      <c r="AX255" s="63"/>
      <c r="AY255" s="63"/>
      <c r="AZ255" s="63"/>
      <c r="BA255" s="63"/>
    </row>
    <row r="256" spans="46:53" x14ac:dyDescent="0.2">
      <c r="AT256" s="55"/>
      <c r="AU256" s="55"/>
      <c r="AV256" s="55"/>
      <c r="AW256" s="73"/>
      <c r="AX256" s="72"/>
      <c r="AY256" s="72"/>
      <c r="AZ256" s="72"/>
      <c r="BA256" s="72"/>
    </row>
    <row r="257" spans="46:53" x14ac:dyDescent="0.2">
      <c r="AT257" s="55"/>
      <c r="AU257" s="55"/>
      <c r="AV257" s="55"/>
      <c r="AW257" s="79"/>
      <c r="AX257" s="78"/>
      <c r="AY257" s="78"/>
      <c r="AZ257" s="78"/>
      <c r="BA257" s="78"/>
    </row>
    <row r="258" spans="46:53" x14ac:dyDescent="0.2">
      <c r="AT258" s="55"/>
      <c r="AU258" s="55"/>
      <c r="AV258" s="55"/>
      <c r="AW258" s="79"/>
      <c r="AX258" s="78"/>
      <c r="AY258" s="78"/>
      <c r="AZ258" s="78"/>
      <c r="BA258" s="78"/>
    </row>
    <row r="259" spans="46:53" x14ac:dyDescent="0.2">
      <c r="AT259" s="55"/>
      <c r="AU259" s="55"/>
      <c r="AV259" s="55"/>
      <c r="AW259" s="66"/>
      <c r="AX259" s="63"/>
      <c r="AY259" s="63"/>
      <c r="AZ259" s="63"/>
      <c r="BA259" s="63"/>
    </row>
    <row r="260" spans="46:53" x14ac:dyDescent="0.2">
      <c r="AT260" s="63"/>
      <c r="AU260" s="63"/>
      <c r="AV260" s="63"/>
      <c r="AW260" s="66"/>
      <c r="AX260" s="63"/>
      <c r="AY260" s="63"/>
      <c r="AZ260" s="63"/>
      <c r="BA260" s="63"/>
    </row>
    <row r="261" spans="46:53" x14ac:dyDescent="0.2">
      <c r="AT261" s="63"/>
      <c r="AU261" s="63"/>
      <c r="AV261" s="63"/>
    </row>
    <row r="286" spans="46:53" x14ac:dyDescent="0.2">
      <c r="AT286" s="55"/>
      <c r="AU286" s="55"/>
      <c r="AV286" s="55"/>
      <c r="AW286" s="58"/>
      <c r="AX286" s="55"/>
      <c r="AY286" s="55"/>
      <c r="AZ286" s="55"/>
      <c r="BA286" s="55"/>
    </row>
    <row r="287" spans="46:53" x14ac:dyDescent="0.2">
      <c r="AT287" s="55"/>
      <c r="AU287" s="55"/>
      <c r="AV287" s="55"/>
      <c r="AW287" s="58"/>
      <c r="AX287" s="55"/>
      <c r="AY287" s="55"/>
      <c r="AZ287" s="55"/>
      <c r="BA287" s="55"/>
    </row>
    <row r="288" spans="46:53" x14ac:dyDescent="0.2">
      <c r="AT288" s="55"/>
      <c r="AU288" s="55"/>
      <c r="AV288" s="55"/>
      <c r="AW288" s="58"/>
      <c r="AX288" s="55"/>
      <c r="AY288" s="55"/>
      <c r="AZ288" s="55"/>
      <c r="BA288" s="55"/>
    </row>
    <row r="289" spans="46:53" x14ac:dyDescent="0.2">
      <c r="AT289" s="55"/>
      <c r="AU289" s="55"/>
      <c r="AV289" s="55"/>
      <c r="AW289" s="58"/>
      <c r="AX289" s="55"/>
      <c r="AY289" s="55"/>
      <c r="AZ289" s="55"/>
      <c r="BA289" s="55"/>
    </row>
    <row r="290" spans="46:53" x14ac:dyDescent="0.2">
      <c r="AT290" s="55"/>
      <c r="AU290" s="55"/>
      <c r="AV290" s="55"/>
      <c r="AW290" s="58"/>
      <c r="AX290" s="55"/>
      <c r="AY290" s="55"/>
      <c r="AZ290" s="55"/>
      <c r="BA290" s="55"/>
    </row>
    <row r="291" spans="46:53" x14ac:dyDescent="0.2">
      <c r="AT291" s="55"/>
      <c r="AU291" s="55"/>
      <c r="AV291" s="55"/>
      <c r="AW291" s="58"/>
      <c r="AX291" s="55"/>
      <c r="AY291" s="55"/>
      <c r="AZ291" s="55"/>
      <c r="BA291" s="55"/>
    </row>
    <row r="292" spans="46:53" x14ac:dyDescent="0.2">
      <c r="AT292" s="55"/>
      <c r="AU292" s="55"/>
      <c r="AV292" s="55"/>
      <c r="AW292" s="58"/>
      <c r="AX292" s="55"/>
      <c r="AY292" s="55"/>
      <c r="AZ292" s="55"/>
      <c r="BA292" s="55"/>
    </row>
    <row r="293" spans="46:53" x14ac:dyDescent="0.2">
      <c r="AT293" s="55"/>
      <c r="AU293" s="55"/>
      <c r="AV293" s="55"/>
      <c r="AW293" s="58"/>
      <c r="AX293" s="55"/>
      <c r="AY293" s="55"/>
      <c r="AZ293" s="55"/>
      <c r="BA293" s="55"/>
    </row>
    <row r="294" spans="46:53" x14ac:dyDescent="0.2">
      <c r="AT294" s="55"/>
      <c r="AU294" s="55"/>
      <c r="AV294" s="55"/>
      <c r="AW294" s="58"/>
      <c r="AX294" s="55"/>
      <c r="AY294" s="55"/>
      <c r="AZ294" s="55"/>
      <c r="BA294" s="55"/>
    </row>
    <row r="295" spans="46:53" x14ac:dyDescent="0.2">
      <c r="AT295" s="55"/>
      <c r="AU295" s="55"/>
      <c r="AV295" s="55"/>
      <c r="AW295" s="58"/>
      <c r="AX295" s="55"/>
      <c r="AY295" s="55"/>
      <c r="AZ295" s="55"/>
      <c r="BA295" s="55"/>
    </row>
    <row r="296" spans="46:53" x14ac:dyDescent="0.2">
      <c r="AT296" s="55"/>
      <c r="AU296" s="55"/>
      <c r="AV296" s="55"/>
      <c r="AW296" s="58"/>
      <c r="AX296" s="55"/>
      <c r="AY296" s="55"/>
      <c r="AZ296" s="55"/>
      <c r="BA296" s="55"/>
    </row>
    <row r="297" spans="46:53" x14ac:dyDescent="0.2">
      <c r="AT297" s="55"/>
      <c r="AU297" s="55"/>
      <c r="AV297" s="55"/>
      <c r="AW297" s="58"/>
      <c r="AX297" s="55"/>
      <c r="AY297" s="55"/>
      <c r="AZ297" s="55"/>
      <c r="BA297" s="55"/>
    </row>
    <row r="298" spans="46:53" x14ac:dyDescent="0.2">
      <c r="AT298" s="55"/>
      <c r="AU298" s="55"/>
      <c r="AV298" s="55"/>
      <c r="AW298" s="58"/>
      <c r="AX298" s="55"/>
      <c r="AY298" s="55"/>
      <c r="AZ298" s="55"/>
      <c r="BA298" s="55"/>
    </row>
    <row r="299" spans="46:53" x14ac:dyDescent="0.2">
      <c r="AT299" s="55"/>
      <c r="AU299" s="55"/>
      <c r="AV299" s="55"/>
      <c r="AW299" s="58"/>
      <c r="AX299" s="55"/>
      <c r="AY299" s="55"/>
      <c r="AZ299" s="55"/>
      <c r="BA299" s="55"/>
    </row>
    <row r="300" spans="46:53" x14ac:dyDescent="0.2">
      <c r="AT300" s="55"/>
      <c r="AU300" s="55"/>
      <c r="AV300" s="55"/>
      <c r="AW300" s="58"/>
      <c r="AX300" s="55"/>
      <c r="AY300" s="55"/>
      <c r="AZ300" s="55"/>
      <c r="BA300" s="55"/>
    </row>
    <row r="301" spans="46:53" x14ac:dyDescent="0.2">
      <c r="AT301" s="55"/>
      <c r="AU301" s="55"/>
      <c r="AV301" s="55"/>
      <c r="AW301" s="58"/>
      <c r="AX301" s="55"/>
      <c r="AY301" s="55"/>
      <c r="AZ301" s="55"/>
      <c r="BA301" s="55"/>
    </row>
    <row r="302" spans="46:53" x14ac:dyDescent="0.2">
      <c r="AT302" s="55"/>
      <c r="AU302" s="55"/>
      <c r="AV302" s="55"/>
      <c r="AW302" s="58"/>
      <c r="AX302" s="55"/>
      <c r="AY302" s="55"/>
      <c r="AZ302" s="55"/>
      <c r="BA302" s="55"/>
    </row>
    <row r="303" spans="46:53" x14ac:dyDescent="0.2">
      <c r="AT303" s="55"/>
      <c r="AU303" s="55"/>
      <c r="AV303" s="55"/>
      <c r="AW303" s="58"/>
      <c r="AX303" s="55"/>
      <c r="AY303" s="55"/>
      <c r="AZ303" s="55"/>
      <c r="BA303" s="55"/>
    </row>
    <row r="304" spans="46:53" x14ac:dyDescent="0.2">
      <c r="AT304" s="55"/>
      <c r="AU304" s="55"/>
      <c r="AV304" s="55"/>
      <c r="AW304" s="58"/>
      <c r="AX304" s="55"/>
      <c r="AY304" s="55"/>
      <c r="AZ304" s="55"/>
      <c r="BA304" s="55"/>
    </row>
    <row r="305" spans="46:53" x14ac:dyDescent="0.2">
      <c r="AT305" s="55"/>
      <c r="AU305" s="55"/>
      <c r="AV305" s="55"/>
      <c r="AW305" s="58"/>
      <c r="AX305" s="55"/>
      <c r="AY305" s="55"/>
      <c r="AZ305" s="55"/>
      <c r="BA305" s="55"/>
    </row>
    <row r="306" spans="46:53" x14ac:dyDescent="0.2">
      <c r="AT306" s="55"/>
      <c r="AU306" s="55"/>
      <c r="AV306" s="55"/>
      <c r="AW306" s="58"/>
      <c r="AX306" s="55"/>
      <c r="AY306" s="55"/>
      <c r="AZ306" s="55"/>
      <c r="BA306" s="55"/>
    </row>
    <row r="307" spans="46:53" x14ac:dyDescent="0.2">
      <c r="AT307" s="55"/>
      <c r="AU307" s="55"/>
      <c r="AV307" s="55"/>
      <c r="AW307" s="58"/>
      <c r="AX307" s="55"/>
      <c r="AY307" s="55"/>
      <c r="AZ307" s="55"/>
      <c r="BA307" s="55"/>
    </row>
    <row r="308" spans="46:53" x14ac:dyDescent="0.2">
      <c r="AT308" s="55"/>
      <c r="AU308" s="55"/>
      <c r="AV308" s="55"/>
      <c r="AW308" s="58"/>
      <c r="AX308" s="55"/>
      <c r="AY308" s="55"/>
      <c r="AZ308" s="55"/>
      <c r="BA308" s="55"/>
    </row>
    <row r="309" spans="46:53" x14ac:dyDescent="0.2">
      <c r="AT309" s="55"/>
      <c r="AU309" s="55"/>
      <c r="AV309" s="55"/>
      <c r="AW309" s="58"/>
      <c r="AX309" s="55"/>
      <c r="AY309" s="55"/>
      <c r="AZ309" s="55"/>
      <c r="BA309" s="55"/>
    </row>
    <row r="310" spans="46:53" x14ac:dyDescent="0.2">
      <c r="AT310" s="55"/>
      <c r="AU310" s="55"/>
      <c r="AV310" s="55"/>
      <c r="AW310" s="58"/>
      <c r="AX310" s="55"/>
      <c r="AY310" s="55"/>
      <c r="AZ310" s="55"/>
      <c r="BA310" s="55"/>
    </row>
    <row r="311" spans="46:53" x14ac:dyDescent="0.2">
      <c r="AT311" s="55"/>
      <c r="AU311" s="55"/>
      <c r="AV311" s="55"/>
      <c r="AW311" s="58"/>
      <c r="AX311" s="55"/>
      <c r="AY311" s="55"/>
      <c r="AZ311" s="55"/>
      <c r="BA311" s="55"/>
    </row>
    <row r="312" spans="46:53" x14ac:dyDescent="0.2">
      <c r="AT312" s="55"/>
      <c r="AU312" s="55"/>
      <c r="AV312" s="55"/>
      <c r="AW312" s="58"/>
      <c r="AX312" s="55"/>
      <c r="AY312" s="55"/>
      <c r="AZ312" s="55"/>
      <c r="BA312" s="55"/>
    </row>
    <row r="313" spans="46:53" x14ac:dyDescent="0.2">
      <c r="AT313" s="55"/>
      <c r="AU313" s="55"/>
      <c r="AV313" s="55"/>
      <c r="AW313" s="58"/>
      <c r="AX313" s="55"/>
      <c r="AY313" s="55"/>
      <c r="AZ313" s="55"/>
      <c r="BA313" s="55"/>
    </row>
    <row r="314" spans="46:53" x14ac:dyDescent="0.2">
      <c r="AT314" s="55"/>
      <c r="AU314" s="55"/>
      <c r="AV314" s="55"/>
      <c r="AW314" s="58"/>
      <c r="AX314" s="55"/>
      <c r="AY314" s="55"/>
      <c r="AZ314" s="55"/>
      <c r="BA314" s="55"/>
    </row>
    <row r="315" spans="46:53" x14ac:dyDescent="0.2">
      <c r="AT315" s="55"/>
      <c r="AU315" s="55"/>
      <c r="AV315" s="55"/>
      <c r="AW315" s="58"/>
      <c r="AX315" s="55"/>
      <c r="AY315" s="55"/>
      <c r="AZ315" s="55"/>
      <c r="BA315" s="55"/>
    </row>
    <row r="316" spans="46:53" x14ac:dyDescent="0.2">
      <c r="AT316" s="55"/>
      <c r="AU316" s="55"/>
      <c r="AV316" s="55"/>
      <c r="AW316" s="58"/>
      <c r="AX316" s="55"/>
      <c r="AY316" s="55"/>
      <c r="AZ316" s="55"/>
      <c r="BA316" s="55"/>
    </row>
    <row r="317" spans="46:53" x14ac:dyDescent="0.2">
      <c r="AT317" s="55"/>
      <c r="AU317" s="55"/>
      <c r="AV317" s="55"/>
      <c r="AW317" s="58"/>
      <c r="AX317" s="55"/>
      <c r="AY317" s="55"/>
      <c r="AZ317" s="55"/>
      <c r="BA317" s="55"/>
    </row>
    <row r="318" spans="46:53" x14ac:dyDescent="0.2">
      <c r="AT318" s="55"/>
      <c r="AU318" s="55"/>
      <c r="AV318" s="55"/>
      <c r="AW318" s="58"/>
      <c r="AX318" s="55"/>
      <c r="AY318" s="55"/>
      <c r="AZ318" s="55"/>
      <c r="BA318" s="55"/>
    </row>
    <row r="319" spans="46:53" x14ac:dyDescent="0.2">
      <c r="AT319" s="55"/>
      <c r="AU319" s="55"/>
      <c r="AV319" s="55"/>
      <c r="AW319" s="58"/>
      <c r="AX319" s="55"/>
      <c r="AY319" s="55"/>
      <c r="AZ319" s="55"/>
      <c r="BA319" s="55"/>
    </row>
    <row r="320" spans="46:53" x14ac:dyDescent="0.2">
      <c r="AT320" s="55"/>
      <c r="AU320" s="55"/>
      <c r="AV320" s="55"/>
      <c r="AW320" s="58"/>
      <c r="AX320" s="55"/>
      <c r="AY320" s="55"/>
      <c r="AZ320" s="55"/>
      <c r="BA320" s="55"/>
    </row>
    <row r="321" spans="46:53" x14ac:dyDescent="0.2">
      <c r="AT321" s="55"/>
      <c r="AU321" s="55"/>
      <c r="AV321" s="55"/>
      <c r="AW321" s="58"/>
      <c r="AX321" s="55"/>
      <c r="AY321" s="55"/>
      <c r="AZ321" s="55"/>
      <c r="BA321" s="55"/>
    </row>
    <row r="322" spans="46:53" x14ac:dyDescent="0.2">
      <c r="AT322" s="55"/>
      <c r="AU322" s="55"/>
      <c r="AV322" s="55"/>
      <c r="AW322" s="58"/>
      <c r="AX322" s="55"/>
      <c r="AY322" s="55"/>
      <c r="AZ322" s="55"/>
      <c r="BA322" s="55"/>
    </row>
    <row r="323" spans="46:53" x14ac:dyDescent="0.2">
      <c r="AT323" s="55"/>
      <c r="AU323" s="55"/>
      <c r="AV323" s="55"/>
      <c r="AW323" s="58"/>
      <c r="AX323" s="55"/>
      <c r="AY323" s="55"/>
      <c r="AZ323" s="55"/>
      <c r="BA323" s="55"/>
    </row>
    <row r="324" spans="46:53" x14ac:dyDescent="0.2">
      <c r="AT324" s="55"/>
      <c r="AU324" s="55"/>
      <c r="AV324" s="55"/>
      <c r="AW324" s="58"/>
      <c r="AX324" s="55"/>
      <c r="AY324" s="55"/>
      <c r="AZ324" s="55"/>
      <c r="BA324" s="55"/>
    </row>
    <row r="325" spans="46:53" x14ac:dyDescent="0.2">
      <c r="AT325" s="55"/>
      <c r="AU325" s="55"/>
      <c r="AV325" s="55"/>
      <c r="AW325" s="58"/>
      <c r="AX325" s="55"/>
      <c r="AY325" s="55"/>
      <c r="AZ325" s="55"/>
      <c r="BA325" s="55"/>
    </row>
    <row r="326" spans="46:53" x14ac:dyDescent="0.2">
      <c r="AT326" s="55"/>
      <c r="AU326" s="55"/>
      <c r="AV326" s="55"/>
      <c r="AW326" s="58"/>
      <c r="AX326" s="55"/>
      <c r="AY326" s="55"/>
      <c r="AZ326" s="55"/>
      <c r="BA326" s="55"/>
    </row>
    <row r="327" spans="46:53" x14ac:dyDescent="0.2">
      <c r="AT327" s="55"/>
      <c r="AU327" s="55"/>
      <c r="AV327" s="55"/>
      <c r="AW327" s="58"/>
      <c r="AX327" s="55"/>
      <c r="AY327" s="55"/>
      <c r="AZ327" s="55"/>
      <c r="BA327" s="55"/>
    </row>
    <row r="328" spans="46:53" x14ac:dyDescent="0.2">
      <c r="AT328" s="55"/>
      <c r="AU328" s="55"/>
      <c r="AV328" s="55"/>
      <c r="AW328" s="58"/>
      <c r="AX328" s="55"/>
      <c r="AY328" s="55"/>
      <c r="AZ328" s="55"/>
      <c r="BA328" s="55"/>
    </row>
    <row r="329" spans="46:53" x14ac:dyDescent="0.2">
      <c r="AT329" s="55"/>
      <c r="AU329" s="55"/>
      <c r="AV329" s="55"/>
      <c r="AW329" s="58"/>
      <c r="AX329" s="55"/>
      <c r="AY329" s="55"/>
      <c r="AZ329" s="55"/>
      <c r="BA329" s="55"/>
    </row>
    <row r="330" spans="46:53" x14ac:dyDescent="0.2">
      <c r="AT330" s="55"/>
      <c r="AU330" s="55"/>
      <c r="AV330" s="55"/>
      <c r="AW330" s="58"/>
      <c r="AX330" s="55"/>
      <c r="AY330" s="55"/>
      <c r="AZ330" s="55"/>
      <c r="BA330" s="55"/>
    </row>
    <row r="331" spans="46:53" x14ac:dyDescent="0.2">
      <c r="AT331" s="55"/>
      <c r="AU331" s="55"/>
      <c r="AV331" s="55"/>
      <c r="AW331" s="58"/>
      <c r="AX331" s="55"/>
      <c r="AY331" s="55"/>
      <c r="AZ331" s="55"/>
      <c r="BA331" s="55"/>
    </row>
    <row r="332" spans="46:53" x14ac:dyDescent="0.2">
      <c r="AT332" s="63"/>
      <c r="AU332" s="63"/>
      <c r="AV332" s="63"/>
    </row>
    <row r="333" spans="46:53" x14ac:dyDescent="0.2">
      <c r="AT333" s="63"/>
      <c r="AU333" s="63"/>
      <c r="AV333" s="63"/>
      <c r="AW333" s="66"/>
      <c r="AX333" s="63"/>
      <c r="AY333" s="63"/>
      <c r="AZ333" s="63"/>
      <c r="BA333" s="63"/>
    </row>
    <row r="334" spans="46:53" x14ac:dyDescent="0.2">
      <c r="AW334" s="66"/>
      <c r="AX334" s="63"/>
      <c r="AY334" s="63"/>
      <c r="AZ334" s="63"/>
      <c r="BA334" s="63"/>
    </row>
    <row r="335" spans="46:53" x14ac:dyDescent="0.2">
      <c r="AW335" s="66"/>
      <c r="AX335" s="63"/>
      <c r="AY335" s="63"/>
      <c r="AZ335" s="63"/>
      <c r="BA335" s="63"/>
    </row>
    <row r="336" spans="46:53" x14ac:dyDescent="0.2">
      <c r="AW336" s="66"/>
      <c r="AX336" s="63"/>
      <c r="AY336" s="63"/>
      <c r="AZ336" s="63"/>
      <c r="BA336" s="63"/>
    </row>
    <row r="337" spans="46:53" x14ac:dyDescent="0.2">
      <c r="AW337" s="66"/>
      <c r="AX337" s="63"/>
      <c r="AY337" s="63"/>
      <c r="AZ337" s="63"/>
      <c r="BA337" s="63"/>
    </row>
    <row r="338" spans="46:53" x14ac:dyDescent="0.2">
      <c r="AW338" s="66"/>
      <c r="AX338" s="63"/>
      <c r="AY338" s="63"/>
      <c r="AZ338" s="63"/>
      <c r="BA338" s="63"/>
    </row>
    <row r="339" spans="46:53" x14ac:dyDescent="0.2">
      <c r="AW339" s="66"/>
      <c r="AX339" s="63"/>
      <c r="AY339" s="63"/>
      <c r="AZ339" s="63"/>
      <c r="BA339" s="63"/>
    </row>
    <row r="340" spans="46:53" x14ac:dyDescent="0.2">
      <c r="AW340" s="66"/>
      <c r="AX340" s="63"/>
      <c r="AY340" s="63"/>
      <c r="AZ340" s="63"/>
      <c r="BA340" s="63"/>
    </row>
    <row r="341" spans="46:53" x14ac:dyDescent="0.2">
      <c r="AW341" s="73"/>
      <c r="AX341" s="72"/>
      <c r="AY341" s="72"/>
      <c r="AZ341" s="72"/>
      <c r="BA341" s="72"/>
    </row>
    <row r="342" spans="46:53" x14ac:dyDescent="0.2">
      <c r="AW342" s="79"/>
      <c r="AX342" s="78"/>
      <c r="AY342" s="78"/>
      <c r="AZ342" s="78"/>
      <c r="BA342" s="78"/>
    </row>
    <row r="343" spans="46:53" x14ac:dyDescent="0.2">
      <c r="AW343" s="79"/>
      <c r="AX343" s="78"/>
      <c r="AY343" s="78"/>
      <c r="AZ343" s="78"/>
      <c r="BA343" s="78"/>
    </row>
    <row r="344" spans="46:53" x14ac:dyDescent="0.2">
      <c r="AW344" s="66"/>
      <c r="AX344" s="63"/>
      <c r="AY344" s="63"/>
      <c r="AZ344" s="63"/>
      <c r="BA344" s="63"/>
    </row>
    <row r="345" spans="46:53" x14ac:dyDescent="0.2">
      <c r="AW345" s="66"/>
      <c r="AX345" s="63"/>
      <c r="AY345" s="63"/>
      <c r="AZ345" s="63"/>
      <c r="BA345" s="63"/>
    </row>
    <row r="348" spans="46:53" x14ac:dyDescent="0.2">
      <c r="AT348" s="96"/>
      <c r="AU348" s="96"/>
    </row>
    <row r="371" spans="46:53" x14ac:dyDescent="0.2">
      <c r="AW371" s="58"/>
      <c r="AX371" s="55"/>
      <c r="AY371" s="55"/>
      <c r="AZ371" s="55"/>
      <c r="BA371" s="55"/>
    </row>
    <row r="372" spans="46:53" x14ac:dyDescent="0.2">
      <c r="AW372" s="58"/>
      <c r="AX372" s="55"/>
      <c r="AY372" s="55"/>
      <c r="AZ372" s="55"/>
      <c r="BA372" s="55"/>
    </row>
    <row r="373" spans="46:53" x14ac:dyDescent="0.2">
      <c r="AW373" s="58"/>
      <c r="AX373" s="55"/>
      <c r="AY373" s="55"/>
      <c r="AZ373" s="55"/>
      <c r="BA373" s="55"/>
    </row>
    <row r="374" spans="46:53" x14ac:dyDescent="0.2">
      <c r="AW374" s="58"/>
      <c r="AX374" s="55"/>
      <c r="AY374" s="55"/>
      <c r="AZ374" s="55"/>
      <c r="BA374" s="55"/>
    </row>
    <row r="375" spans="46:53" x14ac:dyDescent="0.2">
      <c r="AW375" s="58"/>
      <c r="AX375" s="55"/>
      <c r="AY375" s="55"/>
      <c r="AZ375" s="55"/>
      <c r="BA375" s="55"/>
    </row>
    <row r="376" spans="46:53" x14ac:dyDescent="0.2">
      <c r="AW376" s="58"/>
      <c r="AX376" s="55"/>
      <c r="AY376" s="55"/>
      <c r="AZ376" s="55"/>
      <c r="BA376" s="55"/>
    </row>
    <row r="377" spans="46:53" x14ac:dyDescent="0.2">
      <c r="AW377" s="58"/>
      <c r="AX377" s="55"/>
      <c r="AY377" s="55"/>
      <c r="AZ377" s="55"/>
      <c r="BA377" s="55"/>
    </row>
    <row r="378" spans="46:53" x14ac:dyDescent="0.2">
      <c r="AW378" s="58"/>
      <c r="AX378" s="55"/>
      <c r="AY378" s="55"/>
      <c r="AZ378" s="55"/>
      <c r="BA378" s="55"/>
    </row>
    <row r="379" spans="46:53" x14ac:dyDescent="0.2">
      <c r="AW379" s="58"/>
      <c r="AX379" s="55"/>
      <c r="AY379" s="55"/>
      <c r="AZ379" s="55"/>
      <c r="BA379" s="55"/>
    </row>
    <row r="380" spans="46:53" x14ac:dyDescent="0.2">
      <c r="AW380" s="58"/>
      <c r="AX380" s="55"/>
      <c r="AY380" s="55"/>
      <c r="AZ380" s="55"/>
      <c r="BA380" s="55"/>
    </row>
    <row r="381" spans="46:53" x14ac:dyDescent="0.2">
      <c r="AW381" s="58"/>
      <c r="AX381" s="55"/>
      <c r="AY381" s="55"/>
      <c r="AZ381" s="55"/>
      <c r="BA381" s="55"/>
    </row>
    <row r="382" spans="46:53" x14ac:dyDescent="0.2">
      <c r="AW382" s="58"/>
      <c r="AX382" s="55"/>
      <c r="AY382" s="55"/>
      <c r="AZ382" s="55"/>
      <c r="BA382" s="55"/>
    </row>
    <row r="383" spans="46:53" x14ac:dyDescent="0.2">
      <c r="AW383" s="58"/>
      <c r="AX383" s="55"/>
      <c r="AY383" s="55"/>
      <c r="AZ383" s="55"/>
      <c r="BA383" s="55"/>
    </row>
    <row r="384" spans="46:53" x14ac:dyDescent="0.2">
      <c r="AT384" s="96"/>
      <c r="AU384" s="96"/>
      <c r="AW384" s="58"/>
      <c r="AX384" s="55"/>
      <c r="AY384" s="55"/>
      <c r="AZ384" s="55"/>
      <c r="BA384" s="55"/>
    </row>
    <row r="385" spans="49:53" x14ac:dyDescent="0.2">
      <c r="AW385" s="58"/>
      <c r="AX385" s="55"/>
      <c r="AY385" s="55"/>
      <c r="AZ385" s="55"/>
      <c r="BA385" s="55"/>
    </row>
    <row r="386" spans="49:53" x14ac:dyDescent="0.2">
      <c r="AW386" s="58"/>
      <c r="AX386" s="55"/>
      <c r="AY386" s="55"/>
      <c r="AZ386" s="55"/>
      <c r="BA386" s="55"/>
    </row>
    <row r="387" spans="49:53" x14ac:dyDescent="0.2">
      <c r="AW387" s="58"/>
      <c r="AX387" s="55"/>
      <c r="AY387" s="55"/>
      <c r="AZ387" s="55"/>
      <c r="BA387" s="55"/>
    </row>
    <row r="388" spans="49:53" x14ac:dyDescent="0.2">
      <c r="AW388" s="58"/>
      <c r="AX388" s="55"/>
      <c r="AY388" s="55"/>
      <c r="AZ388" s="55"/>
      <c r="BA388" s="55"/>
    </row>
    <row r="389" spans="49:53" x14ac:dyDescent="0.2">
      <c r="AW389" s="58"/>
      <c r="AX389" s="55"/>
      <c r="AY389" s="55"/>
      <c r="AZ389" s="55"/>
      <c r="BA389" s="55"/>
    </row>
    <row r="390" spans="49:53" x14ac:dyDescent="0.2">
      <c r="AW390" s="58"/>
      <c r="AX390" s="55"/>
      <c r="AY390" s="55"/>
      <c r="AZ390" s="55"/>
      <c r="BA390" s="55"/>
    </row>
    <row r="391" spans="49:53" x14ac:dyDescent="0.2">
      <c r="AW391" s="58"/>
      <c r="AX391" s="55"/>
      <c r="AY391" s="55"/>
      <c r="AZ391" s="55"/>
      <c r="BA391" s="55"/>
    </row>
    <row r="392" spans="49:53" x14ac:dyDescent="0.2">
      <c r="AW392" s="58"/>
      <c r="AX392" s="55"/>
      <c r="AY392" s="55"/>
      <c r="AZ392" s="55"/>
      <c r="BA392" s="55"/>
    </row>
    <row r="393" spans="49:53" x14ac:dyDescent="0.2">
      <c r="AW393" s="58"/>
      <c r="AX393" s="55"/>
      <c r="AY393" s="55"/>
      <c r="AZ393" s="55"/>
      <c r="BA393" s="55"/>
    </row>
    <row r="394" spans="49:53" x14ac:dyDescent="0.2">
      <c r="AW394" s="58"/>
      <c r="AX394" s="55"/>
      <c r="AY394" s="55"/>
      <c r="AZ394" s="55"/>
      <c r="BA394" s="55"/>
    </row>
    <row r="395" spans="49:53" x14ac:dyDescent="0.2">
      <c r="AW395" s="58"/>
      <c r="AX395" s="55"/>
      <c r="AY395" s="55"/>
      <c r="AZ395" s="55"/>
      <c r="BA395" s="55"/>
    </row>
    <row r="396" spans="49:53" x14ac:dyDescent="0.2">
      <c r="AW396" s="58"/>
      <c r="AX396" s="55"/>
      <c r="AY396" s="55"/>
      <c r="AZ396" s="55"/>
      <c r="BA396" s="55"/>
    </row>
    <row r="397" spans="49:53" x14ac:dyDescent="0.2">
      <c r="AW397" s="58"/>
      <c r="AX397" s="55"/>
      <c r="AY397" s="55"/>
      <c r="AZ397" s="55"/>
      <c r="BA397" s="55"/>
    </row>
    <row r="398" spans="49:53" x14ac:dyDescent="0.2">
      <c r="AW398" s="58"/>
      <c r="AX398" s="55"/>
      <c r="AY398" s="55"/>
      <c r="AZ398" s="55"/>
      <c r="BA398" s="55"/>
    </row>
    <row r="399" spans="49:53" x14ac:dyDescent="0.2">
      <c r="AW399" s="58"/>
      <c r="AX399" s="55"/>
      <c r="AY399" s="55"/>
      <c r="AZ399" s="55"/>
      <c r="BA399" s="55"/>
    </row>
    <row r="400" spans="49:53" x14ac:dyDescent="0.2">
      <c r="AW400" s="58"/>
      <c r="AX400" s="55"/>
      <c r="AY400" s="55"/>
      <c r="AZ400" s="55"/>
      <c r="BA400" s="55"/>
    </row>
    <row r="401" spans="49:53" x14ac:dyDescent="0.2">
      <c r="AW401" s="58"/>
      <c r="AX401" s="55"/>
      <c r="AY401" s="55"/>
      <c r="AZ401" s="55"/>
      <c r="BA401" s="55"/>
    </row>
    <row r="402" spans="49:53" x14ac:dyDescent="0.2">
      <c r="AW402" s="58"/>
      <c r="AX402" s="55"/>
      <c r="AY402" s="55"/>
      <c r="AZ402" s="55"/>
      <c r="BA402" s="55"/>
    </row>
    <row r="403" spans="49:53" x14ac:dyDescent="0.2">
      <c r="AW403" s="58"/>
      <c r="AX403" s="55"/>
      <c r="AY403" s="55"/>
      <c r="AZ403" s="55"/>
      <c r="BA403" s="55"/>
    </row>
    <row r="404" spans="49:53" x14ac:dyDescent="0.2">
      <c r="AW404" s="58"/>
      <c r="AX404" s="55"/>
      <c r="AY404" s="55"/>
      <c r="AZ404" s="55"/>
      <c r="BA404" s="55"/>
    </row>
    <row r="405" spans="49:53" x14ac:dyDescent="0.2">
      <c r="AW405" s="58"/>
      <c r="AX405" s="55"/>
      <c r="AY405" s="55"/>
      <c r="AZ405" s="55"/>
      <c r="BA405" s="55"/>
    </row>
    <row r="406" spans="49:53" x14ac:dyDescent="0.2">
      <c r="AW406" s="58"/>
      <c r="AX406" s="55"/>
      <c r="AY406" s="55"/>
      <c r="AZ406" s="55"/>
      <c r="BA406" s="55"/>
    </row>
    <row r="407" spans="49:53" x14ac:dyDescent="0.2">
      <c r="AW407" s="58"/>
      <c r="AX407" s="55"/>
      <c r="AY407" s="55"/>
      <c r="AZ407" s="55"/>
      <c r="BA407" s="55"/>
    </row>
    <row r="408" spans="49:53" x14ac:dyDescent="0.2">
      <c r="AW408" s="58"/>
      <c r="AX408" s="55"/>
      <c r="AY408" s="55"/>
      <c r="AZ408" s="55"/>
      <c r="BA408" s="55"/>
    </row>
    <row r="409" spans="49:53" x14ac:dyDescent="0.2">
      <c r="AW409" s="58"/>
      <c r="AX409" s="55"/>
      <c r="AY409" s="55"/>
      <c r="AZ409" s="55"/>
      <c r="BA409" s="55"/>
    </row>
    <row r="410" spans="49:53" x14ac:dyDescent="0.2">
      <c r="AW410" s="58"/>
      <c r="AX410" s="55"/>
      <c r="AY410" s="55"/>
      <c r="AZ410" s="55"/>
      <c r="BA410" s="55"/>
    </row>
    <row r="411" spans="49:53" x14ac:dyDescent="0.2">
      <c r="AW411" s="58"/>
      <c r="AX411" s="55"/>
      <c r="AY411" s="55"/>
      <c r="AZ411" s="55"/>
      <c r="BA411" s="55"/>
    </row>
    <row r="412" spans="49:53" x14ac:dyDescent="0.2">
      <c r="AW412" s="58"/>
      <c r="AX412" s="55"/>
      <c r="AY412" s="55"/>
      <c r="AZ412" s="55"/>
      <c r="BA412" s="55"/>
    </row>
    <row r="413" spans="49:53" x14ac:dyDescent="0.2">
      <c r="AW413" s="58"/>
      <c r="AX413" s="55"/>
      <c r="AY413" s="55"/>
      <c r="AZ413" s="55"/>
      <c r="BA413" s="55"/>
    </row>
    <row r="414" spans="49:53" x14ac:dyDescent="0.2">
      <c r="AW414" s="58"/>
      <c r="AX414" s="55"/>
      <c r="AY414" s="55"/>
      <c r="AZ414" s="55"/>
      <c r="BA414" s="55"/>
    </row>
    <row r="415" spans="49:53" x14ac:dyDescent="0.2">
      <c r="AW415" s="58"/>
      <c r="AX415" s="55"/>
      <c r="AY415" s="55"/>
      <c r="AZ415" s="55"/>
      <c r="BA415" s="55"/>
    </row>
    <row r="416" spans="49:53" x14ac:dyDescent="0.2">
      <c r="AW416" s="58"/>
      <c r="AX416" s="55"/>
      <c r="AY416" s="55"/>
      <c r="AZ416" s="55"/>
      <c r="BA416" s="55"/>
    </row>
    <row r="418" spans="49:53" x14ac:dyDescent="0.2">
      <c r="AW418" s="66"/>
      <c r="AX418" s="63"/>
      <c r="AY418" s="63"/>
      <c r="AZ418" s="63"/>
      <c r="BA418" s="63"/>
    </row>
    <row r="419" spans="49:53" x14ac:dyDescent="0.2">
      <c r="AW419" s="66"/>
      <c r="AX419" s="63"/>
      <c r="AY419" s="63"/>
      <c r="AZ419" s="63"/>
      <c r="BA419" s="63"/>
    </row>
    <row r="420" spans="49:53" x14ac:dyDescent="0.2">
      <c r="AW420" s="66"/>
      <c r="AX420" s="63"/>
      <c r="AY420" s="63"/>
      <c r="AZ420" s="63"/>
      <c r="BA420" s="63"/>
    </row>
    <row r="421" spans="49:53" x14ac:dyDescent="0.2">
      <c r="AW421" s="66"/>
      <c r="AX421" s="63"/>
      <c r="AY421" s="63"/>
      <c r="AZ421" s="63"/>
      <c r="BA421" s="63"/>
    </row>
    <row r="422" spans="49:53" x14ac:dyDescent="0.2">
      <c r="AW422" s="66"/>
      <c r="AX422" s="63"/>
      <c r="AY422" s="63"/>
      <c r="AZ422" s="63"/>
      <c r="BA422" s="63"/>
    </row>
    <row r="423" spans="49:53" x14ac:dyDescent="0.2">
      <c r="AW423" s="66"/>
      <c r="AX423" s="63"/>
      <c r="AY423" s="63"/>
      <c r="AZ423" s="63"/>
      <c r="BA423" s="63"/>
    </row>
    <row r="424" spans="49:53" x14ac:dyDescent="0.2">
      <c r="AW424" s="66"/>
      <c r="AX424" s="63"/>
      <c r="AY424" s="63"/>
      <c r="AZ424" s="63"/>
      <c r="BA424" s="63"/>
    </row>
    <row r="425" spans="49:53" x14ac:dyDescent="0.2">
      <c r="AW425" s="66"/>
      <c r="AX425" s="63"/>
      <c r="AY425" s="63"/>
      <c r="AZ425" s="63"/>
      <c r="BA425" s="63"/>
    </row>
    <row r="426" spans="49:53" x14ac:dyDescent="0.2">
      <c r="AW426" s="73"/>
      <c r="AX426" s="72"/>
      <c r="AY426" s="72"/>
      <c r="AZ426" s="72"/>
      <c r="BA426" s="72"/>
    </row>
    <row r="427" spans="49:53" x14ac:dyDescent="0.2">
      <c r="AW427" s="79"/>
      <c r="AX427" s="78"/>
      <c r="AY427" s="78"/>
      <c r="AZ427" s="78"/>
      <c r="BA427" s="78"/>
    </row>
    <row r="428" spans="49:53" x14ac:dyDescent="0.2">
      <c r="AW428" s="79"/>
      <c r="AX428" s="78"/>
      <c r="AY428" s="78"/>
      <c r="AZ428" s="78"/>
      <c r="BA428" s="78"/>
    </row>
    <row r="429" spans="49:53" x14ac:dyDescent="0.2">
      <c r="AW429" s="66"/>
      <c r="AX429" s="63"/>
      <c r="AY429" s="63"/>
      <c r="AZ429" s="63"/>
      <c r="BA429" s="63"/>
    </row>
    <row r="430" spans="49:53" x14ac:dyDescent="0.2">
      <c r="AW430" s="66"/>
      <c r="AX430" s="63"/>
      <c r="AY430" s="63"/>
      <c r="AZ430" s="63"/>
      <c r="BA430" s="6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3977" priority="5" stopIfTrue="1">
      <formula>IF(AK9&gt;0,0,1)</formula>
    </cfRule>
  </conditionalFormatting>
  <conditionalFormatting sqref="A10:A11 A95:A96">
    <cfRule type="expression" dxfId="3976" priority="6" stopIfTrue="1">
      <formula>IF(AK9&gt;1,0,1)</formula>
    </cfRule>
  </conditionalFormatting>
  <conditionalFormatting sqref="A12:A13 A97:A98">
    <cfRule type="expression" dxfId="3975" priority="7" stopIfTrue="1">
      <formula>IF(AK9&gt;2,0,1)</formula>
    </cfRule>
  </conditionalFormatting>
  <conditionalFormatting sqref="A14:A15 A99:A100">
    <cfRule type="expression" dxfId="3974" priority="8" stopIfTrue="1">
      <formula>IF(AK9&gt;3,0,1)</formula>
    </cfRule>
  </conditionalFormatting>
  <conditionalFormatting sqref="A16:A17 A101:A102">
    <cfRule type="expression" dxfId="3973" priority="9" stopIfTrue="1">
      <formula>IF(AK9&gt;4,0,1)</formula>
    </cfRule>
  </conditionalFormatting>
  <conditionalFormatting sqref="B8 B93">
    <cfRule type="expression" dxfId="3972" priority="10" stopIfTrue="1">
      <formula>IF(AK9&gt;0,0,1)</formula>
    </cfRule>
  </conditionalFormatting>
  <conditionalFormatting sqref="B9 B94">
    <cfRule type="expression" dxfId="3971" priority="11" stopIfTrue="1">
      <formula>IF(AK9&gt;0,0,1)</formula>
    </cfRule>
  </conditionalFormatting>
  <conditionalFormatting sqref="B10 B95">
    <cfRule type="expression" dxfId="3970" priority="12" stopIfTrue="1">
      <formula>IF(AK9&gt;1,0,1)</formula>
    </cfRule>
  </conditionalFormatting>
  <conditionalFormatting sqref="B11:D11 B96:D96">
    <cfRule type="expression" dxfId="3969" priority="13" stopIfTrue="1">
      <formula>IF(AK9&gt;1,0,1)</formula>
    </cfRule>
  </conditionalFormatting>
  <conditionalFormatting sqref="B12:D12 B97:D97">
    <cfRule type="expression" dxfId="3968" priority="14" stopIfTrue="1">
      <formula>IF(AK9&gt;2,0,1)</formula>
    </cfRule>
  </conditionalFormatting>
  <conditionalFormatting sqref="B13:D13 B98:D98">
    <cfRule type="expression" dxfId="3967" priority="15" stopIfTrue="1">
      <formula>IF(AK9&gt;2,0,1)</formula>
    </cfRule>
  </conditionalFormatting>
  <conditionalFormatting sqref="B14:D14 B99:D99">
    <cfRule type="expression" dxfId="3966" priority="16" stopIfTrue="1">
      <formula>IF(AK9&gt;3,0,1)</formula>
    </cfRule>
  </conditionalFormatting>
  <conditionalFormatting sqref="B15:D15 B100:D100">
    <cfRule type="expression" dxfId="3965" priority="17" stopIfTrue="1">
      <formula>IF(AK9&gt;3,0,1)</formula>
    </cfRule>
  </conditionalFormatting>
  <conditionalFormatting sqref="B16:D16 B101:D101">
    <cfRule type="expression" dxfId="3964" priority="18" stopIfTrue="1">
      <formula>IF(AK9&gt;4,0,1)</formula>
    </cfRule>
  </conditionalFormatting>
  <conditionalFormatting sqref="B17:D17 B102:D102">
    <cfRule type="expression" dxfId="3963" priority="19" stopIfTrue="1">
      <formula>IF(AK9&gt;4,0,1)</formula>
    </cfRule>
  </conditionalFormatting>
  <conditionalFormatting sqref="E8 E93">
    <cfRule type="expression" dxfId="3962" priority="20" stopIfTrue="1">
      <formula>IF(AK9&gt;0,0,1)</formula>
    </cfRule>
  </conditionalFormatting>
  <conditionalFormatting sqref="E9 E94">
    <cfRule type="expression" dxfId="3961" priority="21" stopIfTrue="1">
      <formula>IF(AK9&gt;0,0,1)</formula>
    </cfRule>
  </conditionalFormatting>
  <conditionalFormatting sqref="E10 E95">
    <cfRule type="expression" dxfId="3960" priority="22" stopIfTrue="1">
      <formula>IF(AK9&gt;1,0,1)</formula>
    </cfRule>
  </conditionalFormatting>
  <conditionalFormatting sqref="E11 E96">
    <cfRule type="expression" dxfId="3959" priority="23" stopIfTrue="1">
      <formula>IF(AK9&gt;1,0,1)</formula>
    </cfRule>
  </conditionalFormatting>
  <conditionalFormatting sqref="E12 E97">
    <cfRule type="expression" dxfId="3958" priority="24" stopIfTrue="1">
      <formula>IF(AK9&gt;2,0,1)</formula>
    </cfRule>
  </conditionalFormatting>
  <conditionalFormatting sqref="E13 E98">
    <cfRule type="expression" dxfId="3957" priority="25" stopIfTrue="1">
      <formula>IF(AK9&gt;2,0,1)</formula>
    </cfRule>
  </conditionalFormatting>
  <conditionalFormatting sqref="E14 E99">
    <cfRule type="expression" dxfId="3956" priority="26" stopIfTrue="1">
      <formula>IF(AK9&gt;3,0,1)</formula>
    </cfRule>
  </conditionalFormatting>
  <conditionalFormatting sqref="E15 E100">
    <cfRule type="expression" dxfId="3955" priority="27" stopIfTrue="1">
      <formula>IF(AK9&gt;3,0,1)</formula>
    </cfRule>
  </conditionalFormatting>
  <conditionalFormatting sqref="E16 E101">
    <cfRule type="expression" dxfId="3954" priority="28" stopIfTrue="1">
      <formula>IF(AK9&gt;4,0,1)</formula>
    </cfRule>
  </conditionalFormatting>
  <conditionalFormatting sqref="E17 E102">
    <cfRule type="expression" dxfId="3953" priority="29" stopIfTrue="1">
      <formula>IF(AK9&gt;4,0,1)</formula>
    </cfRule>
  </conditionalFormatting>
  <conditionalFormatting sqref="AC8 AC93">
    <cfRule type="expression" dxfId="3952" priority="30" stopIfTrue="1">
      <formula>IF(AK11=1,IF(AK9&gt;0,0,1),1)</formula>
    </cfRule>
  </conditionalFormatting>
  <conditionalFormatting sqref="AC10:AE11 AC95:AE96">
    <cfRule type="expression" dxfId="3951" priority="31" stopIfTrue="1">
      <formula>IF(AK11=1,IF(AK9&gt;1,0,1),1)</formula>
    </cfRule>
  </conditionalFormatting>
  <conditionalFormatting sqref="AC12:AE13 AC97:AE98">
    <cfRule type="expression" dxfId="3950" priority="32" stopIfTrue="1">
      <formula>IF(AK11=1,IF(AK9&gt;2,0,1),1)</formula>
    </cfRule>
  </conditionalFormatting>
  <conditionalFormatting sqref="AC14:AE15 AC99:AE100">
    <cfRule type="expression" dxfId="3949" priority="33" stopIfTrue="1">
      <formula>IF(AK11=1,IF(AK9&gt;3,0,1),1)</formula>
    </cfRule>
  </conditionalFormatting>
  <conditionalFormatting sqref="AC16:AE17 AC101:AE102">
    <cfRule type="expression" dxfId="3948" priority="34" stopIfTrue="1">
      <formula>IF(AK11=1,IF(AK9&gt;4,0,1),1)</formula>
    </cfRule>
  </conditionalFormatting>
  <conditionalFormatting sqref="AH8 AH93">
    <cfRule type="expression" dxfId="3947" priority="35" stopIfTrue="1">
      <formula>IF(AK9&gt;0,0,1)</formula>
    </cfRule>
  </conditionalFormatting>
  <conditionalFormatting sqref="AH10:AI11 AH95:AI96">
    <cfRule type="expression" dxfId="3946" priority="36" stopIfTrue="1">
      <formula>IF(AK9&gt;1,0,1)</formula>
    </cfRule>
  </conditionalFormatting>
  <conditionalFormatting sqref="AH12:AI13 AH97:AI98">
    <cfRule type="expression" dxfId="3945" priority="37" stopIfTrue="1">
      <formula>IF(AK9&gt;2,0,1)</formula>
    </cfRule>
  </conditionalFormatting>
  <conditionalFormatting sqref="AH14:AI15 AH99:AI100">
    <cfRule type="expression" dxfId="3944" priority="38" stopIfTrue="1">
      <formula>IF(AK9&gt;3,0,1)</formula>
    </cfRule>
  </conditionalFormatting>
  <conditionalFormatting sqref="AH16:AI17 AH101:AI102">
    <cfRule type="expression" dxfId="3943" priority="39" stopIfTrue="1">
      <formula>IF(AK9&gt;4,0,1)</formula>
    </cfRule>
  </conditionalFormatting>
  <conditionalFormatting sqref="B19:D19 B104:D104">
    <cfRule type="expression" dxfId="3942" priority="40" stopIfTrue="1">
      <formula>IF(AK8&gt;0,0,1)</formula>
    </cfRule>
  </conditionalFormatting>
  <conditionalFormatting sqref="E19:G19 E104:G104">
    <cfRule type="expression" dxfId="3941" priority="41" stopIfTrue="1">
      <formula>IF(AK8&gt;1,0,1)</formula>
    </cfRule>
  </conditionalFormatting>
  <conditionalFormatting sqref="H19:J19 H104:J104">
    <cfRule type="expression" dxfId="3940" priority="42" stopIfTrue="1">
      <formula>IF(AK8&gt;2,0,1)</formula>
    </cfRule>
  </conditionalFormatting>
  <conditionalFormatting sqref="K19:M19 K104:M104">
    <cfRule type="expression" dxfId="3939" priority="43" stopIfTrue="1">
      <formula>IF(AK8&gt;3,0,1)</formula>
    </cfRule>
  </conditionalFormatting>
  <conditionalFormatting sqref="N19:P19 N104:P104">
    <cfRule type="expression" dxfId="3938" priority="44" stopIfTrue="1">
      <formula>IF(AK8&gt;4,0,1)</formula>
    </cfRule>
  </conditionalFormatting>
  <conditionalFormatting sqref="Q19:S19 Q104:S104">
    <cfRule type="expression" dxfId="3937" priority="45" stopIfTrue="1">
      <formula>IF(AK8&gt;5,0,1)</formula>
    </cfRule>
  </conditionalFormatting>
  <conditionalFormatting sqref="T19:V19 T104:V104">
    <cfRule type="expression" dxfId="3936" priority="46" stopIfTrue="1">
      <formula>IF(AK8&gt;6,0,1)</formula>
    </cfRule>
  </conditionalFormatting>
  <conditionalFormatting sqref="W19:Y19 W104:Y104">
    <cfRule type="expression" dxfId="3935" priority="47" stopIfTrue="1">
      <formula>IF(AK8&gt;7,0,1)</formula>
    </cfRule>
  </conditionalFormatting>
  <conditionalFormatting sqref="Z19:AB19 Z104:AB104">
    <cfRule type="expression" dxfId="3934" priority="48" stopIfTrue="1">
      <formula>IF(AK8&gt;8,0,1)</formula>
    </cfRule>
  </conditionalFormatting>
  <conditionalFormatting sqref="AC19:AE19 AC104:AE104">
    <cfRule type="expression" dxfId="3933" priority="49" stopIfTrue="1">
      <formula>IF(AK8&gt;9,0,1)</formula>
    </cfRule>
  </conditionalFormatting>
  <conditionalFormatting sqref="B20:D20 B105:D105">
    <cfRule type="expression" dxfId="3932" priority="50" stopIfTrue="1">
      <formula>IF(AK8&gt;0,0,1)</formula>
    </cfRule>
  </conditionalFormatting>
  <conditionalFormatting sqref="E20:G20 E105:G105">
    <cfRule type="expression" dxfId="3931" priority="51" stopIfTrue="1">
      <formula>IF(AK8&gt;1,0,1)</formula>
    </cfRule>
  </conditionalFormatting>
  <conditionalFormatting sqref="H20:J20 H105:J105">
    <cfRule type="expression" dxfId="3930" priority="52" stopIfTrue="1">
      <formula>IF(AK8&gt;2,0,1)</formula>
    </cfRule>
  </conditionalFormatting>
  <conditionalFormatting sqref="K20:M20 K105:M105">
    <cfRule type="expression" dxfId="3929" priority="53" stopIfTrue="1">
      <formula>IF(AK8&gt;3,0,1)</formula>
    </cfRule>
  </conditionalFormatting>
  <conditionalFormatting sqref="N20:P20 N105:P105">
    <cfRule type="expression" dxfId="3928" priority="54" stopIfTrue="1">
      <formula>IF(AK8&gt;4,0,1)</formula>
    </cfRule>
  </conditionalFormatting>
  <conditionalFormatting sqref="Q20:S20 Q105:S105">
    <cfRule type="expression" dxfId="3927" priority="55" stopIfTrue="1">
      <formula>IF(AK8&gt;5,0,1)</formula>
    </cfRule>
  </conditionalFormatting>
  <conditionalFormatting sqref="T20:V20 T105:V105">
    <cfRule type="expression" dxfId="3926" priority="56" stopIfTrue="1">
      <formula>IF(AK8&gt;6,0,1)</formula>
    </cfRule>
  </conditionalFormatting>
  <conditionalFormatting sqref="W20:Y20 W105:Y105">
    <cfRule type="expression" dxfId="3925" priority="57" stopIfTrue="1">
      <formula>IF(AK8&gt;7,0,1)</formula>
    </cfRule>
  </conditionalFormatting>
  <conditionalFormatting sqref="Z20:AB20 Z105:AB105">
    <cfRule type="expression" dxfId="3924" priority="58" stopIfTrue="1">
      <formula>IF(AK8&gt;8,0,1)</formula>
    </cfRule>
  </conditionalFormatting>
  <conditionalFormatting sqref="AC20:AE20 AC105:AE105">
    <cfRule type="expression" dxfId="3923" priority="59" stopIfTrue="1">
      <formula>IF(AK8&gt;9,0,1)</formula>
    </cfRule>
  </conditionalFormatting>
  <conditionalFormatting sqref="E22:G22 E107:G107">
    <cfRule type="expression" dxfId="3922" priority="60" stopIfTrue="1">
      <formula>IF(AK8&gt;1,0,1)</formula>
    </cfRule>
  </conditionalFormatting>
  <conditionalFormatting sqref="H22:J22 H107:J107">
    <cfRule type="expression" dxfId="3921" priority="61" stopIfTrue="1">
      <formula>IF(AK8&gt;2,0,1)</formula>
    </cfRule>
  </conditionalFormatting>
  <conditionalFormatting sqref="K22:M22 K107:M107">
    <cfRule type="expression" dxfId="3920" priority="62" stopIfTrue="1">
      <formula>IF(AK8&gt;3,0,1)</formula>
    </cfRule>
  </conditionalFormatting>
  <conditionalFormatting sqref="N22:P22 N107:P107">
    <cfRule type="expression" dxfId="3919" priority="63" stopIfTrue="1">
      <formula>IF(AK8&gt;4,0,1)</formula>
    </cfRule>
  </conditionalFormatting>
  <conditionalFormatting sqref="Q22:S22 Q107:S107">
    <cfRule type="expression" dxfId="3918" priority="64" stopIfTrue="1">
      <formula>IF(AK8&gt;5,0,1)</formula>
    </cfRule>
  </conditionalFormatting>
  <conditionalFormatting sqref="T22:V22 T107:V107">
    <cfRule type="expression" dxfId="3917" priority="65" stopIfTrue="1">
      <formula>IF(AK8&gt;6,0,1)</formula>
    </cfRule>
  </conditionalFormatting>
  <conditionalFormatting sqref="W22:Y22 W107:Y107">
    <cfRule type="expression" dxfId="3916" priority="66" stopIfTrue="1">
      <formula>IF(AK8&gt;7,0,1)</formula>
    </cfRule>
  </conditionalFormatting>
  <conditionalFormatting sqref="Z22:AB22 Z107:AB107">
    <cfRule type="expression" dxfId="3915" priority="67" stopIfTrue="1">
      <formula>IF(AK8&gt;8,0,1)</formula>
    </cfRule>
  </conditionalFormatting>
  <conditionalFormatting sqref="AC22:AE22 AC107:AE107">
    <cfRule type="expression" dxfId="3914" priority="68" stopIfTrue="1">
      <formula>IF(AK8&gt;9,0,1)</formula>
    </cfRule>
  </conditionalFormatting>
  <conditionalFormatting sqref="B24 B109">
    <cfRule type="expression" dxfId="3913" priority="69" stopIfTrue="1">
      <formula>IF(AK8&gt;0,0,1)</formula>
    </cfRule>
  </conditionalFormatting>
  <conditionalFormatting sqref="C24 C109">
    <cfRule type="expression" dxfId="3912" priority="70" stopIfTrue="1">
      <formula>IF(AK8&gt;0,0,1)</formula>
    </cfRule>
  </conditionalFormatting>
  <conditionalFormatting sqref="D24 D109">
    <cfRule type="expression" dxfId="3911" priority="71" stopIfTrue="1">
      <formula>IF(AK8&gt;0,0,1)</formula>
    </cfRule>
  </conditionalFormatting>
  <conditionalFormatting sqref="E23:G23 E108:G108">
    <cfRule type="expression" dxfId="3910" priority="72" stopIfTrue="1">
      <formula>IF(AK8&gt;1,0,1)</formula>
    </cfRule>
  </conditionalFormatting>
  <conditionalFormatting sqref="F24 F109">
    <cfRule type="expression" dxfId="3909" priority="73" stopIfTrue="1">
      <formula>IF(AK8&gt;1,0,1)</formula>
    </cfRule>
  </conditionalFormatting>
  <conditionalFormatting sqref="G24 G109">
    <cfRule type="expression" dxfId="3908" priority="74" stopIfTrue="1">
      <formula>IF(AK8&gt;1,0,1)</formula>
    </cfRule>
  </conditionalFormatting>
  <conditionalFormatting sqref="H23:J23 H108:J108">
    <cfRule type="expression" dxfId="3907" priority="75" stopIfTrue="1">
      <formula>IF(AK8&gt;2,0,1)</formula>
    </cfRule>
  </conditionalFormatting>
  <conditionalFormatting sqref="I24 I109">
    <cfRule type="expression" dxfId="3906" priority="76" stopIfTrue="1">
      <formula>IF(AK8&gt;2,0,1)</formula>
    </cfRule>
  </conditionalFormatting>
  <conditionalFormatting sqref="J24 J109">
    <cfRule type="expression" dxfId="3905" priority="77" stopIfTrue="1">
      <formula>IF(AK8&gt;2,0,1)</formula>
    </cfRule>
  </conditionalFormatting>
  <conditionalFormatting sqref="K23:M23 K108:M108">
    <cfRule type="expression" dxfId="3904" priority="78" stopIfTrue="1">
      <formula>IF(AK8&gt;3,0,1)</formula>
    </cfRule>
  </conditionalFormatting>
  <conditionalFormatting sqref="L24 L109">
    <cfRule type="expression" dxfId="3903" priority="79" stopIfTrue="1">
      <formula>IF(AK8&gt;3,0,1)</formula>
    </cfRule>
  </conditionalFormatting>
  <conditionalFormatting sqref="M24 M109">
    <cfRule type="expression" dxfId="3902" priority="80" stopIfTrue="1">
      <formula>IF(AK8&gt;3,0,1)</formula>
    </cfRule>
  </conditionalFormatting>
  <conditionalFormatting sqref="N23:P23 N108:P108">
    <cfRule type="expression" dxfId="3901" priority="81" stopIfTrue="1">
      <formula>IF(AK8&gt;4,0,1)</formula>
    </cfRule>
  </conditionalFormatting>
  <conditionalFormatting sqref="O24 O109">
    <cfRule type="expression" dxfId="3900" priority="82" stopIfTrue="1">
      <formula>IF(AK8&gt;4,0,1)</formula>
    </cfRule>
  </conditionalFormatting>
  <conditionalFormatting sqref="P24 P109">
    <cfRule type="expression" dxfId="3899" priority="83" stopIfTrue="1">
      <formula>IF(AK8&gt;4,0,1)</formula>
    </cfRule>
  </conditionalFormatting>
  <conditionalFormatting sqref="Q23:S23 Q108:S108">
    <cfRule type="expression" dxfId="3898" priority="84" stopIfTrue="1">
      <formula>IF(AK8&gt;5,0,1)</formula>
    </cfRule>
  </conditionalFormatting>
  <conditionalFormatting sqref="R24 R109">
    <cfRule type="expression" dxfId="3897" priority="85" stopIfTrue="1">
      <formula>IF(AK8&gt;5,0,1)</formula>
    </cfRule>
  </conditionalFormatting>
  <conditionalFormatting sqref="S24 S109">
    <cfRule type="expression" dxfId="3896" priority="86" stopIfTrue="1">
      <formula>IF(AK8&gt;5,0,1)</formula>
    </cfRule>
  </conditionalFormatting>
  <conditionalFormatting sqref="T23:V23 T108:V108">
    <cfRule type="expression" dxfId="3895" priority="87" stopIfTrue="1">
      <formula>IF(AK8&gt;6,0,1)</formula>
    </cfRule>
  </conditionalFormatting>
  <conditionalFormatting sqref="U24 U109">
    <cfRule type="expression" dxfId="3894" priority="88" stopIfTrue="1">
      <formula>IF(AK8&gt;6,0,1)</formula>
    </cfRule>
  </conditionalFormatting>
  <conditionalFormatting sqref="V24 V109">
    <cfRule type="expression" dxfId="3893" priority="89" stopIfTrue="1">
      <formula>IF(AK8&gt;6,0,1)</formula>
    </cfRule>
  </conditionalFormatting>
  <conditionalFormatting sqref="W23:Y23 W108:Y108">
    <cfRule type="expression" dxfId="3892" priority="90" stopIfTrue="1">
      <formula>IF(AK8&gt;7,0,1)</formula>
    </cfRule>
  </conditionalFormatting>
  <conditionalFormatting sqref="X24 X109">
    <cfRule type="expression" dxfId="3891" priority="91" stopIfTrue="1">
      <formula>IF(AK8&gt;7,0,1)</formula>
    </cfRule>
  </conditionalFormatting>
  <conditionalFormatting sqref="Y24 Y109">
    <cfRule type="expression" dxfId="3890" priority="92" stopIfTrue="1">
      <formula>IF(AK8&gt;7,0,1)</formula>
    </cfRule>
  </conditionalFormatting>
  <conditionalFormatting sqref="Z23:AB23 Z108:AB108">
    <cfRule type="expression" dxfId="3889" priority="93" stopIfTrue="1">
      <formula>IF(AK8&gt;8,0,1)</formula>
    </cfRule>
  </conditionalFormatting>
  <conditionalFormatting sqref="AA24 AA109">
    <cfRule type="expression" dxfId="3888" priority="94" stopIfTrue="1">
      <formula>IF(AK8&gt;8,0,1)</formula>
    </cfRule>
  </conditionalFormatting>
  <conditionalFormatting sqref="AB24 AB109">
    <cfRule type="expression" dxfId="3887" priority="95" stopIfTrue="1">
      <formula>IF(AK8&gt;8,0,1)</formula>
    </cfRule>
  </conditionalFormatting>
  <conditionalFormatting sqref="AC23:AE23 AC108:AE108">
    <cfRule type="expression" dxfId="3886" priority="96" stopIfTrue="1">
      <formula>IF(AK8&gt;9,0,1)</formula>
    </cfRule>
  </conditionalFormatting>
  <conditionalFormatting sqref="AD24 AD109">
    <cfRule type="expression" dxfId="3885" priority="97" stopIfTrue="1">
      <formula>IF(AK8&gt;9,0,1)</formula>
    </cfRule>
  </conditionalFormatting>
  <conditionalFormatting sqref="AE24 AE109">
    <cfRule type="expression" dxfId="3884" priority="98" stopIfTrue="1">
      <formula>IF(AK8&gt;9,0,1)</formula>
    </cfRule>
  </conditionalFormatting>
  <conditionalFormatting sqref="A26 A111">
    <cfRule type="expression" dxfId="3883" priority="99" stopIfTrue="1">
      <formula>IF(AK7&gt;1,0,1)</formula>
    </cfRule>
  </conditionalFormatting>
  <conditionalFormatting sqref="A27 A112">
    <cfRule type="expression" dxfId="3882" priority="100" stopIfTrue="1">
      <formula>IF(AK7&gt;2,0,1)</formula>
    </cfRule>
  </conditionalFormatting>
  <conditionalFormatting sqref="A28 A113">
    <cfRule type="expression" dxfId="3881" priority="101" stopIfTrue="1">
      <formula>IF(AK7&gt;3,0,1)</formula>
    </cfRule>
  </conditionalFormatting>
  <conditionalFormatting sqref="A29 A114">
    <cfRule type="expression" dxfId="3880" priority="102" stopIfTrue="1">
      <formula>IF(AK7&gt;4,0,1)</formula>
    </cfRule>
  </conditionalFormatting>
  <conditionalFormatting sqref="B25:D25 B110:D110">
    <cfRule type="expression" dxfId="3879" priority="103" stopIfTrue="1">
      <formula>IF($AK8&gt;0,0,1)</formula>
    </cfRule>
  </conditionalFormatting>
  <conditionalFormatting sqref="B26:D26 B111:D111">
    <cfRule type="expression" dxfId="3878" priority="104" stopIfTrue="1">
      <formula>IF($AK8&lt;1,1,IF($AK7&lt;2,1,0))</formula>
    </cfRule>
  </conditionalFormatting>
  <conditionalFormatting sqref="B27:D27 B112:D112">
    <cfRule type="expression" dxfId="3877" priority="105" stopIfTrue="1">
      <formula>IF($AK8&lt;1,1,IF($AK7&lt;3,1,0))</formula>
    </cfRule>
  </conditionalFormatting>
  <conditionalFormatting sqref="B28:D28 B113:D113">
    <cfRule type="expression" dxfId="3876" priority="106" stopIfTrue="1">
      <formula>IF($AK8&lt;1,1,IF($AK7&lt;4,1,0))</formula>
    </cfRule>
  </conditionalFormatting>
  <conditionalFormatting sqref="B29:D29 B114:D114">
    <cfRule type="expression" dxfId="3875" priority="107" stopIfTrue="1">
      <formula>IF($AK8&lt;1,1,IF($AK7&lt;5,1,0))</formula>
    </cfRule>
  </conditionalFormatting>
  <conditionalFormatting sqref="AG23 AG108">
    <cfRule type="expression" dxfId="3874" priority="108" stopIfTrue="1">
      <formula>IF($AK8&lt;1,1,0)</formula>
    </cfRule>
  </conditionalFormatting>
  <conditionalFormatting sqref="AH23 AH108">
    <cfRule type="expression" dxfId="3873" priority="109" stopIfTrue="1">
      <formula>IF($AK8&lt;2,1,0)</formula>
    </cfRule>
  </conditionalFormatting>
  <conditionalFormatting sqref="AI23 AI108">
    <cfRule type="expression" dxfId="3872" priority="110" stopIfTrue="1">
      <formula>IF($AK8&lt;3,1,0)</formula>
    </cfRule>
  </conditionalFormatting>
  <conditionalFormatting sqref="AJ23 AJ108">
    <cfRule type="expression" dxfId="3871" priority="111" stopIfTrue="1">
      <formula>IF($AK8&lt;4,1,0)</formula>
    </cfRule>
  </conditionalFormatting>
  <conditionalFormatting sqref="AK23 AK108">
    <cfRule type="expression" dxfId="3870" priority="112" stopIfTrue="1">
      <formula>IF($AK8&lt;5,1,0)</formula>
    </cfRule>
  </conditionalFormatting>
  <conditionalFormatting sqref="AL23 AL108">
    <cfRule type="expression" dxfId="3869" priority="113" stopIfTrue="1">
      <formula>IF($AK8&lt;6,1,0)</formula>
    </cfRule>
  </conditionalFormatting>
  <conditionalFormatting sqref="AM23 AM108">
    <cfRule type="expression" dxfId="3868" priority="114" stopIfTrue="1">
      <formula>IF($AK8&lt;7,1,0)</formula>
    </cfRule>
  </conditionalFormatting>
  <conditionalFormatting sqref="AN23 AN108">
    <cfRule type="expression" dxfId="3867" priority="115" stopIfTrue="1">
      <formula>IF($AK8&lt;8,1,0)</formula>
    </cfRule>
  </conditionalFormatting>
  <conditionalFormatting sqref="AO23 AO108">
    <cfRule type="expression" dxfId="3866" priority="116" stopIfTrue="1">
      <formula>IF($AK8&lt;9,1,0)</formula>
    </cfRule>
  </conditionalFormatting>
  <conditionalFormatting sqref="AP23 AP108">
    <cfRule type="expression" dxfId="3865" priority="117" stopIfTrue="1">
      <formula>IF($AK8&lt;10,1,0)</formula>
    </cfRule>
  </conditionalFormatting>
  <conditionalFormatting sqref="AQ24 AQ109">
    <cfRule type="expression" dxfId="3864" priority="118" stopIfTrue="1">
      <formula>IF($AK9&gt;0,0,1)</formula>
    </cfRule>
  </conditionalFormatting>
  <conditionalFormatting sqref="AQ25 AQ110">
    <cfRule type="expression" dxfId="3863" priority="119" stopIfTrue="1">
      <formula>IF($AK9&gt;1,0,1)</formula>
    </cfRule>
  </conditionalFormatting>
  <conditionalFormatting sqref="AQ26 H25:J25 AQ111 H110:J110">
    <cfRule type="expression" dxfId="3862" priority="120" stopIfTrue="1">
      <formula>IF($AK8&gt;2,0,1)</formula>
    </cfRule>
  </conditionalFormatting>
  <conditionalFormatting sqref="K25:M25 K110:M110">
    <cfRule type="expression" dxfId="3861" priority="121" stopIfTrue="1">
      <formula>IF($AK8&gt;3,0,1)</formula>
    </cfRule>
  </conditionalFormatting>
  <conditionalFormatting sqref="AQ28 AQ113">
    <cfRule type="expression" dxfId="3860" priority="122" stopIfTrue="1">
      <formula>IF($AK9&gt;4,0,1)</formula>
    </cfRule>
  </conditionalFormatting>
  <conditionalFormatting sqref="E26:G26 E111:G111">
    <cfRule type="expression" dxfId="3859" priority="123" stopIfTrue="1">
      <formula>IF($AK8&lt;2,1,IF($AK7&lt;2,1,0))</formula>
    </cfRule>
  </conditionalFormatting>
  <conditionalFormatting sqref="E27:G27 E112:G112">
    <cfRule type="expression" dxfId="3858" priority="124" stopIfTrue="1">
      <formula>IF($AK8&lt;2,1,IF($AK7&lt;3,1,0))</formula>
    </cfRule>
  </conditionalFormatting>
  <conditionalFormatting sqref="E28:G28 E113:G113">
    <cfRule type="expression" dxfId="3857" priority="125" stopIfTrue="1">
      <formula>IF($AK8&lt;2,1,IF($AK7&lt;4,1,0))</formula>
    </cfRule>
  </conditionalFormatting>
  <conditionalFormatting sqref="E29:G29 E114:G114">
    <cfRule type="expression" dxfId="3856" priority="126" stopIfTrue="1">
      <formula>IF($AK8&lt;2,1,IF($AK7&lt;5,1,0))</formula>
    </cfRule>
  </conditionalFormatting>
  <conditionalFormatting sqref="N25:P25 N110:P110">
    <cfRule type="expression" dxfId="3855" priority="127" stopIfTrue="1">
      <formula>IF($AK8&gt;4,0,1)</formula>
    </cfRule>
  </conditionalFormatting>
  <conditionalFormatting sqref="Q25:S25 Q110:S110">
    <cfRule type="expression" dxfId="3854" priority="128" stopIfTrue="1">
      <formula>IF($AK8&gt;5,0,1)</formula>
    </cfRule>
  </conditionalFormatting>
  <conditionalFormatting sqref="T25:V25 T110:V110">
    <cfRule type="expression" dxfId="3853" priority="129" stopIfTrue="1">
      <formula>IF($AK8&gt;6,0,1)</formula>
    </cfRule>
  </conditionalFormatting>
  <conditionalFormatting sqref="W25:Y25 W110:Y110">
    <cfRule type="expression" dxfId="3852" priority="130" stopIfTrue="1">
      <formula>IF($AK8&gt;7,0,1)</formula>
    </cfRule>
  </conditionalFormatting>
  <conditionalFormatting sqref="Z25:AB25 Z110:AB110">
    <cfRule type="expression" dxfId="3851" priority="131" stopIfTrue="1">
      <formula>IF($AK8&gt;8,0,1)</formula>
    </cfRule>
  </conditionalFormatting>
  <conditionalFormatting sqref="AC25:AE25 AC110:AE110">
    <cfRule type="expression" dxfId="3850" priority="132" stopIfTrue="1">
      <formula>IF($AK8&gt;9,0,1)</formula>
    </cfRule>
  </conditionalFormatting>
  <conditionalFormatting sqref="H26:J26 H111:J111">
    <cfRule type="expression" dxfId="3849" priority="133" stopIfTrue="1">
      <formula>IF($AK8&lt;3,1,IF($AK7&lt;2,1,0))</formula>
    </cfRule>
  </conditionalFormatting>
  <conditionalFormatting sqref="K26:M26 K111:M111">
    <cfRule type="expression" dxfId="3848" priority="134" stopIfTrue="1">
      <formula>IF($AK8&lt;4,1,IF($AK7&lt;2,1,0))</formula>
    </cfRule>
  </conditionalFormatting>
  <conditionalFormatting sqref="N26:P26 N111:P111">
    <cfRule type="expression" dxfId="3847" priority="135" stopIfTrue="1">
      <formula>IF($AK8&lt;5,1,IF($AK7&lt;2,1,0))</formula>
    </cfRule>
  </conditionalFormatting>
  <conditionalFormatting sqref="Q26:S26 Q111:S111">
    <cfRule type="expression" dxfId="3846" priority="136" stopIfTrue="1">
      <formula>IF($AK8&lt;6,1,IF($AK7&lt;2,1,0))</formula>
    </cfRule>
  </conditionalFormatting>
  <conditionalFormatting sqref="T26:V26 T111:V111">
    <cfRule type="expression" dxfId="3845" priority="137" stopIfTrue="1">
      <formula>IF($AK8&lt;7,1,IF($AK7&lt;2,1,0))</formula>
    </cfRule>
  </conditionalFormatting>
  <conditionalFormatting sqref="W26:Y26 W111:Y111">
    <cfRule type="expression" dxfId="3844" priority="138" stopIfTrue="1">
      <formula>IF($AK8&lt;8,1,IF($AK7&lt;2,1,0))</formula>
    </cfRule>
  </conditionalFormatting>
  <conditionalFormatting sqref="Z26:AB26 Z111:AB111">
    <cfRule type="expression" dxfId="3843" priority="139" stopIfTrue="1">
      <formula>IF($AK8&lt;9,1,IF($AK7&lt;2,1,0))</formula>
    </cfRule>
  </conditionalFormatting>
  <conditionalFormatting sqref="AC26:AE26 AC111:AE111">
    <cfRule type="expression" dxfId="3842" priority="140" stopIfTrue="1">
      <formula>IF($AK8&lt;10,1,IF($AK7&lt;2,1,0))</formula>
    </cfRule>
  </conditionalFormatting>
  <conditionalFormatting sqref="H27:J27 H112:J112">
    <cfRule type="expression" dxfId="3841" priority="141" stopIfTrue="1">
      <formula>IF($AK8&lt;3,1,IF($AK7&lt;3,1,0))</formula>
    </cfRule>
  </conditionalFormatting>
  <conditionalFormatting sqref="K27:M27 K112:M112">
    <cfRule type="expression" dxfId="3840" priority="142" stopIfTrue="1">
      <formula>IF($AK8&lt;4,1,IF($AK7&lt;3,1,0))</formula>
    </cfRule>
  </conditionalFormatting>
  <conditionalFormatting sqref="N27:P27 N112:P112">
    <cfRule type="expression" dxfId="3839" priority="143" stopIfTrue="1">
      <formula>IF($AK8&lt;5,1,IF($AK7&lt;3,1,0))</formula>
    </cfRule>
  </conditionalFormatting>
  <conditionalFormatting sqref="Q27:S27 Q112:S112">
    <cfRule type="expression" dxfId="3838" priority="144" stopIfTrue="1">
      <formula>IF($AK8&lt;6,1,IF($AK7&lt;3,1,0))</formula>
    </cfRule>
  </conditionalFormatting>
  <conditionalFormatting sqref="T27:V27 T112:V112">
    <cfRule type="expression" dxfId="3837" priority="145" stopIfTrue="1">
      <formula>IF($AK8&lt;7,1,IF($AK7&lt;3,1,0))</formula>
    </cfRule>
  </conditionalFormatting>
  <conditionalFormatting sqref="W27:Y27 W112:Y112">
    <cfRule type="expression" dxfId="3836" priority="146" stopIfTrue="1">
      <formula>IF($AK8&lt;8,1,IF($AK7&lt;3,1,0))</formula>
    </cfRule>
  </conditionalFormatting>
  <conditionalFormatting sqref="Z27:AB27 Z112:AB112">
    <cfRule type="expression" dxfId="3835" priority="147" stopIfTrue="1">
      <formula>IF($AK8&lt;9,1,IF($AK7&lt;3,1,0))</formula>
    </cfRule>
  </conditionalFormatting>
  <conditionalFormatting sqref="AC27:AE27 AC112:AE112">
    <cfRule type="expression" dxfId="3834" priority="148" stopIfTrue="1">
      <formula>IF($AK8&lt;10,1,IF($AK7&lt;3,1,0))</formula>
    </cfRule>
  </conditionalFormatting>
  <conditionalFormatting sqref="H28:J28 H113:J113">
    <cfRule type="expression" dxfId="3833" priority="149" stopIfTrue="1">
      <formula>IF($AK8&lt;3,1,IF($AK7&lt;4,1,0))</formula>
    </cfRule>
  </conditionalFormatting>
  <conditionalFormatting sqref="K28:M28 K113:M113">
    <cfRule type="expression" dxfId="3832" priority="150" stopIfTrue="1">
      <formula>IF($AK8&lt;4,1,IF($AK7&lt;4,1,0))</formula>
    </cfRule>
  </conditionalFormatting>
  <conditionalFormatting sqref="N28:P28 N113:P113">
    <cfRule type="expression" dxfId="3831" priority="151" stopIfTrue="1">
      <formula>IF($AK8&lt;5,1,IF($AK7&lt;4,1,0))</formula>
    </cfRule>
  </conditionalFormatting>
  <conditionalFormatting sqref="Q28:S28 Q113:S113">
    <cfRule type="expression" dxfId="3830" priority="152" stopIfTrue="1">
      <formula>IF($AK8&lt;6,1,IF($AK7&lt;4,1,0))</formula>
    </cfRule>
  </conditionalFormatting>
  <conditionalFormatting sqref="T28:V28 T113:V113">
    <cfRule type="expression" dxfId="3829" priority="153" stopIfTrue="1">
      <formula>IF($AK8&lt;7,1,IF($AK7&lt;4,1,0))</formula>
    </cfRule>
  </conditionalFormatting>
  <conditionalFormatting sqref="W28:Y28 W113:Y113">
    <cfRule type="expression" dxfId="3828" priority="154" stopIfTrue="1">
      <formula>IF($AK8&lt;8,1,IF($AK7&lt;4,1,0))</formula>
    </cfRule>
  </conditionalFormatting>
  <conditionalFormatting sqref="Z28:AB28 Z113:AB113">
    <cfRule type="expression" dxfId="3827" priority="155" stopIfTrue="1">
      <formula>IF($AK8&lt;9,1,IF($AK7&lt;4,1,0))</formula>
    </cfRule>
  </conditionalFormatting>
  <conditionalFormatting sqref="AC28:AE28 AC113:AE113">
    <cfRule type="expression" dxfId="3826" priority="156" stopIfTrue="1">
      <formula>IF($AK8&lt;10,1,IF($AK7&lt;4,1,0))</formula>
    </cfRule>
  </conditionalFormatting>
  <conditionalFormatting sqref="H29:J29 H114:J114">
    <cfRule type="expression" dxfId="3825" priority="157" stopIfTrue="1">
      <formula>IF($AK8&lt;3,1,IF($AK7&lt;5,1,0))</formula>
    </cfRule>
  </conditionalFormatting>
  <conditionalFormatting sqref="K29:M29 K114:M114">
    <cfRule type="expression" dxfId="3824" priority="158" stopIfTrue="1">
      <formula>IF($AK8&lt;4,1,IF($AK7&lt;5,1,0))</formula>
    </cfRule>
  </conditionalFormatting>
  <conditionalFormatting sqref="N29:P29 N114:P114">
    <cfRule type="expression" dxfId="3823" priority="159" stopIfTrue="1">
      <formula>IF($AK8&lt;5,1,IF($AK7&lt;5,1,0))</formula>
    </cfRule>
  </conditionalFormatting>
  <conditionalFormatting sqref="Q29:S29 Q114:S114">
    <cfRule type="expression" dxfId="3822" priority="160" stopIfTrue="1">
      <formula>IF($AK8&lt;6,1,IF($AK7&lt;5,1,0))</formula>
    </cfRule>
  </conditionalFormatting>
  <conditionalFormatting sqref="T29:V29 T114:V114">
    <cfRule type="expression" dxfId="3821" priority="161" stopIfTrue="1">
      <formula>IF($AK8&lt;7,1,IF($AK7&lt;5,1,0))</formula>
    </cfRule>
  </conditionalFormatting>
  <conditionalFormatting sqref="W29:Y29 W114:Y114">
    <cfRule type="expression" dxfId="3820" priority="162" stopIfTrue="1">
      <formula>IF($AK8&lt;8,1,IF($AK7&lt;5,1,0))</formula>
    </cfRule>
  </conditionalFormatting>
  <conditionalFormatting sqref="Z29:AB29 Z114:AB114">
    <cfRule type="expression" dxfId="3819" priority="163" stopIfTrue="1">
      <formula>IF($AK8&lt;9,1,IF($AK7&lt;5,1,0))</formula>
    </cfRule>
  </conditionalFormatting>
  <conditionalFormatting sqref="AC29:AE29 AC114:AE114">
    <cfRule type="expression" dxfId="3818" priority="164" stopIfTrue="1">
      <formula>IF($AK8&lt;10,1,IF($AK7&lt;5,1,0))</formula>
    </cfRule>
  </conditionalFormatting>
  <conditionalFormatting sqref="R14:AB15 AF14:AF15 L14:P15 R99:AB100 AF99:AF100 L99:P100 AG14 AG99">
    <cfRule type="expression" dxfId="3817" priority="165" stopIfTrue="1">
      <formula>IF($AK9&gt;3,0,1)</formula>
    </cfRule>
  </conditionalFormatting>
  <conditionalFormatting sqref="R16:AB17 AF16:AF17 L16:P17 R101:AB102 AF101:AF102 L101:P102 AG16 AG101">
    <cfRule type="expression" dxfId="3816" priority="166" stopIfTrue="1">
      <formula>IF($AK9&gt;4,0,1)</formula>
    </cfRule>
  </conditionalFormatting>
  <conditionalFormatting sqref="R8:AB9 AF8:AF9 L8:P9 R93:AB94 AF93:AF94 L93:P94 AG8 AG93">
    <cfRule type="expression" dxfId="3815" priority="167" stopIfTrue="1">
      <formula>IF($AK9&gt;0,0,1)</formula>
    </cfRule>
  </conditionalFormatting>
  <conditionalFormatting sqref="R10:AB11 AF10:AF11 L10:P11 R95:AB96 AF95:AF96 L95:P96 AG10 AG95">
    <cfRule type="expression" dxfId="3814" priority="168" stopIfTrue="1">
      <formula>IF($AK9&gt;1,0,1)</formula>
    </cfRule>
  </conditionalFormatting>
  <conditionalFormatting sqref="R12:AB13 AF12:AF13 L12:P13 R97:AB98 AF97:AF98 L97:P98 AG12 AG97">
    <cfRule type="expression" dxfId="3813" priority="169" stopIfTrue="1">
      <formula>IF($AK9&gt;2,0,1)</formula>
    </cfRule>
  </conditionalFormatting>
  <conditionalFormatting sqref="E24 E109">
    <cfRule type="expression" dxfId="3812" priority="170" stopIfTrue="1">
      <formula>IF(AK8&gt;1,0,1)</formula>
    </cfRule>
  </conditionalFormatting>
  <conditionalFormatting sqref="H24 H109">
    <cfRule type="expression" dxfId="3811" priority="171" stopIfTrue="1">
      <formula>IF(AK8&gt;2,0,1)</formula>
    </cfRule>
  </conditionalFormatting>
  <conditionalFormatting sqref="K24 K109">
    <cfRule type="expression" dxfId="3810" priority="172" stopIfTrue="1">
      <formula>IF(AK8&gt;3,0,1)</formula>
    </cfRule>
  </conditionalFormatting>
  <conditionalFormatting sqref="N24 N109">
    <cfRule type="expression" dxfId="3809" priority="173" stopIfTrue="1">
      <formula>IF(AK8&gt;4,0,1)</formula>
    </cfRule>
  </conditionalFormatting>
  <conditionalFormatting sqref="Q24 Q109">
    <cfRule type="expression" dxfId="3808" priority="174" stopIfTrue="1">
      <formula>IF(AK8&gt;5,0,1)</formula>
    </cfRule>
  </conditionalFormatting>
  <conditionalFormatting sqref="T24 T109">
    <cfRule type="expression" dxfId="3807" priority="175" stopIfTrue="1">
      <formula>IF(AK8&gt;6,0,1)</formula>
    </cfRule>
  </conditionalFormatting>
  <conditionalFormatting sqref="W24 W109">
    <cfRule type="expression" dxfId="3806" priority="176" stopIfTrue="1">
      <formula>IF(AK8&gt;7,0,1)</formula>
    </cfRule>
  </conditionalFormatting>
  <conditionalFormatting sqref="Z24 Z109">
    <cfRule type="expression" dxfId="3805" priority="177" stopIfTrue="1">
      <formula>IF(AK8&gt;8,0,1)</formula>
    </cfRule>
  </conditionalFormatting>
  <conditionalFormatting sqref="AC24 AC109">
    <cfRule type="expression" dxfId="3804" priority="178" stopIfTrue="1">
      <formula>IF(AK8&gt;9,0,1)</formula>
    </cfRule>
  </conditionalFormatting>
  <conditionalFormatting sqref="AQ27 AQ112">
    <cfRule type="expression" dxfId="3803" priority="179" stopIfTrue="1">
      <formula>IF($AK9&gt;3,0,1)</formula>
    </cfRule>
  </conditionalFormatting>
  <conditionalFormatting sqref="E25:G25 E110:G110">
    <cfRule type="expression" dxfId="3802" priority="180" stopIfTrue="1">
      <formula>IF($AK8&gt;1,0,1)</formula>
    </cfRule>
  </conditionalFormatting>
  <conditionalFormatting sqref="B21:D21 B106:D106">
    <cfRule type="expression" dxfId="3801" priority="181" stopIfTrue="1">
      <formula>IF(AK8&gt;0,0,1)</formula>
    </cfRule>
  </conditionalFormatting>
  <conditionalFormatting sqref="E21:G21 E106:G106">
    <cfRule type="expression" dxfId="3800" priority="182" stopIfTrue="1">
      <formula>IF(AK8&gt;1,0,1)</formula>
    </cfRule>
  </conditionalFormatting>
  <conditionalFormatting sqref="H21:J21 H106:J106">
    <cfRule type="expression" dxfId="3799" priority="183" stopIfTrue="1">
      <formula>IF(AK8&gt;2,0,1)</formula>
    </cfRule>
  </conditionalFormatting>
  <conditionalFormatting sqref="K21:M21 K106:M106">
    <cfRule type="expression" dxfId="3798" priority="184" stopIfTrue="1">
      <formula>IF(AK8&gt;3,0,1)</formula>
    </cfRule>
  </conditionalFormatting>
  <conditionalFormatting sqref="N21:P21 N106:P106">
    <cfRule type="expression" dxfId="3797" priority="185" stopIfTrue="1">
      <formula>IF(AK8&gt;4,0,1)</formula>
    </cfRule>
  </conditionalFormatting>
  <conditionalFormatting sqref="Q21:S21 Q106:S106">
    <cfRule type="expression" dxfId="3796" priority="186" stopIfTrue="1">
      <formula>IF(AK8&gt;5,0,1)</formula>
    </cfRule>
  </conditionalFormatting>
  <conditionalFormatting sqref="T21:V21 T106:V106">
    <cfRule type="expression" dxfId="3795" priority="187" stopIfTrue="1">
      <formula>IF(AK8&gt;6,0,1)</formula>
    </cfRule>
  </conditionalFormatting>
  <conditionalFormatting sqref="W21:Y21 W106:Y106">
    <cfRule type="expression" dxfId="3794" priority="188" stopIfTrue="1">
      <formula>IF(AK8&gt;7,0,1)</formula>
    </cfRule>
  </conditionalFormatting>
  <conditionalFormatting sqref="Z21:AB21 Z106:AB106">
    <cfRule type="expression" dxfId="3793" priority="189" stopIfTrue="1">
      <formula>IF(AK8&gt;8,0,1)</formula>
    </cfRule>
  </conditionalFormatting>
  <conditionalFormatting sqref="AC21:AE21 AC106:AE106">
    <cfRule type="expression" dxfId="3792" priority="190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3791" priority="191" stopIfTrue="1">
      <formula>IF(#REF!&gt;0,0,1)</formula>
    </cfRule>
  </conditionalFormatting>
  <conditionalFormatting sqref="AA215:AB215 AB223 AA218:AB218 Z223 Z215:Z218 F215:G215 G223 F218:G218 E223 E215:E218">
    <cfRule type="expression" dxfId="3790" priority="192" stopIfTrue="1">
      <formula>IF(#REF!&gt;1,0,1)</formula>
    </cfRule>
  </conditionalFormatting>
  <conditionalFormatting sqref="AC215:AC218 AD215:AE215 AE223 AD218:AE218 AC223 H223 H215:H218 I215:J215 J223 I218:J218">
    <cfRule type="expression" dxfId="3789" priority="193" stopIfTrue="1">
      <formula>IF(#REF!&gt;2,0,1)</formula>
    </cfRule>
  </conditionalFormatting>
  <conditionalFormatting sqref="W224 Y224 B224 D224">
    <cfRule type="expression" dxfId="3788" priority="194" stopIfTrue="1">
      <formula>IF(#REF!&lt;1,1,IF(#REF!&lt;2,1,0))</formula>
    </cfRule>
  </conditionalFormatting>
  <conditionalFormatting sqref="Z224 AB224 E224 G224">
    <cfRule type="expression" dxfId="3787" priority="195" stopIfTrue="1">
      <formula>IF(#REF!&lt;2,1,IF(#REF!&lt;2,1,0))</formula>
    </cfRule>
  </conditionalFormatting>
  <conditionalFormatting sqref="AC224 AE224 H224 J224">
    <cfRule type="expression" dxfId="3786" priority="196" stopIfTrue="1">
      <formula>IF(#REF!&lt;3,1,IF(#REF!&lt;2,1,0))</formula>
    </cfRule>
  </conditionalFormatting>
  <conditionalFormatting sqref="Y225 B225 D225 W225">
    <cfRule type="expression" dxfId="3785" priority="197" stopIfTrue="1">
      <formula>IF(#REF!&lt;1,1,IF(#REF!&lt;3,1,0))</formula>
    </cfRule>
  </conditionalFormatting>
  <conditionalFormatting sqref="AB225 E225 G225 Z225">
    <cfRule type="expression" dxfId="3784" priority="198" stopIfTrue="1">
      <formula>IF(#REF!&lt;2,1,IF(#REF!&lt;3,1,0))</formula>
    </cfRule>
  </conditionalFormatting>
  <conditionalFormatting sqref="AE225 H225 J225 AC225">
    <cfRule type="expression" dxfId="3783" priority="199" stopIfTrue="1">
      <formula>IF(#REF!&lt;3,1,IF(#REF!&lt;3,1,0))</formula>
    </cfRule>
  </conditionalFormatting>
  <conditionalFormatting sqref="AG24:AP28 AG109:AP113">
    <cfRule type="cellIs" dxfId="3782" priority="200" stopIfTrue="1" operator="notBetween">
      <formula>-9999</formula>
      <formula>9999</formula>
    </cfRule>
  </conditionalFormatting>
  <conditionalFormatting sqref="AC7 AC92">
    <cfRule type="expression" dxfId="3781" priority="201" stopIfTrue="1">
      <formula>IF($AK$11=0,1,0)</formula>
    </cfRule>
  </conditionalFormatting>
  <conditionalFormatting sqref="B18">
    <cfRule type="expression" dxfId="3780" priority="202" stopIfTrue="1">
      <formula>IF($AK$9&gt;0,0,1)</formula>
    </cfRule>
  </conditionalFormatting>
  <conditionalFormatting sqref="B22:D23 B107:D108">
    <cfRule type="cellIs" dxfId="3779" priority="203" stopIfTrue="1" operator="equal">
      <formula>99</formula>
    </cfRule>
  </conditionalFormatting>
  <conditionalFormatting sqref="X226 AA226 C226 F226">
    <cfRule type="expression" dxfId="3778" priority="204" stopIfTrue="1">
      <formula>IF(#REF!&gt;0,0,1)</formula>
    </cfRule>
  </conditionalFormatting>
  <conditionalFormatting sqref="K215">
    <cfRule type="expression" dxfId="3777" priority="4" stopIfTrue="1">
      <formula>IF(#REF!&gt;2,0,1)</formula>
    </cfRule>
  </conditionalFormatting>
  <conditionalFormatting sqref="K215">
    <cfRule type="expression" dxfId="3776" priority="3" stopIfTrue="1">
      <formula>IF(ISNUMBER(K223),0,1)</formula>
    </cfRule>
  </conditionalFormatting>
  <conditionalFormatting sqref="AF215">
    <cfRule type="expression" dxfId="3775" priority="2" stopIfTrue="1">
      <formula>IF(ISNUMBER(AF223),0,1)</formula>
    </cfRule>
  </conditionalFormatting>
  <conditionalFormatting sqref="B103">
    <cfRule type="expression" dxfId="3774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6146" r:id="rId4" name="Pool2RecalcFinish">
          <controlPr defaultSize="0" autoLine="0" r:id="rId5">
            <anchor moveWithCells="1" sizeWithCells="1">
              <from>
                <xdr:col>36</xdr:col>
                <xdr:colOff>95250</xdr:colOff>
                <xdr:row>98</xdr:row>
                <xdr:rowOff>9525</xdr:rowOff>
              </from>
              <to>
                <xdr:col>41</xdr:col>
                <xdr:colOff>209550</xdr:colOff>
                <xdr:row>101</xdr:row>
                <xdr:rowOff>104775</xdr:rowOff>
              </to>
            </anchor>
          </controlPr>
        </control>
      </mc:Choice>
      <mc:Fallback>
        <control shapeId="6146" r:id="rId4" name="Pool2RecalcFinish"/>
      </mc:Fallback>
    </mc:AlternateContent>
    <mc:AlternateContent xmlns:mc="http://schemas.openxmlformats.org/markup-compatibility/2006">
      <mc:Choice Requires="x14">
        <control shapeId="6145" r:id="rId6" name="Pool1RecalcFinish">
          <controlPr defaultSize="0" autoLine="0" r:id="rId7">
            <anchor moveWithCells="1" sizeWithCells="1">
              <from>
                <xdr:col>36</xdr:col>
                <xdr:colOff>95250</xdr:colOff>
                <xdr:row>13</xdr:row>
                <xdr:rowOff>9525</xdr:rowOff>
              </from>
              <to>
                <xdr:col>41</xdr:col>
                <xdr:colOff>209550</xdr:colOff>
                <xdr:row>16</xdr:row>
                <xdr:rowOff>104775</xdr:rowOff>
              </to>
            </anchor>
          </controlPr>
        </control>
      </mc:Choice>
      <mc:Fallback>
        <control shapeId="6145" r:id="rId6" name="Pool1RecalcFinish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indexed="11"/>
  </sheetPr>
  <dimension ref="A1:BY430"/>
  <sheetViews>
    <sheetView topLeftCell="J1" zoomScale="70" zoomScaleNormal="70" workbookViewId="0">
      <selection activeCell="AU17" sqref="AU17:AV19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6" width="13.5703125" style="4" customWidth="1"/>
    <col min="47" max="47" width="24.42578125" style="4" customWidth="1"/>
    <col min="48" max="48" width="16.28515625" style="4" customWidth="1"/>
    <col min="49" max="49" width="14.28515625" style="4" customWidth="1"/>
    <col min="50" max="51" width="10.28515625" style="4" customWidth="1"/>
    <col min="52" max="52" width="25" style="4" customWidth="1"/>
    <col min="53" max="53" width="6" style="4" customWidth="1"/>
    <col min="54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3"/>
      <c r="AW1" s="194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170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 t="s">
        <v>171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172</v>
      </c>
      <c r="AV3" s="15" t="s">
        <v>173</v>
      </c>
      <c r="AW3" s="16">
        <f>VLOOKUP(AV3,Initial!G:K,5,FALSE)</f>
        <v>2232.5282669272556</v>
      </c>
      <c r="AX3" s="17">
        <f t="shared" ref="AX3:AX10" si="0">VLOOKUP(AU3,AT$79:AU$174,2,FALSE)</f>
        <v>2226.9917558737516</v>
      </c>
      <c r="AY3" s="18">
        <f t="shared" ref="AY3:AY10" si="1">IF(ISNA(VLOOKUP(AU3,AT$182:AU$234,2,FALSE)),AX3,VLOOKUP(AU3,AT$182:AU$234,2,FALSE))</f>
        <v>2259.1775396240569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174</v>
      </c>
      <c r="F4" s="210"/>
      <c r="G4" s="210"/>
      <c r="H4" s="210"/>
      <c r="I4" s="210"/>
      <c r="J4" s="210"/>
      <c r="K4" s="210"/>
      <c r="L4" s="210"/>
      <c r="M4" s="211"/>
      <c r="N4" s="206" t="s">
        <v>175</v>
      </c>
      <c r="O4" s="207"/>
      <c r="P4" s="207"/>
      <c r="Q4" s="208"/>
      <c r="R4" s="212" t="s">
        <v>176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177</v>
      </c>
      <c r="AC4" s="207"/>
      <c r="AD4" s="207"/>
      <c r="AE4" s="208"/>
      <c r="AF4" s="407">
        <v>42762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178</v>
      </c>
      <c r="AV4" s="15" t="s">
        <v>179</v>
      </c>
      <c r="AW4" s="16">
        <f>VLOOKUP(AV4,Initial!G:K,5,FALSE)</f>
        <v>2203.6952157273317</v>
      </c>
      <c r="AX4" s="20">
        <f t="shared" si="0"/>
        <v>2198.539024782257</v>
      </c>
      <c r="AY4" s="21">
        <f t="shared" si="1"/>
        <v>2182.5823517948334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180</v>
      </c>
      <c r="AV5" s="15" t="s">
        <v>181</v>
      </c>
      <c r="AW5" s="16">
        <f>VLOOKUP(AV5,Initial!G:K,5,FALSE)</f>
        <v>2200</v>
      </c>
      <c r="AX5" s="20">
        <f t="shared" si="0"/>
        <v>2260.1354067312764</v>
      </c>
      <c r="AY5" s="21">
        <f t="shared" si="1"/>
        <v>2242.6136983678898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182</v>
      </c>
      <c r="AV6" s="15" t="s">
        <v>183</v>
      </c>
      <c r="AW6" s="16">
        <f>VLOOKUP(AV6,Initial!G:K,5,FALSE)</f>
        <v>2200</v>
      </c>
      <c r="AX6" s="20">
        <f t="shared" si="0"/>
        <v>2174.7832696995929</v>
      </c>
      <c r="AY6" s="21">
        <f t="shared" si="1"/>
        <v>2189.6243126686718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Matches Won</v>
      </c>
      <c r="M7" s="255"/>
      <c r="N7" s="255"/>
      <c r="O7" s="255"/>
      <c r="P7" s="255"/>
      <c r="Q7" s="256"/>
      <c r="R7" s="254" t="str">
        <f>IF($AK10=0,"Games Lost","Matches Lost")</f>
        <v>Matches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3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184</v>
      </c>
      <c r="AV7" s="15" t="s">
        <v>185</v>
      </c>
      <c r="AW7" s="16">
        <f>VLOOKUP(AV7,Initial!G:K,5,FALSE)</f>
        <v>2138.2377521954518</v>
      </c>
      <c r="AX7" s="20">
        <f t="shared" si="0"/>
        <v>2199.479861205919</v>
      </c>
      <c r="AY7" s="21">
        <f t="shared" si="1"/>
        <v>2200.7724588064239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MBVC 14 Black Randy</v>
      </c>
      <c r="F8" s="233"/>
      <c r="G8" s="233"/>
      <c r="H8" s="233"/>
      <c r="I8" s="233"/>
      <c r="J8" s="233"/>
      <c r="K8" s="234"/>
      <c r="L8" s="235">
        <f>IF($AK10=0,AF64,AF46)</f>
        <v>2</v>
      </c>
      <c r="M8" s="236"/>
      <c r="N8" s="236"/>
      <c r="O8" s="236"/>
      <c r="P8" s="236"/>
      <c r="Q8" s="256"/>
      <c r="R8" s="235">
        <f>IF($AK10=0,AG64,AG46)</f>
        <v>1</v>
      </c>
      <c r="S8" s="236"/>
      <c r="T8" s="236"/>
      <c r="U8" s="236"/>
      <c r="V8" s="236"/>
      <c r="W8" s="235">
        <f>AQ24</f>
        <v>34</v>
      </c>
      <c r="X8" s="236"/>
      <c r="Y8" s="236"/>
      <c r="Z8" s="239">
        <f>IF(AF58&gt;0,(AQ24/AF58),0)</f>
        <v>0.18888888888888888</v>
      </c>
      <c r="AA8" s="240"/>
      <c r="AB8" s="240"/>
      <c r="AC8" s="262">
        <f>IF(AF72=0,0,(AF64/AF72))</f>
        <v>0.625</v>
      </c>
      <c r="AD8" s="263"/>
      <c r="AE8" s="264"/>
      <c r="AF8" s="268">
        <v>2</v>
      </c>
      <c r="AG8" s="268">
        <v>1</v>
      </c>
      <c r="AH8" s="270">
        <v>1</v>
      </c>
      <c r="AI8" s="271"/>
      <c r="AJ8" s="27"/>
      <c r="AK8" s="28">
        <v>6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186</v>
      </c>
      <c r="AV8" s="15" t="s">
        <v>187</v>
      </c>
      <c r="AW8" s="16">
        <f>VLOOKUP(AV8,Initial!G:K,5,FALSE)</f>
        <v>2014.4481187300305</v>
      </c>
      <c r="AX8" s="20">
        <f t="shared" si="0"/>
        <v>1994.0183521730664</v>
      </c>
      <c r="AY8" s="21">
        <f t="shared" si="1"/>
        <v>1996.7557391443099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fj4mbeac1pm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4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188</v>
      </c>
      <c r="AV9" s="15" t="s">
        <v>189</v>
      </c>
      <c r="AW9" s="16">
        <f>VLOOKUP(AV9,Initial!G:K,5,FALSE)</f>
        <v>1965.4518951526236</v>
      </c>
      <c r="AX9" s="20">
        <f t="shared" si="0"/>
        <v>1930.9024459233858</v>
      </c>
      <c r="AY9" s="21">
        <f t="shared" si="1"/>
        <v>1924.5920646598336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Upward Stars 15 Erin</v>
      </c>
      <c r="F10" s="233"/>
      <c r="G10" s="233"/>
      <c r="H10" s="233"/>
      <c r="I10" s="233"/>
      <c r="J10" s="233"/>
      <c r="K10" s="234"/>
      <c r="L10" s="235">
        <f>IF($AK10=0,AF65,AF47)</f>
        <v>1</v>
      </c>
      <c r="M10" s="236"/>
      <c r="N10" s="236"/>
      <c r="O10" s="236"/>
      <c r="P10" s="236"/>
      <c r="Q10" s="256"/>
      <c r="R10" s="235">
        <f>IF($AK10=0,AG65,AG47)</f>
        <v>2</v>
      </c>
      <c r="S10" s="236"/>
      <c r="T10" s="236"/>
      <c r="U10" s="236"/>
      <c r="V10" s="236"/>
      <c r="W10" s="235">
        <f>AQ25</f>
        <v>16</v>
      </c>
      <c r="X10" s="236"/>
      <c r="Y10" s="236"/>
      <c r="Z10" s="239">
        <f>IF(AF59&gt;0,(AQ25/AF59),0)</f>
        <v>8.8888888888888892E-2</v>
      </c>
      <c r="AA10" s="240"/>
      <c r="AB10" s="240"/>
      <c r="AC10" s="262">
        <f>IF(AF73=0,0,(AF65/AF73))</f>
        <v>0.5</v>
      </c>
      <c r="AD10" s="263"/>
      <c r="AE10" s="264"/>
      <c r="AF10" s="268">
        <v>3</v>
      </c>
      <c r="AG10" s="268">
        <v>1</v>
      </c>
      <c r="AH10" s="270">
        <v>5</v>
      </c>
      <c r="AI10" s="271"/>
      <c r="AJ10" s="27"/>
      <c r="AK10" s="28">
        <v>1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190</v>
      </c>
      <c r="AV10" s="15" t="s">
        <v>191</v>
      </c>
      <c r="AW10" s="16">
        <f>VLOOKUP(AV10,Initial!G:K,5,FALSE)</f>
        <v>1918.5906334054932</v>
      </c>
      <c r="AX10" s="20">
        <f t="shared" si="0"/>
        <v>1888.1017657489374</v>
      </c>
      <c r="AY10" s="21">
        <f t="shared" si="1"/>
        <v>1876.833717072167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fj5upwrd4pm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32"/>
      <c r="AU11" s="133"/>
      <c r="AV11" s="134"/>
      <c r="AW11" s="135"/>
      <c r="AX11" s="136"/>
      <c r="AY11" s="137"/>
    </row>
    <row r="12" spans="1:53" ht="18.75" customHeight="1" thickBot="1" x14ac:dyDescent="0.25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Carolina Express 15</v>
      </c>
      <c r="F12" s="233"/>
      <c r="G12" s="233"/>
      <c r="H12" s="233"/>
      <c r="I12" s="233"/>
      <c r="J12" s="233"/>
      <c r="K12" s="234"/>
      <c r="L12" s="235">
        <f>IF($AK10=0,AF66,AF48)</f>
        <v>3</v>
      </c>
      <c r="M12" s="236"/>
      <c r="N12" s="236"/>
      <c r="O12" s="236"/>
      <c r="P12" s="236"/>
      <c r="Q12" s="256"/>
      <c r="R12" s="235">
        <f>IF($AK10=0,AG66,AG48)</f>
        <v>0</v>
      </c>
      <c r="S12" s="236"/>
      <c r="T12" s="236"/>
      <c r="U12" s="236"/>
      <c r="V12" s="236"/>
      <c r="W12" s="235">
        <f>AQ26</f>
        <v>34</v>
      </c>
      <c r="X12" s="236"/>
      <c r="Y12" s="236"/>
      <c r="Z12" s="239">
        <f>IF(AF60&gt;0,(AQ26/AF60),0)</f>
        <v>0.18888888888888888</v>
      </c>
      <c r="AA12" s="240"/>
      <c r="AB12" s="240"/>
      <c r="AC12" s="262">
        <f>IF(AF74=0,0,(AF66/AF74))</f>
        <v>0.75</v>
      </c>
      <c r="AD12" s="263"/>
      <c r="AE12" s="264"/>
      <c r="AF12" s="268">
        <v>1</v>
      </c>
      <c r="AG12" s="268">
        <v>1</v>
      </c>
      <c r="AH12" s="270">
        <v>2</v>
      </c>
      <c r="AI12" s="271"/>
      <c r="AJ12" s="31"/>
      <c r="AK12" s="28">
        <v>3</v>
      </c>
      <c r="AL12" s="32" t="s">
        <v>61</v>
      </c>
      <c r="AM12" s="29"/>
      <c r="AN12" s="29"/>
      <c r="AO12" s="29"/>
      <c r="AP12" s="29"/>
      <c r="AQ12" s="29"/>
      <c r="AR12" s="30"/>
      <c r="AT12" s="138"/>
      <c r="AU12" s="139"/>
      <c r="AV12" s="140"/>
      <c r="AW12" s="141"/>
      <c r="AX12" s="142"/>
      <c r="AY12" s="143"/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fj5196891pm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39" t="s">
        <v>64</v>
      </c>
      <c r="AU13" s="340"/>
      <c r="AV13" s="340"/>
      <c r="AW13" s="340"/>
      <c r="AX13" s="340"/>
      <c r="AY13" s="341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SC Midlands 15 Black</v>
      </c>
      <c r="F14" s="233"/>
      <c r="G14" s="233"/>
      <c r="H14" s="233"/>
      <c r="I14" s="233"/>
      <c r="J14" s="233"/>
      <c r="K14" s="234"/>
      <c r="L14" s="235">
        <f>IF($AK10=0,AF67,AF49)</f>
        <v>0</v>
      </c>
      <c r="M14" s="236"/>
      <c r="N14" s="236"/>
      <c r="O14" s="236"/>
      <c r="P14" s="236"/>
      <c r="Q14" s="256"/>
      <c r="R14" s="235">
        <f>IF($AK10=0,AG67,AG49)</f>
        <v>3</v>
      </c>
      <c r="S14" s="236"/>
      <c r="T14" s="236"/>
      <c r="U14" s="236"/>
      <c r="V14" s="236"/>
      <c r="W14" s="235">
        <f>AQ27</f>
        <v>-84</v>
      </c>
      <c r="X14" s="236"/>
      <c r="Y14" s="236"/>
      <c r="Z14" s="239">
        <f>IF(AF61&gt;0,(AQ27/AF61),0)</f>
        <v>-0.56000000000000005</v>
      </c>
      <c r="AA14" s="240"/>
      <c r="AB14" s="240"/>
      <c r="AC14" s="262">
        <f>IF(AF75=0,0,(AF67/AF75))</f>
        <v>0</v>
      </c>
      <c r="AD14" s="263"/>
      <c r="AE14" s="264"/>
      <c r="AF14" s="268">
        <v>4</v>
      </c>
      <c r="AG14" s="268">
        <v>1</v>
      </c>
      <c r="AH14" s="270">
        <v>7</v>
      </c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42"/>
      <c r="AU14" s="343"/>
      <c r="AV14" s="343"/>
      <c r="AW14" s="343"/>
      <c r="AX14" s="343"/>
      <c r="AY14" s="344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fj5scmid3pm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</row>
    <row r="16" spans="1:53" ht="18.75" customHeight="1" thickBot="1" x14ac:dyDescent="0.25">
      <c r="A16" s="227" t="str">
        <f>IF($AK9&gt;4,"5","")</f>
        <v/>
      </c>
      <c r="B16" s="286" t="s">
        <v>10</v>
      </c>
      <c r="C16" s="287"/>
      <c r="D16" s="287"/>
      <c r="E16" s="232">
        <f>AU11</f>
        <v>0</v>
      </c>
      <c r="F16" s="233"/>
      <c r="G16" s="233"/>
      <c r="H16" s="233"/>
      <c r="I16" s="233"/>
      <c r="J16" s="233"/>
      <c r="K16" s="234"/>
      <c r="L16" s="235">
        <f>IF($AK10=0,AF68,AF50)</f>
        <v>0</v>
      </c>
      <c r="M16" s="236"/>
      <c r="N16" s="236"/>
      <c r="O16" s="236"/>
      <c r="P16" s="236"/>
      <c r="Q16" s="256"/>
      <c r="R16" s="235">
        <f>IF($AK10=0,AG68,AG50)</f>
        <v>0</v>
      </c>
      <c r="S16" s="236"/>
      <c r="T16" s="236"/>
      <c r="U16" s="236"/>
      <c r="V16" s="236"/>
      <c r="W16" s="235">
        <f>AQ28</f>
        <v>0</v>
      </c>
      <c r="X16" s="236"/>
      <c r="Y16" s="236"/>
      <c r="Z16" s="239">
        <f>IF(AF62&gt;0,(AQ28/AF62),0)</f>
        <v>0</v>
      </c>
      <c r="AA16" s="240"/>
      <c r="AB16" s="240"/>
      <c r="AC16" s="262">
        <f>IF(AF76=0,0,(AF68/AF76))</f>
        <v>0</v>
      </c>
      <c r="AD16" s="263"/>
      <c r="AE16" s="264"/>
      <c r="AF16" s="268"/>
      <c r="AG16" s="268"/>
      <c r="AH16" s="270"/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S16" s="39"/>
      <c r="AT16" s="38"/>
      <c r="AU16" s="38"/>
    </row>
    <row r="17" spans="1:48" ht="18.75" customHeight="1" thickBot="1" x14ac:dyDescent="0.25">
      <c r="A17" s="228"/>
      <c r="B17" s="296" t="s">
        <v>11</v>
      </c>
      <c r="C17" s="297"/>
      <c r="D17" s="297"/>
      <c r="E17" s="410">
        <f>AV11</f>
        <v>0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S17" s="39"/>
      <c r="AT17" s="38"/>
      <c r="AU17" s="15"/>
      <c r="AV17" s="15"/>
    </row>
    <row r="18" spans="1:48" ht="21" customHeight="1" thickTop="1" thickBot="1" x14ac:dyDescent="0.25">
      <c r="A18" s="40"/>
      <c r="B18" s="305" t="s">
        <v>192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S18" s="39"/>
      <c r="AT18" s="38"/>
      <c r="AU18" s="15"/>
      <c r="AV18" s="15"/>
    </row>
    <row r="19" spans="1:48" ht="13.5" customHeight="1" thickTop="1" thickBot="1" x14ac:dyDescent="0.25">
      <c r="A19" s="4" t="s">
        <v>66</v>
      </c>
      <c r="B19" s="308">
        <v>25</v>
      </c>
      <c r="C19" s="309"/>
      <c r="D19" s="310"/>
      <c r="E19" s="308">
        <v>0.39583333333333331</v>
      </c>
      <c r="F19" s="309"/>
      <c r="G19" s="310"/>
      <c r="H19" s="308">
        <v>0.4375</v>
      </c>
      <c r="I19" s="309"/>
      <c r="J19" s="310"/>
      <c r="K19" s="308">
        <v>0.5</v>
      </c>
      <c r="L19" s="309"/>
      <c r="M19" s="310"/>
      <c r="N19" s="308">
        <v>4.1666666666666664E-2</v>
      </c>
      <c r="O19" s="309"/>
      <c r="P19" s="310"/>
      <c r="Q19" s="308">
        <v>8.3333333333333329E-2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S19" s="39"/>
      <c r="AT19" s="38"/>
      <c r="AU19" s="15"/>
      <c r="AV19" s="15"/>
    </row>
    <row r="20" spans="1:48" x14ac:dyDescent="0.2">
      <c r="A20" s="41" t="s">
        <v>68</v>
      </c>
      <c r="B20" s="319">
        <v>25</v>
      </c>
      <c r="C20" s="320"/>
      <c r="D20" s="321"/>
      <c r="E20" s="319"/>
      <c r="F20" s="320"/>
      <c r="G20" s="321"/>
      <c r="H20" s="319"/>
      <c r="I20" s="320"/>
      <c r="J20" s="321"/>
      <c r="K20" s="319"/>
      <c r="L20" s="320"/>
      <c r="M20" s="321"/>
      <c r="N20" s="319"/>
      <c r="O20" s="320"/>
      <c r="P20" s="321"/>
      <c r="Q20" s="319"/>
      <c r="R20" s="320"/>
      <c r="S20" s="321"/>
      <c r="T20" s="319"/>
      <c r="U20" s="320"/>
      <c r="V20" s="321"/>
      <c r="W20" s="319"/>
      <c r="X20" s="320"/>
      <c r="Y20" s="321"/>
      <c r="Z20" s="319"/>
      <c r="AA20" s="320"/>
      <c r="AB20" s="321"/>
      <c r="AC20" s="319"/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S20" s="39"/>
      <c r="AT20" s="38"/>
      <c r="AU20" s="38"/>
    </row>
    <row r="21" spans="1:48" x14ac:dyDescent="0.2">
      <c r="A21" s="41" t="s">
        <v>69</v>
      </c>
      <c r="B21" s="319"/>
      <c r="C21" s="320"/>
      <c r="D21" s="321"/>
      <c r="E21" s="319"/>
      <c r="F21" s="320"/>
      <c r="G21" s="321"/>
      <c r="H21" s="319"/>
      <c r="I21" s="320"/>
      <c r="J21" s="321"/>
      <c r="K21" s="319"/>
      <c r="L21" s="320"/>
      <c r="M21" s="321"/>
      <c r="N21" s="319"/>
      <c r="O21" s="320"/>
      <c r="P21" s="321"/>
      <c r="Q21" s="319"/>
      <c r="R21" s="320"/>
      <c r="S21" s="321"/>
      <c r="T21" s="319"/>
      <c r="U21" s="320"/>
      <c r="V21" s="321"/>
      <c r="W21" s="319"/>
      <c r="X21" s="320"/>
      <c r="Y21" s="321"/>
      <c r="Z21" s="319"/>
      <c r="AA21" s="320"/>
      <c r="AB21" s="321"/>
      <c r="AC21" s="319"/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S21" s="6"/>
      <c r="AT21" s="6"/>
      <c r="AU21" s="6"/>
    </row>
    <row r="22" spans="1:48" ht="13.5" thickBot="1" x14ac:dyDescent="0.25">
      <c r="A22" s="7"/>
      <c r="B22" s="322" t="s">
        <v>70</v>
      </c>
      <c r="C22" s="323"/>
      <c r="D22" s="324"/>
      <c r="E22" s="322" t="str">
        <f>IF(AK8&gt;1,"Match 2","")</f>
        <v>Match 2</v>
      </c>
      <c r="F22" s="323"/>
      <c r="G22" s="324"/>
      <c r="H22" s="322" t="str">
        <f>IF(AK8&gt;2,"Match 3","")</f>
        <v>Match 3</v>
      </c>
      <c r="I22" s="323"/>
      <c r="J22" s="324"/>
      <c r="K22" s="322" t="str">
        <f>IF(AK8&gt;3,"Match 4","")</f>
        <v>Match 4</v>
      </c>
      <c r="L22" s="323"/>
      <c r="M22" s="324"/>
      <c r="N22" s="322" t="str">
        <f>IF(AK8&gt;4,"Match 5","")</f>
        <v>Match 5</v>
      </c>
      <c r="O22" s="323"/>
      <c r="P22" s="324"/>
      <c r="Q22" s="322" t="str">
        <f>IF(AK8&gt;5,"Match 6","")</f>
        <v>Match 6</v>
      </c>
      <c r="R22" s="323"/>
      <c r="S22" s="324"/>
      <c r="T22" s="322" t="str">
        <f>IF(AK8&gt;6,"Match 7","")</f>
        <v/>
      </c>
      <c r="U22" s="323"/>
      <c r="V22" s="324"/>
      <c r="W22" s="322" t="str">
        <f>IF(AK8&gt;7,"Match 8","")</f>
        <v/>
      </c>
      <c r="X22" s="323"/>
      <c r="Y22" s="324"/>
      <c r="Z22" s="322" t="str">
        <f>IF(AK8&gt;8,"Match 9","")</f>
        <v/>
      </c>
      <c r="AA22" s="323"/>
      <c r="AB22" s="324"/>
      <c r="AC22" s="322" t="str">
        <f>IF(AK8&gt;9,"Match 10","")</f>
        <v/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S22" s="39"/>
      <c r="AT22" s="38"/>
      <c r="AU22" s="38"/>
    </row>
    <row r="23" spans="1:48" ht="15.75" x14ac:dyDescent="0.25">
      <c r="A23" s="7"/>
      <c r="B23" s="325" t="s">
        <v>73</v>
      </c>
      <c r="C23" s="326"/>
      <c r="D23" s="327"/>
      <c r="E23" s="325" t="s">
        <v>75</v>
      </c>
      <c r="F23" s="326"/>
      <c r="G23" s="327"/>
      <c r="H23" s="325" t="s">
        <v>72</v>
      </c>
      <c r="I23" s="326"/>
      <c r="J23" s="327"/>
      <c r="K23" s="325" t="s">
        <v>71</v>
      </c>
      <c r="L23" s="326"/>
      <c r="M23" s="327"/>
      <c r="N23" s="325" t="s">
        <v>75</v>
      </c>
      <c r="O23" s="326"/>
      <c r="P23" s="327"/>
      <c r="Q23" s="325" t="s">
        <v>72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197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S23" s="144"/>
      <c r="AT23" s="38"/>
      <c r="AU23" s="38"/>
    </row>
    <row r="24" spans="1:48" ht="15.75" x14ac:dyDescent="0.25">
      <c r="A24" s="7"/>
      <c r="B24" s="45">
        <v>2</v>
      </c>
      <c r="C24" s="46" t="s">
        <v>78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>
        <v>2</v>
      </c>
      <c r="U24" s="46" t="str">
        <f>IF(AK8&gt;6,"v","")</f>
        <v/>
      </c>
      <c r="V24" s="47">
        <v>3</v>
      </c>
      <c r="W24" s="45">
        <v>1</v>
      </c>
      <c r="X24" s="46" t="str">
        <f>IF(AK8&gt;7,"v","")</f>
        <v/>
      </c>
      <c r="Y24" s="47">
        <v>5</v>
      </c>
      <c r="Z24" s="45">
        <v>3</v>
      </c>
      <c r="AA24" s="46" t="str">
        <f>IF(AK8&gt;8,"v","")</f>
        <v/>
      </c>
      <c r="AB24" s="47">
        <v>4</v>
      </c>
      <c r="AC24" s="45">
        <v>1</v>
      </c>
      <c r="AD24" s="46" t="str">
        <f>IF(AK8&gt;9,"v","")</f>
        <v/>
      </c>
      <c r="AE24" s="47">
        <v>2</v>
      </c>
      <c r="AF24" s="42" t="str">
        <f>IF(AK9&gt;0,"Team 1","")</f>
        <v>Team 1</v>
      </c>
      <c r="AG24" s="48" t="str">
        <f>IF(AK9&lt;1,"",IF(AK8&lt;1,"",IF(B24=1,B30-D30,IF(D24=1,D30-B30,""))))</f>
        <v/>
      </c>
      <c r="AH24" s="48">
        <f>IF(AK9&lt;1,"",IF(AK8&lt;2,"",IF(E24=1,E30-G30,IF(G24=1,G30-E30,""))))</f>
        <v>30</v>
      </c>
      <c r="AI24" s="48" t="str">
        <f>IF(AK9&lt;1,"",IF(AK8&lt;3,"",IF(H24=1,H30-J30,IF(J24=1,J30-H30,""))))</f>
        <v/>
      </c>
      <c r="AJ24" s="48">
        <f>IF(AK9&lt;1,"",IF(AK8&lt;4,"",IF(K24=1,K30-M30,IF(M24=1,M30-K30,""))))</f>
        <v>-1</v>
      </c>
      <c r="AK24" s="48" t="str">
        <f>IF(AK9&lt;1,"",IF(AK8&lt;5,"",IF(N24=1,N30-P30,IF(P24=1,P30-N30,""))))</f>
        <v/>
      </c>
      <c r="AL24" s="48">
        <f>IF(AK9&lt;1,"",IF(AK8&lt;6,"",IF(Q24=1,Q30-S30,IF(S24=1,S30-Q30,""))))</f>
        <v>5</v>
      </c>
      <c r="AM24" s="48" t="str">
        <f>IF(AK9&lt;1,"",IF(AK8&lt;7,"",IF(T24=1,T30-V30,IF(V24=1,V30-T30,""))))</f>
        <v/>
      </c>
      <c r="AN24" s="48" t="str">
        <f>IF(AK9&lt;1,"",IF(AK8&lt;8,"",IF(W24=1,W30-Y30,IF(Y24=1,Y30-W30,""))))</f>
        <v/>
      </c>
      <c r="AO24" s="48" t="str">
        <f>IF(AK9&lt;1,"",IF(AK8&lt;9,"",IF(Z24=1,Z30-AB30,IF(AB24=1,AB30-Z30,""))))</f>
        <v/>
      </c>
      <c r="AP24" s="48" t="str">
        <f>IF(AK9&lt;1,"",IF(AK8&lt;10,"",IF(AC24=1,AC30-AE30,IF(AE24=1,AE30-AC30,""))))</f>
        <v/>
      </c>
      <c r="AQ24" s="44">
        <f>SUM(AG24:AP24)</f>
        <v>34</v>
      </c>
      <c r="AS24" s="144"/>
      <c r="AT24" s="38"/>
      <c r="AU24" s="38"/>
    </row>
    <row r="25" spans="1:48" ht="15" x14ac:dyDescent="0.2">
      <c r="A25" s="4" t="s">
        <v>79</v>
      </c>
      <c r="B25" s="49">
        <v>20</v>
      </c>
      <c r="C25" s="50" t="s">
        <v>80</v>
      </c>
      <c r="D25" s="51">
        <v>25</v>
      </c>
      <c r="E25" s="49">
        <v>25</v>
      </c>
      <c r="F25" s="50" t="str">
        <f>IF(AK8&gt;1,"/","")</f>
        <v>/</v>
      </c>
      <c r="G25" s="51">
        <v>13</v>
      </c>
      <c r="H25" s="49">
        <v>25</v>
      </c>
      <c r="I25" s="50" t="str">
        <f>IF(AK8&gt;2,"/","")</f>
        <v>/</v>
      </c>
      <c r="J25" s="51">
        <v>11</v>
      </c>
      <c r="K25" s="49">
        <v>25</v>
      </c>
      <c r="L25" s="50" t="str">
        <f>IF(AK8&gt;3,"/","")</f>
        <v>/</v>
      </c>
      <c r="M25" s="51">
        <v>15</v>
      </c>
      <c r="N25" s="49">
        <v>25</v>
      </c>
      <c r="O25" s="50" t="str">
        <f>IF(AK8&gt;4,"/","")</f>
        <v>/</v>
      </c>
      <c r="P25" s="51">
        <v>9</v>
      </c>
      <c r="Q25" s="49">
        <v>23</v>
      </c>
      <c r="R25" s="50" t="str">
        <f>IF(AK8&gt;5,"/","")</f>
        <v>/</v>
      </c>
      <c r="S25" s="51">
        <v>25</v>
      </c>
      <c r="T25" s="49"/>
      <c r="U25" s="50" t="str">
        <f>IF(AK8&gt;6,"/","")</f>
        <v/>
      </c>
      <c r="V25" s="51"/>
      <c r="W25" s="49"/>
      <c r="X25" s="50" t="str">
        <f>IF(AK8&gt;7,"/","")</f>
        <v/>
      </c>
      <c r="Y25" s="51"/>
      <c r="Z25" s="49"/>
      <c r="AA25" s="50" t="str">
        <f>IF(AK8&gt;8,"/","")</f>
        <v/>
      </c>
      <c r="AB25" s="51"/>
      <c r="AC25" s="49"/>
      <c r="AD25" s="50" t="str">
        <f>IF(AK8&gt;9,"/","")</f>
        <v/>
      </c>
      <c r="AE25" s="51"/>
      <c r="AF25" s="42" t="str">
        <f>IF(AK9&gt;1,"Team 2","")</f>
        <v>Team 2</v>
      </c>
      <c r="AG25" s="48">
        <f>IF(AK9&lt;2,"",IF(AK8&lt;1,"",IF(B24=2,B30-D30,IF(D24=2,D30-B30,""))))</f>
        <v>-4</v>
      </c>
      <c r="AH25" s="48" t="str">
        <f>IF(AK9&lt;2,"",IF(AK8&lt;2,"",IF(E24=2,E30-G30,IF(G24=2,G30-E30,""))))</f>
        <v/>
      </c>
      <c r="AI25" s="48">
        <f>IF(AK9&lt;2,"",IF(AK8&lt;3,"",IF(H24=2,H30-J30,IF(J24=2,J30-H30,""))))</f>
        <v>25</v>
      </c>
      <c r="AJ25" s="48" t="str">
        <f>IF(AK9&lt;2,"",IF(AK8&lt;4,"",IF(K24=2,K30-M30,IF(M24=2,M30-K30,""))))</f>
        <v/>
      </c>
      <c r="AK25" s="48" t="str">
        <f>IF(AK9&lt;2,"",IF(AK8&lt;5,"",IF(N24=2,N30-P30,IF(P24=2,P30-N30,""))))</f>
        <v/>
      </c>
      <c r="AL25" s="48">
        <f>IF(AK9&lt;2,"",IF(AK8&lt;6,"",IF(Q24=2,Q30-S30,IF(S24=2,S30-Q30,""))))</f>
        <v>-5</v>
      </c>
      <c r="AM25" s="48" t="str">
        <f>IF(AK9&lt;2,"",IF(AK8&lt;7,"",IF(T24=2,T30-V30,IF(V24=2,V30-T30,""))))</f>
        <v/>
      </c>
      <c r="AN25" s="48" t="str">
        <f>IF(AK9&lt;2,"",IF(AK8&lt;8,"",IF(W24=2,W30-Y30,IF(Y24=2,Y30-W30,""))))</f>
        <v/>
      </c>
      <c r="AO25" s="48" t="str">
        <f>IF(AK9&lt;2,"",IF(AK8&lt;9,"",IF(Z24=2,Z30-AB30,IF(AB24=2,AB30-Z30,""))))</f>
        <v/>
      </c>
      <c r="AP25" s="48" t="str">
        <f>IF(AK9&lt;2,"",IF(AK8&lt;10,"",IF(AC24=2,AC30-AE30,IF(AE24=2,AE30-AC30,""))))</f>
        <v/>
      </c>
      <c r="AQ25" s="44">
        <f>SUM(AG25:AP25)</f>
        <v>16</v>
      </c>
    </row>
    <row r="26" spans="1:48" ht="15" x14ac:dyDescent="0.2">
      <c r="A26" s="3" t="str">
        <f>IF(AK7&gt;1,"Game 2","")</f>
        <v>Game 2</v>
      </c>
      <c r="B26" s="49">
        <v>25</v>
      </c>
      <c r="C26" s="50" t="s">
        <v>80</v>
      </c>
      <c r="D26" s="51">
        <v>20</v>
      </c>
      <c r="E26" s="49">
        <v>25</v>
      </c>
      <c r="F26" s="50" t="str">
        <f>IF(AK8&gt;1,IF(AK7&gt;1,"/",""),"")</f>
        <v>/</v>
      </c>
      <c r="G26" s="51">
        <v>7</v>
      </c>
      <c r="H26" s="49">
        <v>25</v>
      </c>
      <c r="I26" s="50" t="str">
        <f>IF(AK8&gt;2,IF(AK7&gt;1,"/",""),"")</f>
        <v>/</v>
      </c>
      <c r="J26" s="51">
        <v>14</v>
      </c>
      <c r="K26" s="49">
        <v>18</v>
      </c>
      <c r="L26" s="50" t="str">
        <f>IF(AK8&gt;3,IF(AK7&gt;1,"/",""),"")</f>
        <v>/</v>
      </c>
      <c r="M26" s="51">
        <v>25</v>
      </c>
      <c r="N26" s="49">
        <v>25</v>
      </c>
      <c r="O26" s="50" t="str">
        <f>IF(AK8&gt;4,IF(AK7&gt;1,"/",""),"")</f>
        <v>/</v>
      </c>
      <c r="P26" s="51">
        <v>12</v>
      </c>
      <c r="Q26" s="49">
        <v>25</v>
      </c>
      <c r="R26" s="50" t="str">
        <f>IF(AK8&gt;5,IF(AK7&gt;1,"/",""),"")</f>
        <v>/</v>
      </c>
      <c r="S26" s="51">
        <v>20</v>
      </c>
      <c r="T26" s="49"/>
      <c r="U26" s="50" t="str">
        <f>IF(AK8&gt;6,IF(AK7&gt;1,"/",""),"")</f>
        <v/>
      </c>
      <c r="V26" s="51"/>
      <c r="W26" s="49"/>
      <c r="X26" s="50" t="str">
        <f>IF(AK8&gt;7,IF(AK7&gt;1,"/",""),"")</f>
        <v/>
      </c>
      <c r="Y26" s="51"/>
      <c r="Z26" s="49"/>
      <c r="AA26" s="50" t="str">
        <f>IF(AK8&gt;8,IF(AK7&gt;1,"/",""),"")</f>
        <v/>
      </c>
      <c r="AB26" s="51"/>
      <c r="AC26" s="49"/>
      <c r="AD26" s="50" t="str">
        <f>IF(AK8&gt;9,IF(AK7&gt;1,"/",""),"")</f>
        <v/>
      </c>
      <c r="AE26" s="51"/>
      <c r="AF26" s="42" t="str">
        <f>IF(AK9&gt;2,"Team 3","")</f>
        <v>Team 3</v>
      </c>
      <c r="AG26" s="48">
        <f>IF(AK9&lt;3,"",IF(AK8&lt;1,"",IF(B24=3,B30-D30,IF(D24=3,D30-B30,""))))</f>
        <v>4</v>
      </c>
      <c r="AH26" s="48" t="str">
        <f>IF(AK9&lt;3,"",IF(AK8&lt;2,"",IF(E24=3,E30-G30,IF(G24=3,G30-E30,""))))</f>
        <v/>
      </c>
      <c r="AI26" s="48" t="str">
        <f>IF(AK9&lt;3,"",IF(AK8&lt;3,"",IF(H24=3,H30-J30,IF(J24=3,J30-H30,""))))</f>
        <v/>
      </c>
      <c r="AJ26" s="48">
        <f>IF(AK9&lt;3,"",IF(AK8&lt;4,"",IF(K24=3,K30-M30,IF(M24=3,M30-K30,""))))</f>
        <v>1</v>
      </c>
      <c r="AK26" s="48">
        <f>IF(AK9&lt;3,"",IF(AK8&lt;5,"",IF(N24=3,N30-P30,IF(P24=3,P30-N30,""))))</f>
        <v>29</v>
      </c>
      <c r="AL26" s="48" t="str">
        <f>IF(AK9&lt;3,"",IF(AK8&lt;6,"",IF(Q24=3,Q30-S30,IF(S24=3,S30-Q30,""))))</f>
        <v/>
      </c>
      <c r="AM26" s="48" t="str">
        <f>IF(AK9&lt;3,"",IF(AK8&lt;7,"",IF(T24=3,T30-V30,IF(V24=3,V30-T30,""))))</f>
        <v/>
      </c>
      <c r="AN26" s="48" t="str">
        <f>IF(AK9&lt;3,"",IF(AK8&lt;8,"",IF(W24=3,W30-Y30,IF(Y24=3,Y30-W30,""))))</f>
        <v/>
      </c>
      <c r="AO26" s="48" t="str">
        <f>IF(AK9&lt;3,"",IF(AK8&lt;9,"",IF(Z24=3,Z30-AB30,IF(AB24=3,AB30-Z30,""))))</f>
        <v/>
      </c>
      <c r="AP26" s="48" t="str">
        <f>IF(AK9&lt;3,"",IF(AK8&lt;9,"",IF(AC24=3,AC30-AE30,IF(AE24=3,AE30-AC30,""))))</f>
        <v/>
      </c>
      <c r="AQ26" s="44">
        <f>SUM(AG26:AP26)</f>
        <v>34</v>
      </c>
    </row>
    <row r="27" spans="1:48" ht="15" x14ac:dyDescent="0.2">
      <c r="A27" s="3" t="str">
        <f>IF(AK7&gt;2,"Game 3","")</f>
        <v>Game 3</v>
      </c>
      <c r="B27" s="49">
        <v>11</v>
      </c>
      <c r="C27" s="50" t="s">
        <v>80</v>
      </c>
      <c r="D27" s="51">
        <v>15</v>
      </c>
      <c r="E27" s="49"/>
      <c r="F27" s="50" t="str">
        <f>IF(AK8&gt;1,IF(AK7&gt;2,"/",""),"")</f>
        <v>/</v>
      </c>
      <c r="G27" s="51"/>
      <c r="H27" s="49"/>
      <c r="I27" s="50" t="str">
        <f>IF(AK8&gt;2,IF(AK7&gt;2,"/",""),"")</f>
        <v>/</v>
      </c>
      <c r="J27" s="51"/>
      <c r="K27" s="49">
        <v>11</v>
      </c>
      <c r="L27" s="50" t="str">
        <f>IF(AK8&gt;3,IF(AK7&gt;2,"/",""),"")</f>
        <v>/</v>
      </c>
      <c r="M27" s="51">
        <v>15</v>
      </c>
      <c r="N27" s="49"/>
      <c r="O27" s="50" t="str">
        <f>IF(AK8&gt;4,IF(AK7&gt;2,"/",""),"")</f>
        <v>/</v>
      </c>
      <c r="P27" s="51"/>
      <c r="Q27" s="49">
        <v>15</v>
      </c>
      <c r="R27" s="50" t="str">
        <f>IF(AK8&gt;5,IF(AK7&gt;2,"/",""),"")</f>
        <v>/</v>
      </c>
      <c r="S27" s="51">
        <v>13</v>
      </c>
      <c r="T27" s="49"/>
      <c r="U27" s="50" t="str">
        <f>IF(AK8&gt;6,IF(AK7&gt;2,"/",""),"")</f>
        <v/>
      </c>
      <c r="V27" s="51"/>
      <c r="W27" s="49"/>
      <c r="X27" s="50" t="str">
        <f>IF(AK8&gt;7,IF(AK7&gt;2,"/",""),"")</f>
        <v/>
      </c>
      <c r="Y27" s="51"/>
      <c r="Z27" s="49"/>
      <c r="AA27" s="50" t="str">
        <f>IF(AK8&gt;8,IF(AK7&gt;2,"/",""),"")</f>
        <v/>
      </c>
      <c r="AB27" s="51"/>
      <c r="AC27" s="49"/>
      <c r="AD27" s="50" t="str">
        <f>IF(AK8&gt;9,IF(AK7&gt;2,"/",""),"")</f>
        <v/>
      </c>
      <c r="AE27" s="51"/>
      <c r="AF27" s="42" t="str">
        <f>IF(AK9&gt;3,"Team 4","")</f>
        <v>Team 4</v>
      </c>
      <c r="AG27" s="48" t="str">
        <f>IF(AK9&lt;4,"",IF(AK8&lt;1,"",IF(B24=4,B30-D30,IF(D24=4,D30-B30,""))))</f>
        <v/>
      </c>
      <c r="AH27" s="48">
        <f>IF(AK9&lt;4,"",IF(AK8&lt;2,"",IF(E24=4,E30-G30,IF(G24=4,G30-E30,""))))</f>
        <v>-30</v>
      </c>
      <c r="AI27" s="48">
        <f>IF(AK9&lt;4,"",IF(AK8&lt;3,"",IF(H24=4,H30-J30,IF(J24=4,J30-H30,""))))</f>
        <v>-25</v>
      </c>
      <c r="AJ27" s="48" t="str">
        <f>IF(AK9&lt;4,"",IF(AK8&lt;4,"",IF(K24=4,K30-M30,IF(M24=4,M30-K30,""))))</f>
        <v/>
      </c>
      <c r="AK27" s="48">
        <f>IF(AK9&lt;4,"",IF(AK8&lt;5,"",IF(N24=4,N30-P30,IF(P24=4,P30-N30,""))))</f>
        <v>-29</v>
      </c>
      <c r="AL27" s="48" t="str">
        <f>IF(AK9&lt;4,"",IF(AK8&lt;6,"",IF(Q24=4,Q30-S30,IF(S24=4,S30-Q30,""))))</f>
        <v/>
      </c>
      <c r="AM27" s="48" t="str">
        <f>IF(AK9&lt;4,"",IF(AK8&lt;7,"",IF(T24=4,T30-V30,IF(V24=4,V30-T30,""))))</f>
        <v/>
      </c>
      <c r="AN27" s="48" t="str">
        <f>IF(AK9&lt;4,"",IF(AK8&lt;8,"",IF(W24=4,W30-Y30,IF(Y24=4,Y30-W30,""))))</f>
        <v/>
      </c>
      <c r="AO27" s="48" t="str">
        <f>IF(AK9&lt;4,"",IF(AK8&lt;9,"",IF(Z24=4,Z30-AB30,IF(AB24=4,AB30-Z30,""))))</f>
        <v/>
      </c>
      <c r="AP27" s="48" t="str">
        <f>IF(AK9&lt;4,"",IF(AK8&lt;10,"",IF(AC24=4,AC30-AE30,IF(AE24=4,AE30-AC30,""))))</f>
        <v/>
      </c>
      <c r="AQ27" s="44">
        <f>SUM(AG27:AP27)</f>
        <v>-84</v>
      </c>
    </row>
    <row r="28" spans="1:48" ht="15" x14ac:dyDescent="0.2">
      <c r="A28" s="3" t="str">
        <f>IF(AK7&gt;3,"Game 4","")</f>
        <v/>
      </c>
      <c r="B28" s="49"/>
      <c r="C28" s="50" t="s">
        <v>80</v>
      </c>
      <c r="D28" s="51"/>
      <c r="E28" s="49"/>
      <c r="F28" s="50" t="str">
        <f>IF(AK8&gt;1,IF(AK7&gt;3,"/",""),"")</f>
        <v/>
      </c>
      <c r="G28" s="51"/>
      <c r="H28" s="49"/>
      <c r="I28" s="50" t="str">
        <f>IF(AK8&gt;2,IF(AK7&gt;3,"/",""),"")</f>
        <v/>
      </c>
      <c r="J28" s="51"/>
      <c r="K28" s="49"/>
      <c r="L28" s="50" t="str">
        <f>IF(AK8&gt;3,IF(AK7&gt;3,"/",""),"")</f>
        <v/>
      </c>
      <c r="M28" s="51"/>
      <c r="N28" s="49"/>
      <c r="O28" s="50" t="str">
        <f>IF(AK8&gt;4,IF(AK7&gt;3,"/",""),"")</f>
        <v/>
      </c>
      <c r="P28" s="51"/>
      <c r="Q28" s="49"/>
      <c r="R28" s="50" t="str">
        <f>IF(AK8&gt;5,IF(AK7&gt;3,"/",""),"")</f>
        <v/>
      </c>
      <c r="S28" s="51"/>
      <c r="T28" s="49"/>
      <c r="U28" s="50" t="str">
        <f>IF(AK8&gt;6,IF(AK7&gt;3,"/",""),"")</f>
        <v/>
      </c>
      <c r="V28" s="51"/>
      <c r="W28" s="49"/>
      <c r="X28" s="50" t="str">
        <f>IF(AK8&gt;7,IF(AK7&gt;3,"/",""),"")</f>
        <v/>
      </c>
      <c r="Y28" s="51"/>
      <c r="Z28" s="49"/>
      <c r="AA28" s="50" t="str">
        <f>IF(AK8&gt;8,IF(AK7&gt;3,"/",""),"")</f>
        <v/>
      </c>
      <c r="AB28" s="51"/>
      <c r="AC28" s="49"/>
      <c r="AD28" s="50" t="str">
        <f>IF(AK8&gt;9,IF(AK7&gt;3,"/",""),"")</f>
        <v/>
      </c>
      <c r="AE28" s="51"/>
      <c r="AF28" s="42" t="str">
        <f>IF(AK9&gt;4,"Team 5","")</f>
        <v/>
      </c>
      <c r="AG28" s="52" t="str">
        <f>IF(AK9&lt;5,"",IF(AK8&lt;1,"",IF(B24=5,B30-D30,IF(D24=5,D30-B30,""))))</f>
        <v/>
      </c>
      <c r="AH28" s="48" t="str">
        <f>IF(AK9&lt;5,"",IF(AK8&lt;2,"",IF(E24=5,E30-G30,IF(G24=5,G30-E30,""))))</f>
        <v/>
      </c>
      <c r="AI28" s="48" t="str">
        <f>IF(AK9&lt;5,"",IF(AK8&lt;3,"",IF(H24=5,H30-J30,IF(J24=5,J30-H30,""))))</f>
        <v/>
      </c>
      <c r="AJ28" s="48" t="str">
        <f>IF(AK9&lt;5,"",IF(AK8&lt;4,"",IF(K24=5,K30-M30,IF(M24=5,M30-K30,""))))</f>
        <v/>
      </c>
      <c r="AK28" s="48" t="str">
        <f>IF(AK9&lt;5,"",IF(AK8&lt;5,"",IF(N24=5,N30-P30,IF(P24=5,P30-N30,""))))</f>
        <v/>
      </c>
      <c r="AL28" s="48" t="str">
        <f>IF(AK9&lt;5,"",IF(AK8&lt;6,"",IF(Q24=5,Q30-S30,IF(S24=5,S30-Q30,""))))</f>
        <v/>
      </c>
      <c r="AM28" s="48" t="str">
        <f>IF(AK9&lt;5,"",IF(AK8&lt;7,"",IF(T24=5,T30-V30,IF(V24=5,V30-T30,""))))</f>
        <v/>
      </c>
      <c r="AN28" s="48" t="str">
        <f>IF(AK9&lt;5,"",IF(AK8&lt;8,"",IF(W24=5,W30-Y30,IF(Y24=5,Y30-W30,""))))</f>
        <v/>
      </c>
      <c r="AO28" s="48" t="str">
        <f>IF(AK9&lt;5,"",IF(AK8&lt;9,"",IF(Z24=5,Z30-AB30,IF(AB24=5,AB30-Z30,""))))</f>
        <v/>
      </c>
      <c r="AP28" s="48" t="str">
        <f>IF(AK9&lt;5,"",IF(AK8&lt;10,"",IF(AC24=5,AC30-AE30,IF(AE24=5,AE30-AC30,""))))</f>
        <v/>
      </c>
      <c r="AQ28" s="44">
        <f>SUM(AG28:AP28)</f>
        <v>0</v>
      </c>
    </row>
    <row r="29" spans="1:48" ht="15" x14ac:dyDescent="0.2">
      <c r="A29" s="3" t="str">
        <f>IF(AK7&gt;4,"Game 5","")</f>
        <v/>
      </c>
      <c r="B29" s="49"/>
      <c r="C29" s="50" t="s">
        <v>80</v>
      </c>
      <c r="D29" s="51"/>
      <c r="E29" s="49"/>
      <c r="F29" s="50" t="str">
        <f>IF(AK8&gt;1,IF(AK7&gt;4,"/",""),"")</f>
        <v/>
      </c>
      <c r="G29" s="51"/>
      <c r="H29" s="49"/>
      <c r="I29" s="50" t="str">
        <f>IF(AK8&gt;2,IF(AK7&gt;4,"/",""),"")</f>
        <v/>
      </c>
      <c r="J29" s="51"/>
      <c r="K29" s="49"/>
      <c r="L29" s="50" t="str">
        <f>IF(AK8&gt;3,IF(AK7&gt;4,"/",""),"")</f>
        <v/>
      </c>
      <c r="M29" s="51"/>
      <c r="N29" s="49"/>
      <c r="O29" s="50" t="str">
        <f>IF(AK8&gt;4,IF(AK7&gt;4,"/",""),"")</f>
        <v/>
      </c>
      <c r="P29" s="51"/>
      <c r="Q29" s="49"/>
      <c r="R29" s="50" t="str">
        <f>IF(AK8&gt;5,IF(AK7&gt;4,"/",""),"")</f>
        <v/>
      </c>
      <c r="S29" s="51"/>
      <c r="T29" s="49"/>
      <c r="U29" s="50" t="str">
        <f>IF(AK8&gt;6,IF(AK7&gt;4,"/",""),"")</f>
        <v/>
      </c>
      <c r="V29" s="51"/>
      <c r="W29" s="49"/>
      <c r="X29" s="50" t="str">
        <f>IF(AK8&gt;7,IF(AK7&gt;4,"/",""),"")</f>
        <v/>
      </c>
      <c r="Y29" s="51"/>
      <c r="Z29" s="49"/>
      <c r="AA29" s="50" t="str">
        <f>IF(AK8&gt;8,IF(AK7&gt;4,"/",""),"")</f>
        <v/>
      </c>
      <c r="AB29" s="51"/>
      <c r="AC29" s="49"/>
      <c r="AD29" s="50" t="str">
        <f>IF(AK8&gt;9,IF(AK7&gt;4,"/",""),"")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8" hidden="1" x14ac:dyDescent="0.2">
      <c r="A30" s="53"/>
      <c r="B30" s="53">
        <f>IF($AK7=5,SUM(B25:B29),IF($AK7=4,SUM(B25:B28),IF($AK7=3,SUM(B25:B27),IF($AK7=2,SUM(B25:B26),B25))))</f>
        <v>56</v>
      </c>
      <c r="C30" s="53"/>
      <c r="D30" s="53">
        <f>IF($AK7=5,SUM(D25:D29),IF($AK7=4,SUM(D25:D28),IF($AK7=3,SUM(D25:D27),IF($AK7=2,SUM(D25:D26),D25))))</f>
        <v>60</v>
      </c>
      <c r="E30" s="53">
        <f>IF($AK7=5,SUM(E25:E29),IF($AK7=4,SUM(E25:E28),IF($AK7=3,SUM(E25:E27),IF($AK7=2,SUM(E25:E26),E25))))</f>
        <v>50</v>
      </c>
      <c r="F30" s="53"/>
      <c r="G30" s="53">
        <f>IF($AK7=5,SUM(G25:G29),IF($AK7=4,SUM(G25:G28),IF($AK7=3,SUM(G25:G27),IF($AK7=2,SUM(G25:G26),G25))))</f>
        <v>20</v>
      </c>
      <c r="H30" s="53">
        <f>IF($AK7=5,SUM(H25:H29),IF($AK7=4,SUM(H25:H28),IF($AK7=3,SUM(H25:H27),IF($AK7=2,SUM(H25:H26),H25))))</f>
        <v>50</v>
      </c>
      <c r="I30" s="53"/>
      <c r="J30" s="53">
        <f>IF($AK7=5,SUM(J25:J29),IF($AK7=4,SUM(J25:J28),IF($AK7=3,SUM(J25:J27),IF($AK7=2,SUM(J25:J26),J25))))</f>
        <v>25</v>
      </c>
      <c r="K30" s="53">
        <f>IF($AK7=5,SUM(K25:K29),IF($AK7=4,SUM(K25:K28),IF($AK7=3,SUM(K25:K27),IF($AK7=2,SUM(K25:K26),K25))))</f>
        <v>54</v>
      </c>
      <c r="L30" s="53"/>
      <c r="M30" s="53">
        <f>IF($AK7=5,SUM(M25:M29),IF($AK7=4,SUM(M25:M28),IF($AK7=3,SUM(M25:M27),IF($AK7=2,SUM(M25:M26),M25))))</f>
        <v>55</v>
      </c>
      <c r="N30" s="53">
        <f>IF($AK7=5,SUM(N25:N29),IF($AK7=4,SUM(N25:N28),IF($AK7=3,SUM(N25:N27),IF($AK7=2,SUM(N25:N26),N25))))</f>
        <v>50</v>
      </c>
      <c r="O30" s="53"/>
      <c r="P30" s="53">
        <f>IF($AK7=5,SUM(P25:P29),IF($AK7=4,SUM(P25:P28),IF($AK7=3,SUM(P25:P27),IF($AK7=2,SUM(P25:P26),P25))))</f>
        <v>21</v>
      </c>
      <c r="Q30" s="53">
        <f>IF($AK7=5,SUM(Q25:Q29),IF($AK7=4,SUM(Q25:Q28),IF($AK7=3,SUM(Q25:Q27),IF($AK7=2,SUM(Q25:Q26),Q25))))</f>
        <v>63</v>
      </c>
      <c r="R30" s="53"/>
      <c r="S30" s="53">
        <f>IF($AK7=5,SUM(S25:S29),IF($AK7=4,SUM(S25:S28),IF($AK7=3,SUM(S25:S27),IF($AK7=2,SUM(S25:S26),S25))))</f>
        <v>58</v>
      </c>
      <c r="T30" s="53">
        <f>IF($AK7=5,SUM(T25:T29),IF($AK7=4,SUM(T25:T28),IF($AK7=3,SUM(T25:T27),IF($AK7=2,SUM(T25:T26),T25))))</f>
        <v>0</v>
      </c>
      <c r="U30" s="53"/>
      <c r="V30" s="53">
        <f>IF($AK7=5,SUM(V25:V29),IF($AK7=4,SUM(V25:V28),IF($AK7=3,SUM(V25:V27),IF($AK7=2,SUM(V25:V26),V25))))</f>
        <v>0</v>
      </c>
      <c r="W30" s="53">
        <f>IF($AK7=5,SUM(W25:W29),IF($AK7=4,SUM(W25:W28),IF($AK7=3,SUM(W25:W27),IF($AK7=2,SUM(W25:W26),W25))))</f>
        <v>0</v>
      </c>
      <c r="X30" s="53"/>
      <c r="Y30" s="53">
        <f>IF($AK7=5,SUM(Y25:Y29),IF($AK7=4,SUM(Y25:Y28),IF($AK7=3,SUM(Y25:Y27),IF($AK7=2,SUM(Y25:Y26),Y25))))</f>
        <v>0</v>
      </c>
      <c r="Z30" s="53">
        <f>IF($AK7=5,SUM(Z25:Z29),IF($AK7=4,SUM(Z25:Z28),IF($AK7=3,SUM(Z25:Z27),IF($AK7=2,SUM(Z25:Z26),Z25))))</f>
        <v>0</v>
      </c>
      <c r="AA30" s="53"/>
      <c r="AB30" s="53">
        <f>IF($AK7=5,SUM(AB25:AB29),IF($AK7=4,SUM(AB25:AB28),IF($AK7=3,SUM(AB25:AB27),IF($AK7=2,SUM(AB25:AB26),AB25))))</f>
        <v>0</v>
      </c>
      <c r="AC30" s="53">
        <f>IF($AK7=5,SUM(AC25:AC29),IF($AK7=4,SUM(AC25:AC28),IF($AK7=3,SUM(AC25:AC27),IF($AK7=2,SUM(AC25:AC26),AC25))))</f>
        <v>0</v>
      </c>
      <c r="AD30" s="53"/>
      <c r="AE30" s="53">
        <f>IF($AK7=5,SUM(AE25:AE29),IF($AK7=4,SUM(AE25:AE28),IF($AK7=3,SUM(AE25:AE27),IF($AK7=2,SUM(AE25:AE26),AE25))))</f>
        <v>0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8" s="55" customFormat="1" ht="12.75" hidden="1" customHeight="1" x14ac:dyDescent="0.2">
      <c r="A31" s="55" t="s">
        <v>81</v>
      </c>
      <c r="B31" s="56">
        <f>IF(AND(B25&gt;D25,$AK8&gt;0,ISNUMBER(B25),ISNUMBER(D25)),1,0)</f>
        <v>0</v>
      </c>
      <c r="C31" s="56"/>
      <c r="D31" s="57">
        <f>IF(AND(D25&gt;B25,$AK8&gt;0,ISNUMBER(B25),ISNUMBER(D25)),1,0)</f>
        <v>1</v>
      </c>
      <c r="E31" s="56">
        <f>IF(AND(E25&gt;G25,$AK8&gt;1,ISNUMBER(E25),ISNUMBER(G25)),1,0)</f>
        <v>1</v>
      </c>
      <c r="F31" s="56"/>
      <c r="G31" s="57">
        <f>IF(AND(G25&gt;E25,$AK8&gt;1,ISNUMBER(E25),ISNUMBER(G25)),1,0)</f>
        <v>0</v>
      </c>
      <c r="H31" s="56">
        <f>IF(AND(H25&gt;J25,$AK8&gt;2,ISNUMBER(H25),ISNUMBER(J25)),1,0)</f>
        <v>1</v>
      </c>
      <c r="I31" s="56"/>
      <c r="J31" s="57">
        <f>IF(AND(J25&gt;H25,$AK8&gt;2,ISNUMBER(H25),ISNUMBER(J25)),1,0)</f>
        <v>0</v>
      </c>
      <c r="K31" s="56">
        <f>IF(AND(K25&gt;M25,$AK8&gt;3,ISNUMBER(K25),ISNUMBER(M25)),1,0)</f>
        <v>1</v>
      </c>
      <c r="L31" s="56"/>
      <c r="M31" s="57">
        <f>IF(AND(M25&gt;K25,$AK8&gt;3,ISNUMBER(K25),ISNUMBER(M25)),1,0)</f>
        <v>0</v>
      </c>
      <c r="N31" s="56">
        <f>IF(AND(N25&gt;P25,$AK8&gt;4,ISNUMBER(N25),ISNUMBER(P25)),1,0)</f>
        <v>1</v>
      </c>
      <c r="O31" s="56"/>
      <c r="P31" s="57">
        <f>IF(AND(P25&gt;N25,$AK8&gt;4,ISNUMBER(N25),ISNUMBER(P25)),1,0)</f>
        <v>0</v>
      </c>
      <c r="Q31" s="56">
        <f>IF(AND(Q25&gt;S25,$AK8&gt;5,ISNUMBER(Q25),ISNUMBER(S25)),1,0)</f>
        <v>0</v>
      </c>
      <c r="R31" s="56"/>
      <c r="S31" s="57">
        <f>IF(AND(S25&gt;Q25,$AK8&gt;5,ISNUMBER(Q25),ISNUMBER(S25)),1,0)</f>
        <v>1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0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0</v>
      </c>
      <c r="AD31" s="56"/>
      <c r="AE31" s="57">
        <f>IF(AND(AE25&gt;AC25,$AK8&gt;9,ISNUMBER(AC25),ISNUMBER(AE25)),1,0)</f>
        <v>0</v>
      </c>
    </row>
    <row r="32" spans="1:48" s="55" customFormat="1" ht="12.75" hidden="1" customHeight="1" x14ac:dyDescent="0.2">
      <c r="A32" s="55" t="s">
        <v>82</v>
      </c>
      <c r="B32" s="56">
        <f>IF(AND(B26&gt;D26,$AK8&gt;0,$AK7&gt;1,ISNUMBER(B26),ISNUMBER(D26)),1,0)</f>
        <v>1</v>
      </c>
      <c r="C32" s="56"/>
      <c r="D32" s="57">
        <f>IF(AND(D26&gt;B26,$AK8&gt;0,$AK7&gt;1,ISNUMBER(B26),ISNUMBER(D26)),1,0)</f>
        <v>0</v>
      </c>
      <c r="E32" s="56">
        <f>IF(AND(E26&gt;G26,$AK8&gt;1,$AK7&gt;1,ISNUMBER(E26),ISNUMBER(G26)),1,0)</f>
        <v>1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1</v>
      </c>
      <c r="I32" s="56"/>
      <c r="J32" s="57">
        <f>IF(AND(J26&gt;H26,$AK8&gt;2,$AK7&gt;1,ISNUMBER(H26),ISNUMBER(J26)),1,0)</f>
        <v>0</v>
      </c>
      <c r="K32" s="56">
        <f>IF(AND(K26&gt;M26,$AK8&gt;3,$AK7&gt;1,ISNUMBER(K26),ISNUMBER(M26)),1,0)</f>
        <v>0</v>
      </c>
      <c r="L32" s="56"/>
      <c r="M32" s="57">
        <f>IF(AND(M26&gt;K26,$AK8&gt;3,$AK7&gt;1,ISNUMBER(K26),ISNUMBER(M26)),1,0)</f>
        <v>1</v>
      </c>
      <c r="N32" s="56">
        <f>IF(AND(N26&gt;P26,$AK8&gt;4,$AK7&gt;1,ISNUMBER(N26),ISNUMBER(P26)),1,0)</f>
        <v>1</v>
      </c>
      <c r="O32" s="56"/>
      <c r="P32" s="57">
        <f>IF(AND(P26&gt;N26,$AK8&gt;4,$AK7&gt;1,ISNUMBER(N26),ISNUMBER(P26)),1,0)</f>
        <v>0</v>
      </c>
      <c r="Q32" s="56">
        <f>IF(AND(Q26&gt;S26,$AK8&gt;5,$AK7&gt;1,ISNUMBER(Q26),ISNUMBER(S26)),1,0)</f>
        <v>1</v>
      </c>
      <c r="R32" s="56"/>
      <c r="S32" s="57">
        <f>IF(AND(S26&gt;Q26,$AK8&gt;5,$AK7&gt;1,ISNUMBER(Q26),ISNUMBER(S26)),1,0)</f>
        <v>0</v>
      </c>
      <c r="T32" s="56">
        <f>IF(AND(T26&gt;V26,$AK8&gt;6,$AK7&gt;1,ISNUMBER(T26),ISNUMBER(V26)),1,0)</f>
        <v>0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0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0</v>
      </c>
    </row>
    <row r="33" spans="1:33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1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1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1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</row>
    <row r="34" spans="1:33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</row>
    <row r="35" spans="1:33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</row>
    <row r="36" spans="1:33" s="55" customFormat="1" ht="38.25" hidden="1" customHeight="1" x14ac:dyDescent="0.2">
      <c r="A36" s="59" t="s">
        <v>86</v>
      </c>
      <c r="B36" s="55">
        <f>SUM(B31:B35)</f>
        <v>1</v>
      </c>
      <c r="D36" s="60">
        <f>SUM(D31:D35)</f>
        <v>2</v>
      </c>
      <c r="E36" s="55">
        <f>SUM(E31:E35)</f>
        <v>2</v>
      </c>
      <c r="G36" s="60">
        <f>SUM(G31:G35)</f>
        <v>0</v>
      </c>
      <c r="H36" s="55">
        <f>SUM(H31:H35)</f>
        <v>2</v>
      </c>
      <c r="J36" s="60">
        <f>SUM(J31:J35)</f>
        <v>0</v>
      </c>
      <c r="K36" s="55">
        <f>SUM(K31:K35)</f>
        <v>1</v>
      </c>
      <c r="M36" s="60">
        <f>SUM(M31:M35)</f>
        <v>2</v>
      </c>
      <c r="N36" s="55">
        <f>SUM(N31:N35)</f>
        <v>2</v>
      </c>
      <c r="P36" s="60">
        <f>SUM(P31:P35)</f>
        <v>0</v>
      </c>
      <c r="Q36" s="55">
        <f>SUM(Q31:Q35)</f>
        <v>2</v>
      </c>
      <c r="S36" s="60">
        <f>SUM(S31:S35)</f>
        <v>1</v>
      </c>
      <c r="T36" s="55">
        <f>SUM(T31:T35)</f>
        <v>0</v>
      </c>
      <c r="V36" s="60">
        <f>SUM(V31:V35)</f>
        <v>0</v>
      </c>
      <c r="W36" s="55">
        <f>SUM(W31:W35)</f>
        <v>0</v>
      </c>
      <c r="Y36" s="60">
        <f>SUM(Y31:Y35)</f>
        <v>0</v>
      </c>
      <c r="Z36" s="55">
        <f>SUM(Z31:Z35)</f>
        <v>0</v>
      </c>
      <c r="AB36" s="60">
        <f>SUM(AB31:AB35)</f>
        <v>0</v>
      </c>
      <c r="AC36" s="55">
        <f>SUM(AC31:AC35)</f>
        <v>0</v>
      </c>
      <c r="AE36" s="60">
        <f>SUM(AE31:AE35)</f>
        <v>0</v>
      </c>
    </row>
    <row r="37" spans="1:33" s="55" customFormat="1" ht="25.5" hidden="1" customHeight="1" x14ac:dyDescent="0.2">
      <c r="A37" s="59" t="s">
        <v>87</v>
      </c>
      <c r="B37" s="55">
        <f>IF(B36&gt;D36,IF(C71=AK7,1,IF(C71=AK7-1,1,0)),0)</f>
        <v>0</v>
      </c>
      <c r="C37" s="55">
        <f>B37+D37</f>
        <v>1</v>
      </c>
      <c r="D37" s="60">
        <f>IF(D36&gt;B36,IF(C71=AK7,1,IF(C71=AK7-1,1,0)),0)</f>
        <v>1</v>
      </c>
      <c r="E37" s="55">
        <f>IF(E36&gt;G36,IF(F71=AK7,1,IF(F71=AK7-1,1,0)),0)</f>
        <v>1</v>
      </c>
      <c r="F37" s="55">
        <f>E37+G37</f>
        <v>1</v>
      </c>
      <c r="G37" s="60">
        <f>IF(G36&gt;E36,IF(F71=AK7,1,IF(F71=AK7-1,1,0)),0)</f>
        <v>0</v>
      </c>
      <c r="H37" s="55">
        <f>IF(H36&gt;J36,IF(I71=AK7,1,IF(I71=AK7-1,1,0)),0)</f>
        <v>1</v>
      </c>
      <c r="I37" s="55">
        <f>H37+J37</f>
        <v>1</v>
      </c>
      <c r="J37" s="60">
        <f>IF(J36&gt;H36,IF(I71=AK7,1,IF(I71=AK7-1,1,0)),0)</f>
        <v>0</v>
      </c>
      <c r="K37" s="55">
        <f>IF(K36&gt;M36,IF(L71=AK7,1,IF(L71=AK7-1,1,0)),0)</f>
        <v>0</v>
      </c>
      <c r="L37" s="55">
        <f>K37+M37</f>
        <v>1</v>
      </c>
      <c r="M37" s="60">
        <f>IF(M36&gt;K36,IF(L71=AK7,1,IF(L71=AK7-1,1,0)),0)</f>
        <v>1</v>
      </c>
      <c r="N37" s="55">
        <f>IF(N36&gt;P36,IF(O71=AK7,1,IF(O71=AK7-1,1,0)),0)</f>
        <v>1</v>
      </c>
      <c r="O37" s="55">
        <f>N37+P37</f>
        <v>1</v>
      </c>
      <c r="P37" s="60">
        <f>IF(P36&gt;N36,IF(O71=AK7,1,IF(O71=AK7-1,1,0)),0)</f>
        <v>0</v>
      </c>
      <c r="Q37" s="55">
        <f>IF(Q36&gt;S36,IF(R71=AK7,1,IF(R71=AK7-1,1,0)),0)</f>
        <v>1</v>
      </c>
      <c r="R37" s="55">
        <f>Q37+S37</f>
        <v>1</v>
      </c>
      <c r="S37" s="60">
        <f>IF(S36&gt;Q36,IF(R71=AK7,1,IF(R71=AK7-1,1,0)),0)</f>
        <v>0</v>
      </c>
      <c r="T37" s="55">
        <f>IF(T36&gt;V36,IF(U71=AK7,1,IF(U71=AK7-1,1,0)),0)</f>
        <v>0</v>
      </c>
      <c r="U37" s="55">
        <f>T37+V37</f>
        <v>0</v>
      </c>
      <c r="V37" s="60">
        <f>IF(V36&gt;T36,IF(U71=AK7,1,IF(U71=AK7-1,1,0)),0)</f>
        <v>0</v>
      </c>
      <c r="W37" s="55">
        <f>IF(W36&gt;Y36,IF(X71=AK7,1,IF(X71=AK7-1,1,0)),0)</f>
        <v>0</v>
      </c>
      <c r="X37" s="55">
        <f>W37+Y37</f>
        <v>0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0</v>
      </c>
      <c r="AB37" s="60">
        <f>IF(AB36&gt;Z36,IF(AA71=AK7,1,IF(AA71=AK7-1,1,0)),0)</f>
        <v>0</v>
      </c>
      <c r="AC37" s="55">
        <f>IF(AC36&gt;AE36,IF(AD71=AK7,1,IF(AD71=AK7-1,1,0)),0)</f>
        <v>0</v>
      </c>
      <c r="AD37" s="55">
        <f>AC37+AE37</f>
        <v>0</v>
      </c>
      <c r="AE37" s="60">
        <f>IF(AE36&gt;AC36,IF(AD71=AK7,1,IF(AD71=AK7-1,1,0)),0)</f>
        <v>0</v>
      </c>
    </row>
    <row r="38" spans="1:33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</row>
    <row r="39" spans="1:33" s="55" customFormat="1" ht="12.75" hidden="1" customHeight="1" x14ac:dyDescent="0.2">
      <c r="A39" s="55" t="s">
        <v>88</v>
      </c>
      <c r="B39" s="55">
        <f>IF(B31=1,B25,0)</f>
        <v>0</v>
      </c>
      <c r="D39" s="60">
        <f t="shared" ref="D39:E43" si="2">IF(D31=1,D25,0)</f>
        <v>25</v>
      </c>
      <c r="E39" s="55">
        <f t="shared" si="2"/>
        <v>25</v>
      </c>
      <c r="G39" s="60">
        <f t="shared" ref="G39:H43" si="3">IF(G31=1,G25,0)</f>
        <v>0</v>
      </c>
      <c r="H39" s="55">
        <f t="shared" si="3"/>
        <v>25</v>
      </c>
      <c r="J39" s="60">
        <f t="shared" ref="J39:K43" si="4">IF(J31=1,J25,0)</f>
        <v>0</v>
      </c>
      <c r="K39" s="55">
        <f t="shared" si="4"/>
        <v>25</v>
      </c>
      <c r="M39" s="60">
        <f t="shared" ref="M39:N43" si="5">IF(M31=1,M25,0)</f>
        <v>0</v>
      </c>
      <c r="N39" s="55">
        <f t="shared" si="5"/>
        <v>25</v>
      </c>
      <c r="P39" s="60">
        <f t="shared" ref="P39:Q43" si="6">IF(P31=1,P25,0)</f>
        <v>0</v>
      </c>
      <c r="Q39" s="55">
        <f t="shared" si="6"/>
        <v>0</v>
      </c>
      <c r="S39" s="60">
        <f t="shared" ref="S39:T43" si="7">IF(S31=1,S25,0)</f>
        <v>25</v>
      </c>
      <c r="T39" s="55">
        <f t="shared" si="7"/>
        <v>0</v>
      </c>
      <c r="V39" s="60">
        <f t="shared" ref="V39:W43" si="8">IF(V31=1,V25,0)</f>
        <v>0</v>
      </c>
      <c r="W39" s="55">
        <f t="shared" si="8"/>
        <v>0</v>
      </c>
      <c r="Y39" s="60">
        <f t="shared" ref="Y39:Z43" si="9">IF(Y31=1,Y25,0)</f>
        <v>0</v>
      </c>
      <c r="Z39" s="55">
        <f t="shared" si="9"/>
        <v>0</v>
      </c>
      <c r="AB39" s="60">
        <f t="shared" ref="AB39:AC43" si="10">IF(AB31=1,AB25,0)</f>
        <v>0</v>
      </c>
      <c r="AC39" s="55">
        <f t="shared" si="10"/>
        <v>0</v>
      </c>
      <c r="AE39" s="60">
        <f>IF(AE31=1,AE25,0)</f>
        <v>0</v>
      </c>
    </row>
    <row r="40" spans="1:33" s="55" customFormat="1" ht="12.75" hidden="1" customHeight="1" x14ac:dyDescent="0.2">
      <c r="A40" s="55" t="s">
        <v>89</v>
      </c>
      <c r="B40" s="55">
        <f>IF(B32=1,B26,0)</f>
        <v>25</v>
      </c>
      <c r="D40" s="60">
        <f t="shared" si="2"/>
        <v>0</v>
      </c>
      <c r="E40" s="55">
        <f t="shared" si="2"/>
        <v>25</v>
      </c>
      <c r="G40" s="60">
        <f t="shared" si="3"/>
        <v>0</v>
      </c>
      <c r="H40" s="55">
        <f t="shared" si="3"/>
        <v>25</v>
      </c>
      <c r="J40" s="60">
        <f t="shared" si="4"/>
        <v>0</v>
      </c>
      <c r="K40" s="55">
        <f t="shared" si="4"/>
        <v>0</v>
      </c>
      <c r="M40" s="60">
        <f t="shared" si="5"/>
        <v>25</v>
      </c>
      <c r="N40" s="55">
        <f t="shared" si="5"/>
        <v>25</v>
      </c>
      <c r="P40" s="60">
        <f t="shared" si="6"/>
        <v>0</v>
      </c>
      <c r="Q40" s="55">
        <f t="shared" si="6"/>
        <v>25</v>
      </c>
      <c r="S40" s="60">
        <f t="shared" si="7"/>
        <v>0</v>
      </c>
      <c r="T40" s="55">
        <f t="shared" si="7"/>
        <v>0</v>
      </c>
      <c r="V40" s="60">
        <f t="shared" si="8"/>
        <v>0</v>
      </c>
      <c r="W40" s="55">
        <f t="shared" si="8"/>
        <v>0</v>
      </c>
      <c r="Y40" s="60">
        <f t="shared" si="9"/>
        <v>0</v>
      </c>
      <c r="Z40" s="55">
        <f t="shared" si="9"/>
        <v>0</v>
      </c>
      <c r="AB40" s="60">
        <f t="shared" si="10"/>
        <v>0</v>
      </c>
      <c r="AC40" s="55">
        <f t="shared" si="10"/>
        <v>0</v>
      </c>
      <c r="AE40" s="60">
        <f>IF(AE32=1,AE26,0)</f>
        <v>0</v>
      </c>
    </row>
    <row r="41" spans="1:33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15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15</v>
      </c>
      <c r="N41" s="55">
        <f t="shared" si="5"/>
        <v>0</v>
      </c>
      <c r="P41" s="60">
        <f t="shared" si="6"/>
        <v>0</v>
      </c>
      <c r="Q41" s="55">
        <f t="shared" si="6"/>
        <v>15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</row>
    <row r="42" spans="1:33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</row>
    <row r="43" spans="1:33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</row>
    <row r="44" spans="1:33" s="55" customFormat="1" ht="38.25" hidden="1" customHeight="1" x14ac:dyDescent="0.2">
      <c r="A44" s="59" t="s">
        <v>93</v>
      </c>
      <c r="B44" s="55">
        <f>SUM(B39:D43)</f>
        <v>65</v>
      </c>
      <c r="D44" s="60"/>
      <c r="E44" s="55">
        <f>SUM(E39:G43)</f>
        <v>50</v>
      </c>
      <c r="G44" s="60"/>
      <c r="H44" s="55">
        <f>SUM(H39:J43)</f>
        <v>50</v>
      </c>
      <c r="J44" s="60"/>
      <c r="K44" s="55">
        <f>SUM(K39:M43)</f>
        <v>65</v>
      </c>
      <c r="M44" s="60"/>
      <c r="N44" s="55">
        <f>SUM(N39:P43)</f>
        <v>50</v>
      </c>
      <c r="P44" s="60"/>
      <c r="Q44" s="55">
        <f>SUM(Q39:S43)</f>
        <v>65</v>
      </c>
      <c r="S44" s="60"/>
      <c r="T44" s="55">
        <f>SUM(T39:V43)</f>
        <v>0</v>
      </c>
      <c r="V44" s="60"/>
      <c r="W44" s="55">
        <f>SUM(W39:Y43)</f>
        <v>0</v>
      </c>
      <c r="Y44" s="60"/>
      <c r="Z44" s="55">
        <f>SUM(Z39:AB43)</f>
        <v>0</v>
      </c>
      <c r="AB44" s="60"/>
      <c r="AC44" s="55">
        <f>SUM(AC39:AE43)</f>
        <v>0</v>
      </c>
      <c r="AE44" s="60"/>
    </row>
    <row r="45" spans="1:33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</row>
    <row r="46" spans="1:33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1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1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0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2</v>
      </c>
      <c r="AG46" s="55">
        <f>AF52-AF46</f>
        <v>1</v>
      </c>
    </row>
    <row r="47" spans="1:33" s="55" customFormat="1" ht="12.75" hidden="1" customHeight="1" x14ac:dyDescent="0.2">
      <c r="A47" s="55" t="s">
        <v>98</v>
      </c>
      <c r="B47" s="55">
        <f>IF(B24=2,IF(B37=1,1,0),0)</f>
        <v>0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1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1</v>
      </c>
      <c r="AG47" s="55">
        <f>AF53-AF47</f>
        <v>2</v>
      </c>
    </row>
    <row r="48" spans="1:33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1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1</v>
      </c>
      <c r="N48" s="55">
        <f>IF(N24=3,IF(N37=1,1,0),0)</f>
        <v>1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3</v>
      </c>
      <c r="AG48" s="55">
        <f>AF54-AF48</f>
        <v>0</v>
      </c>
    </row>
    <row r="49" spans="1:37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0</v>
      </c>
      <c r="AG49" s="55">
        <f>AF55-AF49</f>
        <v>3</v>
      </c>
    </row>
    <row r="50" spans="1:37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0</v>
      </c>
      <c r="AG50" s="55">
        <f>AF56-AF50</f>
        <v>0</v>
      </c>
    </row>
    <row r="51" spans="1:37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</row>
    <row r="52" spans="1:37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1</v>
      </c>
      <c r="M52" s="60">
        <f>IF(M24=1,IF(L37=1,1,0),0)</f>
        <v>0</v>
      </c>
      <c r="N52" s="55">
        <f>IF(N24=1,IF(O37=1,1,0),0)</f>
        <v>0</v>
      </c>
      <c r="P52" s="60">
        <f>IF(P24=1,IF(O37=1,1,0),0)</f>
        <v>0</v>
      </c>
      <c r="Q52" s="55">
        <f>IF(Q24=1,IF(R37=1,1,0),0)</f>
        <v>1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0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0</v>
      </c>
      <c r="AE52" s="60">
        <f>IF(AE24=1,IF(AD37=1,1,0),0)</f>
        <v>0</v>
      </c>
      <c r="AF52" s="55">
        <f>SUM(B52:AE52)</f>
        <v>3</v>
      </c>
    </row>
    <row r="53" spans="1:37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1</v>
      </c>
      <c r="J53" s="60">
        <f>IF(J24=2,IF(I37=1,1,0),0)</f>
        <v>0</v>
      </c>
      <c r="K53" s="55">
        <f>IF(K24=2,IF(L37=1,1,0),0)</f>
        <v>0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1</v>
      </c>
      <c r="T53" s="55">
        <f>IF(T24=2,IF(U37=1,1,0),0)</f>
        <v>0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0</v>
      </c>
      <c r="AF53" s="55">
        <f>SUM(B53:AE53)</f>
        <v>3</v>
      </c>
    </row>
    <row r="54" spans="1:37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1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0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1</v>
      </c>
      <c r="N54" s="55">
        <f>IF(N24=3,IF(O37=1,1,0),0)</f>
        <v>1</v>
      </c>
      <c r="P54" s="60">
        <f>IF(P24=3,IF(O37=1,1,0),0)</f>
        <v>0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0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0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3</v>
      </c>
    </row>
    <row r="55" spans="1:37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1</v>
      </c>
      <c r="K55" s="55">
        <f>IF(K24=4,IF(L37=1,1,0),0)</f>
        <v>0</v>
      </c>
      <c r="M55" s="60">
        <f>IF(M24=4,IF(L37=1,1,0),0)</f>
        <v>0</v>
      </c>
      <c r="N55" s="55">
        <f>IF(N24=4,IF(O37=1,1,0),0)</f>
        <v>0</v>
      </c>
      <c r="P55" s="60">
        <f>IF(P24=4,IF(O37=1,1,0),0)</f>
        <v>1</v>
      </c>
      <c r="Q55" s="55">
        <f>IF(Q24=4,IF(R37=1,1,0),0)</f>
        <v>0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0</v>
      </c>
      <c r="AC55" s="55">
        <f>IF(AC24=4,IF(AD37=1,1,0),0)</f>
        <v>0</v>
      </c>
      <c r="AE55" s="60">
        <f>IF(AE24=4,IF(AD37=1,1,0),0)</f>
        <v>0</v>
      </c>
      <c r="AF55" s="55">
        <f>SUM(B55:AE55)</f>
        <v>3</v>
      </c>
    </row>
    <row r="56" spans="1:37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0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0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0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0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0</v>
      </c>
    </row>
    <row r="57" spans="1:37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</row>
    <row r="58" spans="1:37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50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65</v>
      </c>
      <c r="M58" s="60">
        <f>IF(M24=1,K44,0)</f>
        <v>0</v>
      </c>
      <c r="N58" s="55">
        <f>IF(N24=1,N44,0)</f>
        <v>0</v>
      </c>
      <c r="P58" s="60">
        <f>IF(P24=1,N44,0)</f>
        <v>0</v>
      </c>
      <c r="Q58" s="55">
        <f>IF(Q24=1,Q44,0)</f>
        <v>65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0</v>
      </c>
      <c r="AE58" s="60">
        <f>IF(AE24=1,AC44,0)</f>
        <v>0</v>
      </c>
      <c r="AF58" s="55">
        <f>SUM(B58:AE58)</f>
        <v>180</v>
      </c>
    </row>
    <row r="59" spans="1:37" s="55" customFormat="1" ht="12.75" hidden="1" customHeight="1" x14ac:dyDescent="0.2">
      <c r="A59" s="55" t="s">
        <v>104</v>
      </c>
      <c r="B59" s="55">
        <f>IF(B24=2,B44,0)</f>
        <v>65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50</v>
      </c>
      <c r="J59" s="60">
        <f>IF(J24=2,H44,0)</f>
        <v>0</v>
      </c>
      <c r="K59" s="55">
        <f>IF(K24=2,K44,0)</f>
        <v>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65</v>
      </c>
      <c r="T59" s="55">
        <f>IF(T24=2,T44,0)</f>
        <v>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0</v>
      </c>
      <c r="AF59" s="55">
        <f>SUM(B59:AE59)</f>
        <v>180</v>
      </c>
    </row>
    <row r="60" spans="1:37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65</v>
      </c>
      <c r="E60" s="55">
        <f>IF(E24=3,E44,0)</f>
        <v>0</v>
      </c>
      <c r="G60" s="60">
        <f>IF(G24=3,E44,0)</f>
        <v>0</v>
      </c>
      <c r="H60" s="55">
        <f>IF(H24=3,H44,0)</f>
        <v>0</v>
      </c>
      <c r="J60" s="60">
        <f>IF(J24=3,H44,0)</f>
        <v>0</v>
      </c>
      <c r="K60" s="55">
        <f>IF(K24=3,K44,0)</f>
        <v>0</v>
      </c>
      <c r="M60" s="60">
        <f>IF(M24=3,K44,0)</f>
        <v>65</v>
      </c>
      <c r="N60" s="55">
        <f>IF(N24=3,N44,0)</f>
        <v>50</v>
      </c>
      <c r="P60" s="60">
        <f>IF(P24=3,N44,0)</f>
        <v>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0</v>
      </c>
      <c r="W60" s="55">
        <f>IF(W24=3,W44,0)</f>
        <v>0</v>
      </c>
      <c r="Y60" s="60">
        <f>IF(Y24=3,W44,0)</f>
        <v>0</v>
      </c>
      <c r="Z60" s="55">
        <f>IF(Z24=3,Z44,0)</f>
        <v>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180</v>
      </c>
    </row>
    <row r="61" spans="1:37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50</v>
      </c>
      <c r="H61" s="55">
        <f>IF(H24=4,H44,0)</f>
        <v>0</v>
      </c>
      <c r="J61" s="60">
        <f>IF(J24=4,H44,0)</f>
        <v>50</v>
      </c>
      <c r="K61" s="55">
        <f>IF(K24=4,K44,0)</f>
        <v>0</v>
      </c>
      <c r="M61" s="60">
        <f>IF(M24=4,K44,0)</f>
        <v>0</v>
      </c>
      <c r="N61" s="55">
        <f>IF(N24=4,N44,0)</f>
        <v>0</v>
      </c>
      <c r="P61" s="60">
        <f>IF(P24=4,N44,0)</f>
        <v>50</v>
      </c>
      <c r="Q61" s="55">
        <f>IF(Q24=4,Q44,0)</f>
        <v>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0</v>
      </c>
      <c r="AC61" s="55">
        <f>IF(AC24=4,AC44,0)</f>
        <v>0</v>
      </c>
      <c r="AE61" s="60">
        <f>IF(AE24=4,AC44,0)</f>
        <v>0</v>
      </c>
      <c r="AF61" s="55">
        <f>SUM(B61:AE61)</f>
        <v>150</v>
      </c>
    </row>
    <row r="62" spans="1:37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0</v>
      </c>
    </row>
    <row r="63" spans="1:37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</row>
    <row r="64" spans="1:37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2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1</v>
      </c>
      <c r="M64" s="60">
        <f>IF(M24=1,SUMIF(M31:M35,"&gt;0"),0)</f>
        <v>0</v>
      </c>
      <c r="N64" s="55">
        <f>IF(N24=1,SUMIF(N31:N35,"&gt;0"),0)</f>
        <v>0</v>
      </c>
      <c r="P64" s="60">
        <f>IF(P24=1,SUMIF(P31:P35,"&gt;0"),0)</f>
        <v>0</v>
      </c>
      <c r="Q64" s="55">
        <f>IF(Q24=1,SUMIF(Q31:Q35,"&gt;0"),0)</f>
        <v>2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0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0</v>
      </c>
      <c r="AE64" s="60">
        <f>IF(AE24=1,SUMIF(AE31:AE35,"&gt;0"),0)</f>
        <v>0</v>
      </c>
      <c r="AF64" s="55">
        <f>SUM(B64:AE64)</f>
        <v>5</v>
      </c>
      <c r="AG64" s="55">
        <f>AF72-AF64</f>
        <v>3</v>
      </c>
    </row>
    <row r="65" spans="1:54" s="55" customFormat="1" ht="12.75" hidden="1" customHeight="1" x14ac:dyDescent="0.2">
      <c r="A65" s="55" t="s">
        <v>98</v>
      </c>
      <c r="B65" s="55">
        <f>IF(B24=2,SUMIF(B31:B35,"&gt;0"),0)</f>
        <v>1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2</v>
      </c>
      <c r="J65" s="60">
        <f>IF(J24=2,SUMIF(J31:J35,"&gt;0"),0)</f>
        <v>0</v>
      </c>
      <c r="K65" s="55">
        <f>IF(K24=2,SUMIF(K31:K35,"&gt;0"),0)</f>
        <v>0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1</v>
      </c>
      <c r="T65" s="55">
        <f>IF(T24=2,SUMIF(T31:T35,"&gt;0"),0)</f>
        <v>0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4</v>
      </c>
      <c r="AG65" s="55">
        <f>AF73-AF65</f>
        <v>4</v>
      </c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2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2</v>
      </c>
      <c r="N66" s="55">
        <f>IF(N24=3,SUMIF(N31:N35,"&gt;0"),0)</f>
        <v>2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0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0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6</v>
      </c>
      <c r="AG66" s="55">
        <f>AF74-AF66</f>
        <v>2</v>
      </c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0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0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0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0</v>
      </c>
      <c r="AG67" s="55">
        <f>AF75-AF67</f>
        <v>6</v>
      </c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0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0</v>
      </c>
      <c r="AG68" s="55">
        <f>AF76-AF68</f>
        <v>0</v>
      </c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</row>
    <row r="71" spans="1:54" s="55" customFormat="1" ht="51" hidden="1" customHeight="1" x14ac:dyDescent="0.2">
      <c r="A71" s="59" t="s">
        <v>112</v>
      </c>
      <c r="C71" s="55">
        <f>SUMIF(B64:D68,"&gt;0")</f>
        <v>3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3</v>
      </c>
      <c r="M71" s="60"/>
      <c r="O71" s="55">
        <f>SUMIF(N64:P68,"&gt;0")</f>
        <v>2</v>
      </c>
      <c r="P71" s="60"/>
      <c r="R71" s="55">
        <f>SUMIF(Q64:S68,"&gt;0")</f>
        <v>3</v>
      </c>
      <c r="S71" s="60"/>
      <c r="U71" s="55">
        <f>SUMIF(T64:V68,"&gt;0")</f>
        <v>0</v>
      </c>
      <c r="V71" s="60"/>
      <c r="X71" s="55">
        <f>SUMIF(W64:Y68,"&gt;0")</f>
        <v>0</v>
      </c>
      <c r="Y71" s="60"/>
      <c r="AA71" s="55">
        <f>SUMIF(Z64:AB68,"&gt;0")</f>
        <v>0</v>
      </c>
      <c r="AB71" s="60"/>
      <c r="AD71" s="55">
        <f>SUMIF(AC64:AE68,"&gt;0")</f>
        <v>0</v>
      </c>
      <c r="AE71" s="60"/>
      <c r="AF71" s="59" t="s">
        <v>113</v>
      </c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3</v>
      </c>
      <c r="M72" s="60">
        <f>IF(M24=1,L71,0)</f>
        <v>0</v>
      </c>
      <c r="N72" s="55">
        <f>IF(N24=1,O71,0)</f>
        <v>0</v>
      </c>
      <c r="P72" s="60">
        <f>IF(P24=1,O71,0)</f>
        <v>0</v>
      </c>
      <c r="Q72" s="55">
        <f>IF(Q24=1,R71,0)</f>
        <v>3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0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0</v>
      </c>
      <c r="AE72" s="60">
        <f>IF(AE24=1,AD71,0)</f>
        <v>0</v>
      </c>
      <c r="AF72" s="55">
        <f>SUM(B72:AE72)</f>
        <v>8</v>
      </c>
    </row>
    <row r="73" spans="1:54" s="55" customFormat="1" ht="12.75" hidden="1" customHeight="1" x14ac:dyDescent="0.2">
      <c r="A73" s="55" t="s">
        <v>104</v>
      </c>
      <c r="B73" s="55">
        <f>IF(B24=2,C71,0)</f>
        <v>3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2</v>
      </c>
      <c r="J73" s="60">
        <f>IF(J24=2,I71,0)</f>
        <v>0</v>
      </c>
      <c r="K73" s="55">
        <f>IF(K24=2,L71,0)</f>
        <v>0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3</v>
      </c>
      <c r="T73" s="55">
        <f>IF(T24=2,U71,0)</f>
        <v>0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0</v>
      </c>
      <c r="AF73" s="55">
        <f>SUM(B73:AE73)</f>
        <v>8</v>
      </c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3</v>
      </c>
      <c r="E74" s="55">
        <f>IF(E24=3,F71,0)</f>
        <v>0</v>
      </c>
      <c r="G74" s="60">
        <f>IF(G24=3,F71,0)</f>
        <v>0</v>
      </c>
      <c r="H74" s="55">
        <f>IF(H24=3,I71,0)</f>
        <v>0</v>
      </c>
      <c r="J74" s="60">
        <f>IF(J24=3,I71,0)</f>
        <v>0</v>
      </c>
      <c r="K74" s="55">
        <f>IF(K24=3,L71,0)</f>
        <v>0</v>
      </c>
      <c r="M74" s="60">
        <f>IF(M24=3,L71,0)</f>
        <v>3</v>
      </c>
      <c r="N74" s="55">
        <f>IF(N24=3,O71,0)</f>
        <v>2</v>
      </c>
      <c r="P74" s="60">
        <f>IF(P24=3,O71,0)</f>
        <v>0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0</v>
      </c>
      <c r="W74" s="55">
        <f>IF(W24=3,X71,0)</f>
        <v>0</v>
      </c>
      <c r="Y74" s="60">
        <f>IF(Y24=3,X71,0)</f>
        <v>0</v>
      </c>
      <c r="Z74" s="55">
        <f>IF(Z24=3,AA71,0)</f>
        <v>0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2</v>
      </c>
      <c r="K75" s="55">
        <f>IF(K24=4,L71,0)</f>
        <v>0</v>
      </c>
      <c r="M75" s="60">
        <f>IF(M24=4,L71,0)</f>
        <v>0</v>
      </c>
      <c r="N75" s="55">
        <f>IF(N24=4,O71,0)</f>
        <v>0</v>
      </c>
      <c r="P75" s="60">
        <f>IF(P24=4,O71,0)</f>
        <v>2</v>
      </c>
      <c r="Q75" s="55">
        <f>IF(Q24=4,R71,0)</f>
        <v>0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0</v>
      </c>
      <c r="AC75" s="55">
        <f>IF(AC24=4,AD71,0)</f>
        <v>0</v>
      </c>
      <c r="AE75" s="60">
        <f>IF(AE24=4,AD71,0)</f>
        <v>0</v>
      </c>
      <c r="AF75" s="55">
        <f>SUM(B75:AE75)</f>
        <v>6</v>
      </c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0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0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0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0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0</v>
      </c>
    </row>
    <row r="77" spans="1:54" hidden="1" x14ac:dyDescent="0.2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2"/>
      <c r="AO77" s="62"/>
      <c r="AP77" s="62"/>
      <c r="AQ77" s="62"/>
      <c r="AR77" s="63"/>
      <c r="AS77" s="63"/>
      <c r="AT77" s="63"/>
      <c r="AU77" s="63"/>
      <c r="AV77" s="63"/>
      <c r="AW77" s="54"/>
      <c r="BB77" s="54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MBVC 14 Black Randy</v>
      </c>
      <c r="C79" s="67">
        <f>VLOOKUP(B79,AU$3:AY$12,3,FALSE)</f>
        <v>2232.5282669272556</v>
      </c>
      <c r="D79" s="67">
        <f>IF(B72,B87,IF(D72,D87,C79))</f>
        <v>2232.5282669272556</v>
      </c>
      <c r="E79" s="67"/>
      <c r="F79" s="67"/>
      <c r="G79" s="67">
        <f>IF(E72,E87,IF(G72,G87,D79))</f>
        <v>2241.5510170043572</v>
      </c>
      <c r="H79" s="67"/>
      <c r="I79" s="67"/>
      <c r="J79" s="67">
        <f>IF(H72,H87,IF(J72,J87,G79))</f>
        <v>2241.5510170043572</v>
      </c>
      <c r="K79" s="67"/>
      <c r="L79" s="67"/>
      <c r="M79" s="67">
        <f>IF(K72,K87,IF(M72,M87,J79))</f>
        <v>2214.8382109887593</v>
      </c>
      <c r="N79" s="67"/>
      <c r="O79" s="67"/>
      <c r="P79" s="67">
        <f>IF(N72,N87,IF(P72,P87,M79))</f>
        <v>2214.8382109887593</v>
      </c>
      <c r="Q79" s="67"/>
      <c r="R79" s="67"/>
      <c r="S79" s="67">
        <f>IF(Q72,Q87,IF(S72,S87,P79))</f>
        <v>2226.9917558737516</v>
      </c>
      <c r="T79" s="67"/>
      <c r="U79" s="67"/>
      <c r="V79" s="67">
        <f>IF(T72,T87,IF(V72,V87,S79))</f>
        <v>2226.9917558737516</v>
      </c>
      <c r="W79" s="67"/>
      <c r="X79" s="67"/>
      <c r="Y79" s="67">
        <f>IF(W72,W87,IF(Y72,Y87,V79))</f>
        <v>2226.9917558737516</v>
      </c>
      <c r="Z79" s="67"/>
      <c r="AA79" s="67"/>
      <c r="AB79" s="67">
        <f>IF(Z72,Z87,IF(AB72,AB87,Y79))</f>
        <v>2226.9917558737516</v>
      </c>
      <c r="AC79" s="67"/>
      <c r="AD79" s="67"/>
      <c r="AE79" s="67">
        <f>IF(AC72,AC87,IF(AE72,AE87,AB79))</f>
        <v>2226.9917558737516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MBVC 14 Black Randy</v>
      </c>
      <c r="AU79" s="63">
        <f>AE79</f>
        <v>2226.9917558737516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Upward Stars 15 Erin</v>
      </c>
      <c r="C80" s="67">
        <f>VLOOKUP(B80,AU$3:AY$12,3,FALSE)</f>
        <v>2200</v>
      </c>
      <c r="D80" s="67">
        <f>IF(B73,B87,IF(D73,D87,C80))</f>
        <v>2175.5559890464351</v>
      </c>
      <c r="E80" s="67"/>
      <c r="F80" s="67"/>
      <c r="G80" s="67">
        <f>IF(E73,E87,IF(G73,G87,D80))</f>
        <v>2175.5559890464351</v>
      </c>
      <c r="H80" s="67"/>
      <c r="I80" s="67"/>
      <c r="J80" s="67">
        <f>IF(H73,H87,IF(J73,J87,G80))</f>
        <v>2186.9368145845851</v>
      </c>
      <c r="K80" s="67"/>
      <c r="L80" s="67"/>
      <c r="M80" s="67">
        <f>IF(K73,K87,IF(M73,M87,J80))</f>
        <v>2186.9368145845851</v>
      </c>
      <c r="N80" s="67"/>
      <c r="O80" s="67"/>
      <c r="P80" s="67">
        <f>IF(N73,N87,IF(P73,P87,M80))</f>
        <v>2186.9368145845851</v>
      </c>
      <c r="Q80" s="67"/>
      <c r="R80" s="67"/>
      <c r="S80" s="67">
        <f>IF(Q73,Q87,IF(S73,S87,P80))</f>
        <v>2174.7832696995929</v>
      </c>
      <c r="T80" s="67"/>
      <c r="U80" s="67"/>
      <c r="V80" s="67">
        <f>IF(T73,T87,IF(V73,V87,S80))</f>
        <v>2174.7832696995929</v>
      </c>
      <c r="W80" s="67"/>
      <c r="X80" s="67"/>
      <c r="Y80" s="67">
        <f>IF(W73,W87,IF(Y73,Y87,V80))</f>
        <v>2174.7832696995929</v>
      </c>
      <c r="Z80" s="67"/>
      <c r="AA80" s="67"/>
      <c r="AB80" s="67">
        <f>IF(Z73,Z87,IF(AB73,AB87,Y80))</f>
        <v>2174.7832696995929</v>
      </c>
      <c r="AC80" s="67"/>
      <c r="AD80" s="67"/>
      <c r="AE80" s="67">
        <f>IF(AC73,AC87,IF(AE73,AE87,AB80))</f>
        <v>2174.7832696995929</v>
      </c>
      <c r="AF80" s="4"/>
      <c r="AG80" s="4"/>
      <c r="AJ80" s="4"/>
      <c r="AL80" s="4"/>
      <c r="AM80" s="4"/>
      <c r="AN80" s="4"/>
      <c r="AO80" s="4"/>
      <c r="AT80" s="63" t="str">
        <f>B80</f>
        <v>Upward Stars 15 Erin</v>
      </c>
      <c r="AU80" s="63">
        <f>AE80</f>
        <v>2174.7832696995929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Carolina Express 15</v>
      </c>
      <c r="C81" s="67">
        <f>VLOOKUP(B81,AU$3:AY$12,3,FALSE)</f>
        <v>2138.2377521954518</v>
      </c>
      <c r="D81" s="67">
        <f>IF(B74,B87,IF(D74,D87,C81))</f>
        <v>2162.6817631490167</v>
      </c>
      <c r="E81" s="67"/>
      <c r="F81" s="67"/>
      <c r="G81" s="67">
        <f>IF(E74,E87,IF(G74,G87,D81))</f>
        <v>2162.6817631490167</v>
      </c>
      <c r="H81" s="67"/>
      <c r="I81" s="67"/>
      <c r="J81" s="67">
        <f>IF(H74,H87,IF(J74,J87,G81))</f>
        <v>2162.6817631490167</v>
      </c>
      <c r="K81" s="67"/>
      <c r="L81" s="67"/>
      <c r="M81" s="67">
        <f>IF(K74,K87,IF(M74,M87,J81))</f>
        <v>2189.3945691646145</v>
      </c>
      <c r="N81" s="67"/>
      <c r="O81" s="67"/>
      <c r="P81" s="67">
        <f>IF(N74,N87,IF(P74,P87,M81))</f>
        <v>2199.479861205919</v>
      </c>
      <c r="Q81" s="67"/>
      <c r="R81" s="67"/>
      <c r="S81" s="67">
        <f>IF(Q74,Q87,IF(S74,S87,P81))</f>
        <v>2199.479861205919</v>
      </c>
      <c r="T81" s="67"/>
      <c r="U81" s="67"/>
      <c r="V81" s="67">
        <f>IF(T74,T87,IF(V74,V87,S81))</f>
        <v>2199.479861205919</v>
      </c>
      <c r="W81" s="67"/>
      <c r="X81" s="67"/>
      <c r="Y81" s="67">
        <f>IF(W74,W87,IF(Y74,Y87,V81))</f>
        <v>2199.479861205919</v>
      </c>
      <c r="Z81" s="67"/>
      <c r="AA81" s="67"/>
      <c r="AB81" s="67">
        <f>IF(Z74,Z87,IF(AB74,AB87,Y81))</f>
        <v>2199.479861205919</v>
      </c>
      <c r="AC81" s="67"/>
      <c r="AD81" s="67"/>
      <c r="AE81" s="67">
        <f>IF(AC74,AC87,IF(AE74,AE87,AB81))</f>
        <v>2199.479861205919</v>
      </c>
      <c r="AF81" s="4"/>
      <c r="AG81" s="4"/>
      <c r="AJ81" s="4"/>
      <c r="AL81" s="4"/>
      <c r="AM81" s="4"/>
      <c r="AN81" s="4"/>
      <c r="AO81" s="4"/>
      <c r="AT81" s="63" t="str">
        <f>B81</f>
        <v>Carolina Express 15</v>
      </c>
      <c r="AU81" s="63">
        <f>AE81</f>
        <v>2199.479861205919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SC Midlands 15 Black</v>
      </c>
      <c r="C82" s="67">
        <f>VLOOKUP(B82,AU$3:AY$12,3,FALSE)</f>
        <v>1918.5906334054932</v>
      </c>
      <c r="D82" s="67">
        <f>IF(B75,B87,IF(D75,D87,C82))</f>
        <v>1918.5906334054932</v>
      </c>
      <c r="E82" s="67"/>
      <c r="F82" s="67"/>
      <c r="G82" s="67">
        <f>IF(E75,E87,IF(G75,G87,D82))</f>
        <v>1909.5678833283916</v>
      </c>
      <c r="H82" s="67"/>
      <c r="I82" s="67"/>
      <c r="J82" s="67">
        <f>IF(H75,H87,IF(J75,J87,G82))</f>
        <v>1898.1870577902419</v>
      </c>
      <c r="K82" s="67"/>
      <c r="L82" s="67"/>
      <c r="M82" s="67">
        <f>IF(K75,K87,IF(M75,M87,J82))</f>
        <v>1898.1870577902419</v>
      </c>
      <c r="N82" s="67"/>
      <c r="O82" s="67"/>
      <c r="P82" s="67">
        <f>IF(N75,N87,IF(P75,P87,M82))</f>
        <v>1888.1017657489374</v>
      </c>
      <c r="Q82" s="67"/>
      <c r="R82" s="67"/>
      <c r="S82" s="67">
        <f>IF(Q75,Q87,IF(S75,S87,P82))</f>
        <v>1888.1017657489374</v>
      </c>
      <c r="T82" s="67"/>
      <c r="U82" s="67"/>
      <c r="V82" s="67">
        <f>IF(T75,T87,IF(V75,V87,S82))</f>
        <v>1888.1017657489374</v>
      </c>
      <c r="W82" s="67"/>
      <c r="X82" s="67"/>
      <c r="Y82" s="67">
        <f>IF(W75,W87,IF(Y75,Y87,V82))</f>
        <v>1888.1017657489374</v>
      </c>
      <c r="Z82" s="67"/>
      <c r="AA82" s="67"/>
      <c r="AB82" s="67">
        <f>IF(Z75,Z87,IF(AB75,AB87,Y82))</f>
        <v>1888.1017657489374</v>
      </c>
      <c r="AC82" s="67"/>
      <c r="AD82" s="67"/>
      <c r="AE82" s="67">
        <f>IF(AC75,AC87,IF(AE75,AE87,AB82))</f>
        <v>1888.1017657489374</v>
      </c>
      <c r="AF82" s="4"/>
      <c r="AG82" s="4"/>
      <c r="AJ82" s="4"/>
      <c r="AL82" s="4"/>
      <c r="AM82" s="4"/>
      <c r="AN82" s="4"/>
      <c r="AO82" s="4"/>
      <c r="AT82" s="63" t="str">
        <f>B82</f>
        <v>SC Midlands 15 Black</v>
      </c>
      <c r="AU82" s="63">
        <f>AE82</f>
        <v>1888.1017657489374</v>
      </c>
      <c r="AW82" s="66"/>
      <c r="BB82" s="66"/>
    </row>
    <row r="83" spans="1:54" s="63" customFormat="1" hidden="1" x14ac:dyDescent="0.2">
      <c r="A83" s="67">
        <v>5</v>
      </c>
      <c r="B83" s="67">
        <f>E16</f>
        <v>0</v>
      </c>
      <c r="C83" s="67" t="e">
        <f>VLOOKUP(B83,AU$3:AY$12,3,FALSE)</f>
        <v>#N/A</v>
      </c>
      <c r="D83" s="67" t="e">
        <f>IF(B76,B87,IF(D76,D87,C83))</f>
        <v>#N/A</v>
      </c>
      <c r="E83" s="67"/>
      <c r="F83" s="67"/>
      <c r="G83" s="67" t="e">
        <f>IF(E76,E87,IF(G76,G87,D83))</f>
        <v>#N/A</v>
      </c>
      <c r="H83" s="67"/>
      <c r="I83" s="67"/>
      <c r="J83" s="67" t="e">
        <f>IF(H76,H87,IF(J76,J87,G83))</f>
        <v>#N/A</v>
      </c>
      <c r="K83" s="67"/>
      <c r="L83" s="67"/>
      <c r="M83" s="67" t="e">
        <f>IF(K76,K87,IF(M76,M87,J83))</f>
        <v>#N/A</v>
      </c>
      <c r="N83" s="67"/>
      <c r="O83" s="67"/>
      <c r="P83" s="67" t="e">
        <f>IF(N76,N87,IF(P76,P87,M83))</f>
        <v>#N/A</v>
      </c>
      <c r="Q83" s="67"/>
      <c r="R83" s="67"/>
      <c r="S83" s="67" t="e">
        <f>IF(Q76,Q87,IF(S76,S87,P83))</f>
        <v>#N/A</v>
      </c>
      <c r="T83" s="67"/>
      <c r="U83" s="67"/>
      <c r="V83" s="67" t="e">
        <f>IF(T76,T87,IF(V76,V87,S83))</f>
        <v>#N/A</v>
      </c>
      <c r="W83" s="67"/>
      <c r="X83" s="67"/>
      <c r="Y83" s="67" t="e">
        <f>IF(W76,W87,IF(Y76,Y87,V83))</f>
        <v>#N/A</v>
      </c>
      <c r="Z83" s="67"/>
      <c r="AA83" s="67"/>
      <c r="AB83" s="67" t="e">
        <f>IF(Z76,Z87,IF(AB76,AB87,Y83))</f>
        <v>#N/A</v>
      </c>
      <c r="AC83" s="67"/>
      <c r="AD83" s="67"/>
      <c r="AE83" s="67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63">
        <f>B83</f>
        <v>0</v>
      </c>
      <c r="AU83" s="63" t="e">
        <f>AE83</f>
        <v>#N/A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2200</v>
      </c>
      <c r="C85" s="67">
        <v>1</v>
      </c>
      <c r="D85" s="67">
        <f>VLOOKUP(D24,$A79:$AE83,3,FALSE)</f>
        <v>2138.2377521954518</v>
      </c>
      <c r="E85" s="67">
        <f>VLOOKUP(E24,$A79:$AE83,4,FALSE)</f>
        <v>2232.5282669272556</v>
      </c>
      <c r="F85" s="67">
        <v>2</v>
      </c>
      <c r="G85" s="67">
        <f>VLOOKUP(G24,$A79:$AE83,4,FALSE)</f>
        <v>1918.5906334054932</v>
      </c>
      <c r="H85" s="67">
        <f>VLOOKUP(H24,$A79:$AE83,7,FALSE)</f>
        <v>2175.5559890464351</v>
      </c>
      <c r="I85" s="67">
        <v>3</v>
      </c>
      <c r="J85" s="67">
        <f>VLOOKUP(J24,$A79:$AE83,7,FALSE)</f>
        <v>1909.5678833283916</v>
      </c>
      <c r="K85" s="67">
        <f>VLOOKUP(K24,$A79:$AE83,10,FALSE)</f>
        <v>2241.5510170043572</v>
      </c>
      <c r="L85" s="67">
        <v>4</v>
      </c>
      <c r="M85" s="67">
        <f>VLOOKUP(M24,$A79:$AE83,10,FALSE)</f>
        <v>2162.6817631490167</v>
      </c>
      <c r="N85" s="67">
        <f>VLOOKUP(N24,$A79:$AE83,13,FALSE)</f>
        <v>2189.3945691646145</v>
      </c>
      <c r="O85" s="67">
        <v>5</v>
      </c>
      <c r="P85" s="67">
        <f>VLOOKUP(P24,$A79:$AE83,13,FALSE)</f>
        <v>1898.1870577902419</v>
      </c>
      <c r="Q85" s="67">
        <f>VLOOKUP(Q24,$A79:$AE83,16,FALSE)</f>
        <v>2214.8382109887593</v>
      </c>
      <c r="R85" s="67">
        <v>6</v>
      </c>
      <c r="S85" s="67">
        <f>VLOOKUP(S24,$A79:$AE83,16,FALSE)</f>
        <v>2186.9368145845851</v>
      </c>
      <c r="T85" s="67">
        <f>VLOOKUP(T24,$A79:$AE83,19,FALSE)</f>
        <v>2174.7832696995929</v>
      </c>
      <c r="U85" s="67">
        <v>7</v>
      </c>
      <c r="V85" s="67">
        <f>VLOOKUP(V24,$A79:$AE83,19,FALSE)</f>
        <v>2199.479861205919</v>
      </c>
      <c r="W85" s="67">
        <f>VLOOKUP(W24,$A79:$AE83,22,FALSE)</f>
        <v>2226.9917558737516</v>
      </c>
      <c r="X85" s="67">
        <v>8</v>
      </c>
      <c r="Y85" s="67" t="e">
        <f>VLOOKUP(Y24,$A79:$AE83,22,FALSE)</f>
        <v>#N/A</v>
      </c>
      <c r="Z85" s="67">
        <f>VLOOKUP(Z24,$A79:$AE83,25,FALSE)</f>
        <v>2199.479861205919</v>
      </c>
      <c r="AA85" s="67">
        <v>9</v>
      </c>
      <c r="AB85" s="67">
        <f>VLOOKUP(AB24,$A79:$AE83,25,FALSE)</f>
        <v>1888.1017657489374</v>
      </c>
      <c r="AC85" s="67">
        <f>VLOOKUP(AC24,$A79:$AE83,28,FALSE)</f>
        <v>2226.9917558737516</v>
      </c>
      <c r="AD85" s="67">
        <v>10</v>
      </c>
      <c r="AE85" s="67">
        <f>VLOOKUP(AE24,$A79:$AE83,28,FALSE)</f>
        <v>2174.7832696995929</v>
      </c>
      <c r="AF85" s="4"/>
      <c r="AG85" s="61"/>
      <c r="AH85" s="61"/>
      <c r="AI85" s="61"/>
      <c r="AJ85" s="61"/>
      <c r="AK85" s="61"/>
      <c r="AL85" s="61"/>
      <c r="AM85" s="61"/>
      <c r="AN85" s="62"/>
      <c r="AO85" s="62"/>
      <c r="AP85" s="62"/>
      <c r="AQ85" s="62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1.7638753422989022</v>
      </c>
      <c r="C86" s="68"/>
      <c r="D86" s="68">
        <f>1/(1+(10^-((D85-B85)/400)))*(B36+D36)</f>
        <v>1.2361246577010976</v>
      </c>
      <c r="E86" s="68">
        <f>1/(1+(10^-((E85-G85)/400)))*(E36+G36)</f>
        <v>1.7180390600905737</v>
      </c>
      <c r="F86" s="68"/>
      <c r="G86" s="68">
        <f>1/(1+(10^-((G85-E85)/400)))*(E36+G36)</f>
        <v>0.28196093990942639</v>
      </c>
      <c r="H86" s="68">
        <f>1/(1+(10^-((H85-J85)/400)))*(H36+J36)</f>
        <v>1.6443492019328172</v>
      </c>
      <c r="I86" s="68"/>
      <c r="J86" s="68">
        <f>1/(1+(10^-((J85-H85)/400)))*(H36+J36)</f>
        <v>0.35565079806718292</v>
      </c>
      <c r="K86" s="68">
        <f>1/(1+(10^-((K85-M85)/400)))*(K36+M36)</f>
        <v>1.8347751879874286</v>
      </c>
      <c r="L86" s="68"/>
      <c r="M86" s="68">
        <f>1/(1+(10^-((M85-K85)/400)))*(K36+M36)</f>
        <v>1.1652248120125714</v>
      </c>
      <c r="N86" s="68">
        <f>1/(1+(10^-((N85-P85)/400)))*(N36+P36)</f>
        <v>1.6848346237092326</v>
      </c>
      <c r="O86" s="68"/>
      <c r="P86" s="68">
        <f>1/(1+(10^-((P85-N85)/400)))*(N36+P36)</f>
        <v>0.31516537629076752</v>
      </c>
      <c r="Q86" s="68">
        <f>1/(1+(10^-((Q85-S85)/400)))*(Q36+S36)</f>
        <v>1.6202017223439915</v>
      </c>
      <c r="R86" s="68"/>
      <c r="S86" s="68">
        <f>1/(1+(10^-((S85-Q85)/400)))*(Q36+S36)</f>
        <v>1.3797982776560085</v>
      </c>
      <c r="T86" s="68">
        <f>1/(1+(10^-((T85-V85)/400)))*(T36+V36)</f>
        <v>0</v>
      </c>
      <c r="U86" s="68"/>
      <c r="V86" s="68">
        <f>1/(1+(10^-((V85-T85)/400)))*(T36+V36)</f>
        <v>0</v>
      </c>
      <c r="W86" s="68" t="e">
        <f>1/(1+(10^-((W85-Y85)/400)))*(W36+Y36)</f>
        <v>#N/A</v>
      </c>
      <c r="X86" s="68"/>
      <c r="Y86" s="68" t="e">
        <f>1/(1+(10^-((Y85-W85)/400)))*(W36+Y36)</f>
        <v>#N/A</v>
      </c>
      <c r="Z86" s="68">
        <f>1/(1+(10^-((Z85-AB85)/400)))*(Z36+AB36)</f>
        <v>0</v>
      </c>
      <c r="AA86" s="68"/>
      <c r="AB86" s="68">
        <f>1/(1+(10^-((AB85-Z85)/400)))*(Z36+AB36)</f>
        <v>0</v>
      </c>
      <c r="AC86" s="68">
        <f>1/(1+(10^-((AC85-AE85)/400)))*(AC36+AE36)</f>
        <v>0</v>
      </c>
      <c r="AD86" s="68"/>
      <c r="AE86" s="68">
        <f>1/(1+(10^-((AE85-AC85)/400)))*(AC36+AE36)</f>
        <v>0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2175.5559890464351</v>
      </c>
      <c r="C87" s="74"/>
      <c r="D87" s="74">
        <f>D85+(D36-D86)*$BA$1</f>
        <v>2162.6817631490167</v>
      </c>
      <c r="E87" s="74">
        <f>E85+(E36-E86)*$BA$1</f>
        <v>2241.5510170043572</v>
      </c>
      <c r="F87" s="74"/>
      <c r="G87" s="74">
        <f>G85+(G36-G86)*$BA$1</f>
        <v>1909.5678833283916</v>
      </c>
      <c r="H87" s="74">
        <f>H85+(H36-H86)*$BA$1</f>
        <v>2186.9368145845851</v>
      </c>
      <c r="I87" s="74"/>
      <c r="J87" s="74">
        <f>J85+(J36-J86)*$BA$1</f>
        <v>1898.1870577902419</v>
      </c>
      <c r="K87" s="74">
        <f>K85+(K36-K86)*$BA$1</f>
        <v>2214.8382109887593</v>
      </c>
      <c r="L87" s="74"/>
      <c r="M87" s="74">
        <f>M85+(M36-M86)*$BA$1</f>
        <v>2189.3945691646145</v>
      </c>
      <c r="N87" s="74">
        <f>N85+(N36-N86)*$BA$1</f>
        <v>2199.479861205919</v>
      </c>
      <c r="O87" s="74"/>
      <c r="P87" s="74">
        <f>P85+(P36-P86)*$BA$1</f>
        <v>1888.1017657489374</v>
      </c>
      <c r="Q87" s="74">
        <f>Q85+(Q36-Q86)*$BA$1</f>
        <v>2226.9917558737516</v>
      </c>
      <c r="R87" s="74"/>
      <c r="S87" s="74">
        <f>S85+(S36-S86)*$BA$1</f>
        <v>2174.7832696995929</v>
      </c>
      <c r="T87" s="74">
        <f>T85+(T36-T86)*$BA$1</f>
        <v>2174.7832696995929</v>
      </c>
      <c r="U87" s="74"/>
      <c r="V87" s="74">
        <f>V85+(V36-V86)*$BA$1</f>
        <v>2199.479861205919</v>
      </c>
      <c r="W87" s="74" t="e">
        <f>W85+(W36-W86)*$BA$1</f>
        <v>#N/A</v>
      </c>
      <c r="X87" s="74"/>
      <c r="Y87" s="74" t="e">
        <f>Y85+(Y36-Y86)*$BA$1</f>
        <v>#N/A</v>
      </c>
      <c r="Z87" s="74">
        <f>Z85+(Z36-Z86)*$BA$1</f>
        <v>2199.479861205919</v>
      </c>
      <c r="AA87" s="74"/>
      <c r="AB87" s="74">
        <f>AB85+(AB36-AB86)*$BA$1</f>
        <v>1888.1017657489374</v>
      </c>
      <c r="AC87" s="74">
        <f>AC85+(AC36-AC86)*$BA$1</f>
        <v>2226.9917558737516</v>
      </c>
      <c r="AD87" s="74"/>
      <c r="AE87" s="74">
        <f>AE85+(AE36-AE86)*$BA$1</f>
        <v>2174.7832696995929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30"/>
      <c r="AN89" s="330"/>
      <c r="AO89" s="330"/>
      <c r="AP89" s="330"/>
    </row>
    <row r="90" spans="1:54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</row>
    <row r="91" spans="1:54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Matches Won</v>
      </c>
      <c r="M92" s="255"/>
      <c r="N92" s="255"/>
      <c r="O92" s="255"/>
      <c r="P92" s="255"/>
      <c r="Q92" s="256"/>
      <c r="R92" s="254" t="str">
        <f>IF($AK95=0,"Games Lost","Matches Lost")</f>
        <v>Matches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3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MBVC 15 Black Brittany</v>
      </c>
      <c r="F93" s="233"/>
      <c r="G93" s="233"/>
      <c r="H93" s="233"/>
      <c r="I93" s="233"/>
      <c r="J93" s="233"/>
      <c r="K93" s="234"/>
      <c r="L93" s="235">
        <f>IF($AK95=0,AF149,AF131)</f>
        <v>2</v>
      </c>
      <c r="M93" s="236"/>
      <c r="N93" s="236"/>
      <c r="O93" s="236"/>
      <c r="P93" s="236"/>
      <c r="Q93" s="256"/>
      <c r="R93" s="235">
        <f>IF($AK95=0,AG149,AG131)</f>
        <v>1</v>
      </c>
      <c r="S93" s="236"/>
      <c r="T93" s="236"/>
      <c r="U93" s="236"/>
      <c r="V93" s="236"/>
      <c r="W93" s="235">
        <f>AQ109</f>
        <v>16</v>
      </c>
      <c r="X93" s="236"/>
      <c r="Y93" s="236"/>
      <c r="Z93" s="239">
        <f>IF(AF143&gt;0,(AQ109/AF143),0)</f>
        <v>0.10666666666666667</v>
      </c>
      <c r="AA93" s="240"/>
      <c r="AB93" s="240"/>
      <c r="AC93" s="262">
        <f>IF(AF157=0,0,(AF149/AF157))</f>
        <v>0.66666666666666663</v>
      </c>
      <c r="AD93" s="263"/>
      <c r="AE93" s="264"/>
      <c r="AF93" s="268">
        <v>2</v>
      </c>
      <c r="AG93" s="268">
        <v>1</v>
      </c>
      <c r="AH93" s="270">
        <v>3</v>
      </c>
      <c r="AI93" s="271"/>
      <c r="AJ93" s="27"/>
      <c r="AK93" s="28">
        <v>6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228"/>
      <c r="B94" s="274" t="s">
        <v>11</v>
      </c>
      <c r="C94" s="275"/>
      <c r="D94" s="276"/>
      <c r="E94" s="277" t="str">
        <f>AV4</f>
        <v>fj5mbeac1pm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4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Upward Stars 15 Brittni</v>
      </c>
      <c r="F95" s="233"/>
      <c r="G95" s="233"/>
      <c r="H95" s="233"/>
      <c r="I95" s="233"/>
      <c r="J95" s="233"/>
      <c r="K95" s="234"/>
      <c r="L95" s="235">
        <f>IF($AK95=0,AF150,AF132)</f>
        <v>3</v>
      </c>
      <c r="M95" s="236"/>
      <c r="N95" s="236"/>
      <c r="O95" s="236"/>
      <c r="P95" s="236"/>
      <c r="Q95" s="256"/>
      <c r="R95" s="235">
        <f>IF($AK95=0,AG150,AG132)</f>
        <v>0</v>
      </c>
      <c r="S95" s="236"/>
      <c r="T95" s="236"/>
      <c r="U95" s="236"/>
      <c r="V95" s="236"/>
      <c r="W95" s="235">
        <f>AQ110</f>
        <v>73</v>
      </c>
      <c r="X95" s="236"/>
      <c r="Y95" s="236"/>
      <c r="Z95" s="239">
        <f>IF(AF144&gt;0,(AQ110/AF144),0)</f>
        <v>0.48666666666666669</v>
      </c>
      <c r="AA95" s="240"/>
      <c r="AB95" s="240"/>
      <c r="AC95" s="262">
        <f>IF(AF158=0,0,(AF150/AF158))</f>
        <v>1</v>
      </c>
      <c r="AD95" s="263"/>
      <c r="AE95" s="264"/>
      <c r="AF95" s="268">
        <v>1</v>
      </c>
      <c r="AG95" s="268">
        <v>1</v>
      </c>
      <c r="AH95" s="270">
        <v>3</v>
      </c>
      <c r="AI95" s="271"/>
      <c r="AJ95" s="27"/>
      <c r="AK95" s="28">
        <v>1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228"/>
      <c r="B96" s="284" t="s">
        <v>11</v>
      </c>
      <c r="C96" s="285"/>
      <c r="D96" s="285"/>
      <c r="E96" s="277" t="str">
        <f>AV5</f>
        <v>fj5upwrd5pm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Upstate 15-2 Club</v>
      </c>
      <c r="F97" s="233"/>
      <c r="G97" s="233"/>
      <c r="H97" s="233"/>
      <c r="I97" s="233"/>
      <c r="J97" s="233"/>
      <c r="K97" s="234"/>
      <c r="L97" s="235">
        <f>IF($AK95=0,AF151,AF133)</f>
        <v>1</v>
      </c>
      <c r="M97" s="236"/>
      <c r="N97" s="236"/>
      <c r="O97" s="236"/>
      <c r="P97" s="236"/>
      <c r="Q97" s="256"/>
      <c r="R97" s="235">
        <f>IF($AK95=0,AG151,AG133)</f>
        <v>2</v>
      </c>
      <c r="S97" s="236"/>
      <c r="T97" s="236"/>
      <c r="U97" s="236"/>
      <c r="V97" s="236"/>
      <c r="W97" s="235">
        <f>AQ111</f>
        <v>-44</v>
      </c>
      <c r="X97" s="236"/>
      <c r="Y97" s="236"/>
      <c r="Z97" s="239">
        <f>IF(AF145&gt;0,(AQ111/AF145),0)</f>
        <v>-0.26666666666666666</v>
      </c>
      <c r="AA97" s="240"/>
      <c r="AB97" s="240"/>
      <c r="AC97" s="262">
        <f>IF(AF159=0,0,(AF151/AF159))</f>
        <v>0.2857142857142857</v>
      </c>
      <c r="AD97" s="263"/>
      <c r="AE97" s="264"/>
      <c r="AF97" s="268">
        <v>3</v>
      </c>
      <c r="AG97" s="268">
        <v>1</v>
      </c>
      <c r="AH97" s="270">
        <v>6</v>
      </c>
      <c r="AI97" s="271"/>
      <c r="AJ97" s="31"/>
      <c r="AK97" s="28">
        <v>3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fj5upsvc2pm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Lake Murray 15 Black</v>
      </c>
      <c r="F99" s="233"/>
      <c r="G99" s="233"/>
      <c r="H99" s="233"/>
      <c r="I99" s="233"/>
      <c r="J99" s="233"/>
      <c r="K99" s="234"/>
      <c r="L99" s="235">
        <f>IF($AK95=0,AF152,AF134)</f>
        <v>0</v>
      </c>
      <c r="M99" s="236"/>
      <c r="N99" s="236"/>
      <c r="O99" s="236"/>
      <c r="P99" s="236"/>
      <c r="Q99" s="256"/>
      <c r="R99" s="235">
        <f>IF($AK95=0,AG152,AG134)</f>
        <v>3</v>
      </c>
      <c r="S99" s="236"/>
      <c r="T99" s="236"/>
      <c r="U99" s="236"/>
      <c r="V99" s="236"/>
      <c r="W99" s="235">
        <f>AQ112</f>
        <v>-45</v>
      </c>
      <c r="X99" s="236"/>
      <c r="Y99" s="236"/>
      <c r="Z99" s="239">
        <f>IF(AF146&gt;0,(AQ112/AF146),0)</f>
        <v>-0.27272727272727271</v>
      </c>
      <c r="AA99" s="240"/>
      <c r="AB99" s="240"/>
      <c r="AC99" s="262">
        <f>IF(AF160=0,0,(AF152/AF160))</f>
        <v>0.14285714285714285</v>
      </c>
      <c r="AD99" s="263"/>
      <c r="AE99" s="264"/>
      <c r="AF99" s="268">
        <v>4</v>
      </c>
      <c r="AG99" s="268">
        <v>1</v>
      </c>
      <c r="AH99" s="270">
        <v>7</v>
      </c>
      <c r="AI99" s="271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fj5lakem2pm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227" t="str">
        <f>IF($AK94&gt;4,"5","")</f>
        <v/>
      </c>
      <c r="B101" s="286" t="s">
        <v>10</v>
      </c>
      <c r="C101" s="287"/>
      <c r="D101" s="287"/>
      <c r="E101" s="232">
        <f>AU12</f>
        <v>0</v>
      </c>
      <c r="F101" s="233"/>
      <c r="G101" s="233"/>
      <c r="H101" s="233"/>
      <c r="I101" s="233"/>
      <c r="J101" s="233"/>
      <c r="K101" s="234"/>
      <c r="L101" s="235">
        <f>IF($AK95=0,AF153,AF135)</f>
        <v>0</v>
      </c>
      <c r="M101" s="236"/>
      <c r="N101" s="236"/>
      <c r="O101" s="236"/>
      <c r="P101" s="236"/>
      <c r="Q101" s="256"/>
      <c r="R101" s="235">
        <f>IF($AK95=0,AG153,AG135)</f>
        <v>0</v>
      </c>
      <c r="S101" s="236"/>
      <c r="T101" s="236"/>
      <c r="U101" s="236"/>
      <c r="V101" s="236"/>
      <c r="W101" s="235">
        <f>AQ113</f>
        <v>0</v>
      </c>
      <c r="X101" s="236"/>
      <c r="Y101" s="236"/>
      <c r="Z101" s="239">
        <f>IF(AF147&gt;0,(AQ113/AF147),0)</f>
        <v>0</v>
      </c>
      <c r="AA101" s="240"/>
      <c r="AB101" s="240"/>
      <c r="AC101" s="262">
        <f>IF(AF161=0,0,(AF153/AF161))</f>
        <v>0</v>
      </c>
      <c r="AD101" s="263"/>
      <c r="AE101" s="264"/>
      <c r="AF101" s="268"/>
      <c r="AG101" s="268"/>
      <c r="AH101" s="270"/>
      <c r="AI101" s="271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410">
        <f>AV12</f>
        <v>0</v>
      </c>
      <c r="F102" s="411"/>
      <c r="G102" s="411"/>
      <c r="H102" s="411"/>
      <c r="I102" s="411"/>
      <c r="J102" s="411"/>
      <c r="K102" s="411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305" t="s">
        <v>192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customHeight="1" thickTop="1" x14ac:dyDescent="0.2">
      <c r="A104" s="4" t="s">
        <v>66</v>
      </c>
      <c r="B104" s="308">
        <v>0.35416666666666669</v>
      </c>
      <c r="C104" s="309"/>
      <c r="D104" s="310"/>
      <c r="E104" s="308">
        <v>0.39583333333333331</v>
      </c>
      <c r="F104" s="309"/>
      <c r="G104" s="310"/>
      <c r="H104" s="308">
        <v>0.4375</v>
      </c>
      <c r="I104" s="309"/>
      <c r="J104" s="310"/>
      <c r="K104" s="308">
        <v>0.5</v>
      </c>
      <c r="L104" s="309"/>
      <c r="M104" s="310"/>
      <c r="N104" s="308">
        <v>4.1666666666666664E-2</v>
      </c>
      <c r="O104" s="309"/>
      <c r="P104" s="310"/>
      <c r="Q104" s="308">
        <v>8.3333333333333329E-2</v>
      </c>
      <c r="R104" s="309"/>
      <c r="S104" s="310"/>
      <c r="T104" s="308">
        <v>4.1666666666666664E-2</v>
      </c>
      <c r="U104" s="309"/>
      <c r="V104" s="310"/>
      <c r="W104" s="308">
        <v>7.2916666666666671E-2</v>
      </c>
      <c r="X104" s="309"/>
      <c r="Y104" s="310"/>
      <c r="Z104" s="308">
        <v>0.10416666666666667</v>
      </c>
      <c r="AA104" s="309"/>
      <c r="AB104" s="310"/>
      <c r="AC104" s="308">
        <v>0.13541666666666666</v>
      </c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/>
      <c r="C105" s="320"/>
      <c r="D105" s="321"/>
      <c r="E105" s="319"/>
      <c r="F105" s="320"/>
      <c r="G105" s="321"/>
      <c r="H105" s="319"/>
      <c r="I105" s="320"/>
      <c r="J105" s="321"/>
      <c r="K105" s="319"/>
      <c r="L105" s="320"/>
      <c r="M105" s="321"/>
      <c r="N105" s="319"/>
      <c r="O105" s="320"/>
      <c r="P105" s="321"/>
      <c r="Q105" s="319"/>
      <c r="R105" s="320"/>
      <c r="S105" s="321"/>
      <c r="T105" s="319"/>
      <c r="U105" s="320"/>
      <c r="V105" s="321"/>
      <c r="W105" s="319"/>
      <c r="X105" s="320"/>
      <c r="Y105" s="321"/>
      <c r="Z105" s="319"/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/>
      <c r="C106" s="320"/>
      <c r="D106" s="321"/>
      <c r="E106" s="319"/>
      <c r="F106" s="320"/>
      <c r="G106" s="321"/>
      <c r="H106" s="319"/>
      <c r="I106" s="320"/>
      <c r="J106" s="321"/>
      <c r="K106" s="319"/>
      <c r="L106" s="320"/>
      <c r="M106" s="321"/>
      <c r="N106" s="319"/>
      <c r="O106" s="320"/>
      <c r="P106" s="321"/>
      <c r="Q106" s="319"/>
      <c r="R106" s="320"/>
      <c r="S106" s="321"/>
      <c r="T106" s="319"/>
      <c r="U106" s="320"/>
      <c r="V106" s="321"/>
      <c r="W106" s="319"/>
      <c r="X106" s="320"/>
      <c r="Y106" s="321"/>
      <c r="Z106" s="319"/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7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/>
      </c>
      <c r="U107" s="323"/>
      <c r="V107" s="324"/>
      <c r="W107" s="322" t="str">
        <f>IF(AK93&gt;7,"Match 8","")</f>
        <v/>
      </c>
      <c r="X107" s="323"/>
      <c r="Y107" s="324"/>
      <c r="Z107" s="322" t="str">
        <f>IF(AK93&gt;8,"Match 9","")</f>
        <v/>
      </c>
      <c r="AA107" s="323"/>
      <c r="AB107" s="324"/>
      <c r="AC107" s="322" t="str">
        <f>IF(AK93&gt;9,"Match 10","")</f>
        <v/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7"/>
      <c r="B108" s="325" t="s">
        <v>73</v>
      </c>
      <c r="C108" s="326"/>
      <c r="D108" s="327"/>
      <c r="E108" s="325" t="s">
        <v>75</v>
      </c>
      <c r="F108" s="326"/>
      <c r="G108" s="327"/>
      <c r="H108" s="325" t="s">
        <v>72</v>
      </c>
      <c r="I108" s="326"/>
      <c r="J108" s="327"/>
      <c r="K108" s="325" t="s">
        <v>71</v>
      </c>
      <c r="L108" s="326"/>
      <c r="M108" s="327"/>
      <c r="N108" s="325" t="s">
        <v>75</v>
      </c>
      <c r="O108" s="326"/>
      <c r="P108" s="327"/>
      <c r="Q108" s="325" t="s">
        <v>72</v>
      </c>
      <c r="R108" s="326"/>
      <c r="S108" s="327"/>
      <c r="T108" s="325" t="s">
        <v>71</v>
      </c>
      <c r="U108" s="326"/>
      <c r="V108" s="327"/>
      <c r="W108" s="325" t="s">
        <v>75</v>
      </c>
      <c r="X108" s="326"/>
      <c r="Y108" s="327"/>
      <c r="Z108" s="325" t="s">
        <v>197</v>
      </c>
      <c r="AA108" s="326"/>
      <c r="AB108" s="327"/>
      <c r="AC108" s="325" t="s">
        <v>72</v>
      </c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3</v>
      </c>
      <c r="E109" s="45">
        <v>1</v>
      </c>
      <c r="F109" s="46" t="str">
        <f>IF(AK93&gt;1,"v","")</f>
        <v>v</v>
      </c>
      <c r="G109" s="47">
        <v>4</v>
      </c>
      <c r="H109" s="45">
        <v>2</v>
      </c>
      <c r="I109" s="46" t="str">
        <f>IF(AK93&gt;2,"v","")</f>
        <v>v</v>
      </c>
      <c r="J109" s="47">
        <v>4</v>
      </c>
      <c r="K109" s="45">
        <v>1</v>
      </c>
      <c r="L109" s="46" t="str">
        <f>IF(AK93&gt;3,"v","")</f>
        <v>v</v>
      </c>
      <c r="M109" s="47">
        <v>3</v>
      </c>
      <c r="N109" s="45">
        <v>3</v>
      </c>
      <c r="O109" s="46" t="str">
        <f>IF(AK93&gt;4,"v","")</f>
        <v>v</v>
      </c>
      <c r="P109" s="47">
        <v>4</v>
      </c>
      <c r="Q109" s="45">
        <v>1</v>
      </c>
      <c r="R109" s="46" t="str">
        <f>IF(AK93&gt;5,"v","")</f>
        <v>v</v>
      </c>
      <c r="S109" s="47">
        <v>2</v>
      </c>
      <c r="T109" s="45">
        <v>2</v>
      </c>
      <c r="U109" s="46" t="str">
        <f>IF(AK93&gt;6,"v","")</f>
        <v/>
      </c>
      <c r="V109" s="47">
        <v>3</v>
      </c>
      <c r="W109" s="45">
        <v>1</v>
      </c>
      <c r="X109" s="46" t="str">
        <f>IF(AK93&gt;7,"v","")</f>
        <v/>
      </c>
      <c r="Y109" s="47">
        <v>5</v>
      </c>
      <c r="Z109" s="45">
        <v>3</v>
      </c>
      <c r="AA109" s="46" t="str">
        <f>IF(AK93&gt;8,"v","")</f>
        <v/>
      </c>
      <c r="AB109" s="47">
        <v>4</v>
      </c>
      <c r="AC109" s="45">
        <v>1</v>
      </c>
      <c r="AD109" s="46" t="str">
        <f>IF(AK93&gt;9,"v","")</f>
        <v/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14</v>
      </c>
      <c r="AI109" s="48" t="str">
        <f>IF(AK94&lt;1,"",IF(AK93&lt;3,"",IF(H109=1,H115-J115,IF(J109=1,J115-H115,""))))</f>
        <v/>
      </c>
      <c r="AJ109" s="48">
        <f>IF(AK94&lt;1,"",IF(AK93&lt;4,"",IF(K109=1,K115-M115,IF(M109=1,M115-K115,""))))</f>
        <v>16</v>
      </c>
      <c r="AK109" s="48" t="str">
        <f>IF(AK94&lt;1,"",IF(AK93&lt;5,"",IF(N109=1,N115-P115,IF(P109=1,P115-N115,""))))</f>
        <v/>
      </c>
      <c r="AL109" s="48">
        <f>IF(AK94&lt;1,"",IF(AK93&lt;6,"",IF(Q109=1,Q115-S115,IF(S109=1,S115-Q115,""))))</f>
        <v>-14</v>
      </c>
      <c r="AM109" s="48" t="str">
        <f>IF(AK94&lt;1,"",IF(AK93&lt;7,"",IF(T109=1,T115-V115,IF(V109=1,V115-T115,""))))</f>
        <v/>
      </c>
      <c r="AN109" s="48" t="str">
        <f>IF(AK94&lt;1,"",IF(AK93&lt;8,"",IF(W109=1,W115-Y115,IF(Y109=1,Y115-W115,""))))</f>
        <v/>
      </c>
      <c r="AO109" s="48" t="str">
        <f>IF(AK94&lt;1,"",IF(AK93&lt;9,"",IF(Z109=1,Z115-AB115,IF(AB109=1,AB115-Z115,""))))</f>
        <v/>
      </c>
      <c r="AP109" s="48" t="str">
        <f>IF(AK94&lt;1,"",IF(AK93&lt;10,"",IF(AC109=1,AC115-AE115,IF(AE109=1,AE115-AC115,""))))</f>
        <v/>
      </c>
      <c r="AQ109" s="44">
        <f>SUM(AG109:AP109)</f>
        <v>16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6</v>
      </c>
      <c r="E110" s="49">
        <v>25</v>
      </c>
      <c r="F110" s="50" t="str">
        <f>IF(AK93&gt;1,"/","")</f>
        <v>/</v>
      </c>
      <c r="G110" s="51">
        <v>17</v>
      </c>
      <c r="H110" s="49">
        <v>25</v>
      </c>
      <c r="I110" s="50" t="str">
        <f>IF(AK93&gt;2,"/","")</f>
        <v>/</v>
      </c>
      <c r="J110" s="51">
        <v>17</v>
      </c>
      <c r="K110" s="49">
        <v>25</v>
      </c>
      <c r="L110" s="50" t="str">
        <f>IF(AK93&gt;3,"/","")</f>
        <v>/</v>
      </c>
      <c r="M110" s="51">
        <v>20</v>
      </c>
      <c r="N110" s="49">
        <v>20</v>
      </c>
      <c r="O110" s="50" t="str">
        <f>IF(AK93&gt;4,"/","")</f>
        <v>/</v>
      </c>
      <c r="P110" s="51">
        <v>25</v>
      </c>
      <c r="Q110" s="49">
        <v>13</v>
      </c>
      <c r="R110" s="50" t="str">
        <f>IF(AK93&gt;5,"/","")</f>
        <v>/</v>
      </c>
      <c r="S110" s="51">
        <v>25</v>
      </c>
      <c r="T110" s="49"/>
      <c r="U110" s="50" t="str">
        <f>IF(AK93&gt;6,"/","")</f>
        <v/>
      </c>
      <c r="V110" s="51"/>
      <c r="W110" s="49"/>
      <c r="X110" s="50" t="str">
        <f>IF(AK93&gt;7,"/","")</f>
        <v/>
      </c>
      <c r="Y110" s="51"/>
      <c r="Z110" s="49"/>
      <c r="AA110" s="50" t="str">
        <f>IF(AK93&gt;8,"/","")</f>
        <v/>
      </c>
      <c r="AB110" s="51"/>
      <c r="AC110" s="49"/>
      <c r="AD110" s="50" t="str">
        <f>IF(AK93&gt;9,"/","")</f>
        <v/>
      </c>
      <c r="AE110" s="51"/>
      <c r="AF110" s="42" t="str">
        <f>IF(AK94&gt;1,"Team 2","")</f>
        <v>Team 2</v>
      </c>
      <c r="AG110" s="48">
        <f>IF(AK94&lt;2,"",IF(AK93&lt;1,"",IF(B109=2,B115-D115,IF(D109=2,D115-B115,""))))</f>
        <v>38</v>
      </c>
      <c r="AH110" s="48" t="str">
        <f>IF(AK94&lt;2,"",IF(AK93&lt;2,"",IF(E109=2,E115-G115,IF(G109=2,G115-E115,""))))</f>
        <v/>
      </c>
      <c r="AI110" s="48">
        <f>IF(AK94&lt;2,"",IF(AK93&lt;3,"",IF(H109=2,H115-J115,IF(J109=2,J115-H115,""))))</f>
        <v>21</v>
      </c>
      <c r="AJ110" s="48" t="str">
        <f>IF(AK94&lt;2,"",IF(AK93&lt;4,"",IF(K109=2,K115-M115,IF(M109=2,M115-K115,""))))</f>
        <v/>
      </c>
      <c r="AK110" s="48" t="str">
        <f>IF(AK94&lt;2,"",IF(AK93&lt;5,"",IF(N109=2,N115-P115,IF(P109=2,P115-N115,""))))</f>
        <v/>
      </c>
      <c r="AL110" s="48">
        <f>IF(AK94&lt;2,"",IF(AK93&lt;6,"",IF(Q109=2,Q115-S115,IF(S109=2,S115-Q115,""))))</f>
        <v>14</v>
      </c>
      <c r="AM110" s="48" t="str">
        <f>IF(AK94&lt;2,"",IF(AK93&lt;7,"",IF(T109=2,T115-V115,IF(V109=2,V115-T115,""))))</f>
        <v/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 t="str">
        <f>IF(AK94&lt;2,"",IF(AK93&lt;10,"",IF(AC109=2,AC115-AE115,IF(AE109=2,AE115-AC115,""))))</f>
        <v/>
      </c>
      <c r="AQ110" s="44">
        <f>SUM(AG110:AP110)</f>
        <v>73</v>
      </c>
    </row>
    <row r="111" spans="1:44" ht="15" x14ac:dyDescent="0.2">
      <c r="A111" s="3" t="str">
        <f>IF(AK92&gt;1,"Game 2","")</f>
        <v>Game 2</v>
      </c>
      <c r="B111" s="49">
        <v>25</v>
      </c>
      <c r="C111" s="50" t="s">
        <v>80</v>
      </c>
      <c r="D111" s="51">
        <v>6</v>
      </c>
      <c r="E111" s="49">
        <v>25</v>
      </c>
      <c r="F111" s="50" t="str">
        <f>IF(AK93&gt;1,IF(AK92&gt;1,"/",""),"")</f>
        <v>/</v>
      </c>
      <c r="G111" s="51">
        <v>19</v>
      </c>
      <c r="H111" s="49">
        <v>25</v>
      </c>
      <c r="I111" s="50" t="str">
        <f>IF(AK93&gt;2,IF(AK92&gt;1,"/",""),"")</f>
        <v>/</v>
      </c>
      <c r="J111" s="51">
        <v>12</v>
      </c>
      <c r="K111" s="49">
        <v>25</v>
      </c>
      <c r="L111" s="50" t="str">
        <f>IF(AK93&gt;3,IF(AK92&gt;1,"/",""),"")</f>
        <v>/</v>
      </c>
      <c r="M111" s="51">
        <v>14</v>
      </c>
      <c r="N111" s="49">
        <v>25</v>
      </c>
      <c r="O111" s="50" t="str">
        <f>IF(AK93&gt;4,IF(AK92&gt;1,"/",""),"")</f>
        <v>/</v>
      </c>
      <c r="P111" s="51">
        <v>14</v>
      </c>
      <c r="Q111" s="49">
        <v>23</v>
      </c>
      <c r="R111" s="50" t="str">
        <f>IF(AK93&gt;5,IF(AK92&gt;1,"/",""),"")</f>
        <v>/</v>
      </c>
      <c r="S111" s="51">
        <v>25</v>
      </c>
      <c r="T111" s="49"/>
      <c r="U111" s="50" t="str">
        <f>IF(AK93&gt;6,IF(AK92&gt;1,"/",""),"")</f>
        <v/>
      </c>
      <c r="V111" s="51"/>
      <c r="W111" s="49"/>
      <c r="X111" s="50" t="str">
        <f>IF(AK93&gt;7,IF(AK92&gt;1,"/",""),"")</f>
        <v/>
      </c>
      <c r="Y111" s="51"/>
      <c r="Z111" s="49"/>
      <c r="AA111" s="50" t="str">
        <f>IF(AK93&gt;8,IF(AK92&gt;1,"/",""),"")</f>
        <v/>
      </c>
      <c r="AB111" s="51"/>
      <c r="AC111" s="49"/>
      <c r="AD111" s="50" t="str">
        <f>IF(AK93&gt;9,IF(AK92&gt;1,"/",""),"")</f>
        <v/>
      </c>
      <c r="AE111" s="51"/>
      <c r="AF111" s="42" t="str">
        <f>IF(AK94&gt;2,"Team 3","")</f>
        <v>Team 3</v>
      </c>
      <c r="AG111" s="48">
        <f>IF(AK94&lt;3,"",IF(AK93&lt;1,"",IF(B109=3,B115-D115,IF(D109=3,D115-B115,""))))</f>
        <v>-38</v>
      </c>
      <c r="AH111" s="48" t="str">
        <f>IF(AK94&lt;3,"",IF(AK93&lt;2,"",IF(E109=3,E115-G115,IF(G109=3,G115-E115,""))))</f>
        <v/>
      </c>
      <c r="AI111" s="48" t="str">
        <f>IF(AK94&lt;3,"",IF(AK93&lt;3,"",IF(H109=3,H115-J115,IF(J109=3,J115-H115,""))))</f>
        <v/>
      </c>
      <c r="AJ111" s="48">
        <f>IF(AK94&lt;3,"",IF(AK93&lt;4,"",IF(K109=3,K115-M115,IF(M109=3,M115-K115,""))))</f>
        <v>-16</v>
      </c>
      <c r="AK111" s="48">
        <f>IF(AK94&lt;3,"",IF(AK93&lt;5,"",IF(N109=3,N115-P115,IF(P109=3,P115-N115,""))))</f>
        <v>10</v>
      </c>
      <c r="AL111" s="48" t="str">
        <f>IF(AK94&lt;3,"",IF(AK93&lt;6,"",IF(Q109=3,Q115-S115,IF(S109=3,S115-Q115,""))))</f>
        <v/>
      </c>
      <c r="AM111" s="48" t="str">
        <f>IF(AK94&lt;3,"",IF(AK93&lt;7,"",IF(T109=3,T115-V115,IF(V109=3,V115-T115,""))))</f>
        <v/>
      </c>
      <c r="AN111" s="48" t="str">
        <f>IF(AK94&lt;3,"",IF(AK93&lt;8,"",IF(W109=3,W115-Y115,IF(Y109=3,Y115-W115,""))))</f>
        <v/>
      </c>
      <c r="AO111" s="48" t="str">
        <f>IF(AK94&lt;3,"",IF(AK93&lt;9,"",IF(Z109=3,Z115-AB115,IF(AB109=3,AB115-Z115,""))))</f>
        <v/>
      </c>
      <c r="AP111" s="48" t="str">
        <f>IF(AK94&lt;3,"",IF(AK93&lt;9,"",IF(AC109=3,AC115-AE115,IF(AE109=3,AE115-AC115,""))))</f>
        <v/>
      </c>
      <c r="AQ111" s="44">
        <f>SUM(AG111:AP111)</f>
        <v>-44</v>
      </c>
    </row>
    <row r="112" spans="1:44" ht="15" x14ac:dyDescent="0.2">
      <c r="A112" s="3" t="str">
        <f>IF(AK92&gt;2,"Game 3","")</f>
        <v>Game 3</v>
      </c>
      <c r="B112" s="49"/>
      <c r="C112" s="50" t="s">
        <v>80</v>
      </c>
      <c r="D112" s="51"/>
      <c r="E112" s="49"/>
      <c r="F112" s="50" t="str">
        <f>IF(AK93&gt;1,IF(AK92&gt;2,"/",""),"")</f>
        <v>/</v>
      </c>
      <c r="G112" s="51"/>
      <c r="H112" s="49"/>
      <c r="I112" s="50" t="str">
        <f>IF(AK93&gt;2,IF(AK92&gt;2,"/",""),"")</f>
        <v>/</v>
      </c>
      <c r="J112" s="51"/>
      <c r="K112" s="49"/>
      <c r="L112" s="50" t="str">
        <f>IF(AK93&gt;3,IF(AK92&gt;2,"/",""),"")</f>
        <v>/</v>
      </c>
      <c r="M112" s="51"/>
      <c r="N112" s="49">
        <v>15</v>
      </c>
      <c r="O112" s="50" t="str">
        <f>IF(AK93&gt;4,IF(AK92&gt;2,"/",""),"")</f>
        <v>/</v>
      </c>
      <c r="P112" s="51">
        <v>11</v>
      </c>
      <c r="Q112" s="49"/>
      <c r="R112" s="50" t="str">
        <f>IF(AK93&gt;5,IF(AK92&gt;2,"/",""),"")</f>
        <v>/</v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-14</v>
      </c>
      <c r="AI112" s="48">
        <f>IF(AK94&lt;4,"",IF(AK93&lt;3,"",IF(H109=4,H115-J115,IF(J109=4,J115-H115,""))))</f>
        <v>-21</v>
      </c>
      <c r="AJ112" s="48" t="str">
        <f>IF(AK94&lt;4,"",IF(AK93&lt;4,"",IF(K109=4,K115-M115,IF(M109=4,M115-K115,""))))</f>
        <v/>
      </c>
      <c r="AK112" s="48">
        <f>IF(AK94&lt;4,"",IF(AK93&lt;5,"",IF(N109=4,N115-P115,IF(P109=4,P115-N115,""))))</f>
        <v>-10</v>
      </c>
      <c r="AL112" s="48" t="str">
        <f>IF(AK94&lt;4,"",IF(AK93&lt;6,"",IF(Q109=4,Q115-S115,IF(S109=4,S115-Q115,""))))</f>
        <v/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 t="str">
        <f>IF(AK94&lt;4,"",IF(AK93&lt;9,"",IF(Z109=4,Z115-AB115,IF(AB109=4,AB115-Z115,""))))</f>
        <v/>
      </c>
      <c r="AP112" s="48" t="str">
        <f>IF(AK94&lt;4,"",IF(AK93&lt;10,"",IF(AC109=4,AC115-AE115,IF(AE109=4,AE115-AC115,""))))</f>
        <v/>
      </c>
      <c r="AQ112" s="44">
        <f>SUM(AG112:AP112)</f>
        <v>-45</v>
      </c>
    </row>
    <row r="113" spans="1:43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/>
      </c>
      <c r="AG113" s="52" t="str">
        <f>IF(AK94&lt;5,"",IF(AK93&lt;1,"",IF(B109=5,B115-D115,IF(D109=5,D115-B115,""))))</f>
        <v/>
      </c>
      <c r="AH113" s="48" t="str">
        <f>IF(AK94&lt;5,"",IF(AK93&lt;2,"",IF(E109=5,E115-G115,IF(G109=5,G115-E115,""))))</f>
        <v/>
      </c>
      <c r="AI113" s="48" t="str">
        <f>IF(AK94&lt;5,"",IF(AK93&lt;3,"",IF(H109=5,H115-J115,IF(J109=5,J115-H115,""))))</f>
        <v/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 t="str">
        <f>IF(AK94&lt;5,"",IF(AK93&lt;6,"",IF(Q109=5,Q115-S115,IF(S109=5,S115-Q115,""))))</f>
        <v/>
      </c>
      <c r="AM113" s="48" t="str">
        <f>IF(AK94&lt;5,"",IF(AK93&lt;7,"",IF(T109=5,T115-V115,IF(V109=5,V115-T115,""))))</f>
        <v/>
      </c>
      <c r="AN113" s="48" t="str">
        <f>IF(AK94&lt;5,"",IF(AK93&lt;8,"",IF(W109=5,W115-Y115,IF(Y109=5,Y115-W115,""))))</f>
        <v/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0</v>
      </c>
    </row>
    <row r="114" spans="1:43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3" hidden="1" x14ac:dyDescent="0.2">
      <c r="A115" s="53"/>
      <c r="B115" s="53">
        <f>IF($AK92=5,SUM(B110:B114),IF($AK92=4,SUM(B110:B113),IF($AK92=3,SUM(B110:B112),IF($AK92=2,SUM(B110:B111),B110))))</f>
        <v>50</v>
      </c>
      <c r="C115" s="53"/>
      <c r="D115" s="53">
        <f>IF($AK92=5,SUM(D110:D114),IF($AK92=4,SUM(D110:D113),IF($AK92=3,SUM(D110:D112),IF($AK92=2,SUM(D110:D111),D110))))</f>
        <v>12</v>
      </c>
      <c r="E115" s="53">
        <f>IF($AK92=5,SUM(E110:E114),IF($AK92=4,SUM(E110:E113),IF($AK92=3,SUM(E110:E112),IF($AK92=2,SUM(E110:E111),E110))))</f>
        <v>50</v>
      </c>
      <c r="F115" s="53"/>
      <c r="G115" s="53">
        <f>IF($AK92=5,SUM(G110:G114),IF($AK92=4,SUM(G110:G113),IF($AK92=3,SUM(G110:G112),IF($AK92=2,SUM(G110:G111),G110))))</f>
        <v>36</v>
      </c>
      <c r="H115" s="53">
        <f>IF($AK92=5,SUM(H110:H114),IF($AK92=4,SUM(H110:H113),IF($AK92=3,SUM(H110:H112),IF($AK92=2,SUM(H110:H111),H110))))</f>
        <v>50</v>
      </c>
      <c r="I115" s="53"/>
      <c r="J115" s="53">
        <f>IF($AK92=5,SUM(J110:J114),IF($AK92=4,SUM(J110:J113),IF($AK92=3,SUM(J110:J112),IF($AK92=2,SUM(J110:J111),J110))))</f>
        <v>29</v>
      </c>
      <c r="K115" s="53">
        <f>IF($AK92=5,SUM(K110:K114),IF($AK92=4,SUM(K110:K113),IF($AK92=3,SUM(K110:K112),IF($AK92=2,SUM(K110:K111),K110))))</f>
        <v>50</v>
      </c>
      <c r="L115" s="53"/>
      <c r="M115" s="53">
        <f>IF($AK92=5,SUM(M110:M114),IF($AK92=4,SUM(M110:M113),IF($AK92=3,SUM(M110:M112),IF($AK92=2,SUM(M110:M111),M110))))</f>
        <v>34</v>
      </c>
      <c r="N115" s="53">
        <f>IF($AK92=5,SUM(N110:N114),IF($AK92=4,SUM(N110:N113),IF($AK92=3,SUM(N110:N112),IF($AK92=2,SUM(N110:N111),N110))))</f>
        <v>60</v>
      </c>
      <c r="O115" s="53"/>
      <c r="P115" s="53">
        <f>IF($AK92=5,SUM(P110:P114),IF($AK92=4,SUM(P110:P113),IF($AK92=3,SUM(P110:P112),IF($AK92=2,SUM(P110:P111),P110))))</f>
        <v>50</v>
      </c>
      <c r="Q115" s="53">
        <f>IF($AK92=5,SUM(Q110:Q114),IF($AK92=4,SUM(Q110:Q113),IF($AK92=3,SUM(Q110:Q112),IF($AK92=2,SUM(Q110:Q111),Q110))))</f>
        <v>36</v>
      </c>
      <c r="R115" s="53"/>
      <c r="S115" s="53">
        <f>IF($AK92=5,SUM(S110:S114),IF($AK92=4,SUM(S110:S113),IF($AK92=3,SUM(S110:S112),IF($AK92=2,SUM(S110:S111),S110))))</f>
        <v>50</v>
      </c>
      <c r="T115" s="53">
        <f>IF($AK92=5,SUM(T110:T114),IF($AK92=4,SUM(T110:T113),IF($AK92=3,SUM(T110:T112),IF($AK92=2,SUM(T110:T111),T110))))</f>
        <v>0</v>
      </c>
      <c r="U115" s="53"/>
      <c r="V115" s="53">
        <f>IF($AK92=5,SUM(V110:V114),IF($AK92=4,SUM(V110:V113),IF($AK92=3,SUM(V110:V112),IF($AK92=2,SUM(V110:V111),V110))))</f>
        <v>0</v>
      </c>
      <c r="W115" s="53">
        <f>IF($AK92=5,SUM(W110:W114),IF($AK92=4,SUM(W110:W113),IF($AK92=3,SUM(W110:W112),IF($AK92=2,SUM(W110:W111),W110))))</f>
        <v>0</v>
      </c>
      <c r="X115" s="53"/>
      <c r="Y115" s="53">
        <f>IF($AK92=5,SUM(Y110:Y114),IF($AK92=4,SUM(Y110:Y113),IF($AK92=3,SUM(Y110:Y112),IF($AK92=2,SUM(Y110:Y111),Y110))))</f>
        <v>0</v>
      </c>
      <c r="Z115" s="53">
        <f>IF($AK92=5,SUM(Z110:Z114),IF($AK92=4,SUM(Z110:Z113),IF($AK92=3,SUM(Z110:Z112),IF($AK92=2,SUM(Z110:Z111),Z110))))</f>
        <v>0</v>
      </c>
      <c r="AA115" s="53"/>
      <c r="AB115" s="53">
        <f>IF($AK92=5,SUM(AB110:AB114),IF($AK92=4,SUM(AB110:AB113),IF($AK92=3,SUM(AB110:AB112),IF($AK92=2,SUM(AB110:AB111),AB110))))</f>
        <v>0</v>
      </c>
      <c r="AC115" s="53">
        <f>IF($AK92=5,SUM(AC110:AC114),IF($AK92=4,SUM(AC110:AC113),IF($AK92=3,SUM(AC110:AC112),IF($AK92=2,SUM(AC110:AC111),AC110))))</f>
        <v>0</v>
      </c>
      <c r="AD115" s="53"/>
      <c r="AE115" s="53">
        <f>IF($AK92=5,SUM(AE110:AE114),IF($AK92=4,SUM(AE110:AE113),IF($AK92=3,SUM(AE110:AE112),IF($AK92=2,SUM(AE110:AE111),AE110))))</f>
        <v>0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3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1</v>
      </c>
      <c r="F116" s="56"/>
      <c r="G116" s="57">
        <f>IF(AND(G110&gt;E110,$AK93&gt;1,ISNUMBER(E110),ISNUMBER(G110)),1,0)</f>
        <v>0</v>
      </c>
      <c r="H116" s="56">
        <f>IF(AND(H110&gt;J110,$AK93&gt;2,ISNUMBER(H110),ISNUMBER(J110)),1,0)</f>
        <v>1</v>
      </c>
      <c r="I116" s="56"/>
      <c r="J116" s="57">
        <f>IF(AND(J110&gt;H110,$AK93&gt;2,ISNUMBER(H110),ISNUMBER(J110)),1,0)</f>
        <v>0</v>
      </c>
      <c r="K116" s="56">
        <f>IF(AND(K110&gt;M110,$AK93&gt;3,ISNUMBER(K110),ISNUMBER(M110)),1,0)</f>
        <v>1</v>
      </c>
      <c r="L116" s="56"/>
      <c r="M116" s="57">
        <f>IF(AND(M110&gt;K110,$AK93&gt;3,ISNUMBER(K110),ISNUMBER(M110)),1,0)</f>
        <v>0</v>
      </c>
      <c r="N116" s="56">
        <f>IF(AND(N110&gt;P110,$AK93&gt;4,ISNUMBER(N110),ISNUMBER(P110)),1,0)</f>
        <v>0</v>
      </c>
      <c r="O116" s="56"/>
      <c r="P116" s="57">
        <f>IF(AND(P110&gt;N110,$AK93&gt;4,ISNUMBER(N110),ISNUMBER(P110)),1,0)</f>
        <v>1</v>
      </c>
      <c r="Q116" s="56">
        <f>IF(AND(Q110&gt;S110,$AK93&gt;5,ISNUMBER(Q110),ISNUMBER(S110)),1,0)</f>
        <v>0</v>
      </c>
      <c r="R116" s="56"/>
      <c r="S116" s="57">
        <f>IF(AND(S110&gt;Q110,$AK93&gt;5,ISNUMBER(Q110),ISNUMBER(S110)),1,0)</f>
        <v>1</v>
      </c>
      <c r="T116" s="56">
        <f>IF(AND(T110&gt;V110,$AK93&gt;6,ISNUMBER(T110),ISNUMBER(V110)),1,0)</f>
        <v>0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0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0</v>
      </c>
      <c r="AD116" s="56"/>
      <c r="AE116" s="57">
        <f>IF(AND(AE110&gt;AC110,$AK93&gt;9,ISNUMBER(AC110),ISNUMBER(AE110)),1,0)</f>
        <v>0</v>
      </c>
    </row>
    <row r="117" spans="1:43" s="55" customFormat="1" ht="12.75" hidden="1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1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1</v>
      </c>
      <c r="I117" s="56"/>
      <c r="J117" s="57">
        <f>IF(AND(J111&gt;H111,$AK93&gt;2,$AK92&gt;1,ISNUMBER(H111),ISNUMBER(J111)),1,0)</f>
        <v>0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1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0</v>
      </c>
      <c r="R117" s="56"/>
      <c r="S117" s="57">
        <f>IF(AND(S111&gt;Q111,$AK93&gt;5,$AK92&gt;1,ISNUMBER(Q111),ISNUMBER(S111)),1,0)</f>
        <v>1</v>
      </c>
      <c r="T117" s="56">
        <f>IF(AND(T111&gt;V111,$AK93&gt;6,$AK92&gt;1,ISNUMBER(T111),ISNUMBER(V111)),1,0)</f>
        <v>0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0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0</v>
      </c>
      <c r="AD117" s="56"/>
      <c r="AE117" s="57">
        <f>IF(AND(AE111&gt;AC111,$AK93&gt;9,$AK92&gt;1,ISNUMBER(AC111),ISNUMBER(AE111)),1,0)</f>
        <v>0</v>
      </c>
    </row>
    <row r="118" spans="1:43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1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</row>
    <row r="119" spans="1:43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</row>
    <row r="120" spans="1:43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</row>
    <row r="121" spans="1:43" s="55" customFormat="1" ht="38.25" hidden="1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2</v>
      </c>
      <c r="G121" s="60">
        <f>SUM(G116:G120)</f>
        <v>0</v>
      </c>
      <c r="H121" s="55">
        <f>SUM(H116:H120)</f>
        <v>2</v>
      </c>
      <c r="J121" s="60">
        <f>SUM(J116:J120)</f>
        <v>0</v>
      </c>
      <c r="K121" s="55">
        <f>SUM(K116:K120)</f>
        <v>2</v>
      </c>
      <c r="M121" s="60">
        <f>SUM(M116:M120)</f>
        <v>0</v>
      </c>
      <c r="N121" s="55">
        <f>SUM(N116:N120)</f>
        <v>2</v>
      </c>
      <c r="P121" s="60">
        <f>SUM(P116:P120)</f>
        <v>1</v>
      </c>
      <c r="Q121" s="55">
        <f>SUM(Q116:Q120)</f>
        <v>0</v>
      </c>
      <c r="S121" s="60">
        <f>SUM(S116:S120)</f>
        <v>2</v>
      </c>
      <c r="T121" s="55">
        <f>SUM(T116:T120)</f>
        <v>0</v>
      </c>
      <c r="V121" s="60">
        <f>SUM(V116:V120)</f>
        <v>0</v>
      </c>
      <c r="W121" s="55">
        <f>SUM(W116:W120)</f>
        <v>0</v>
      </c>
      <c r="Y121" s="60">
        <f>SUM(Y116:Y120)</f>
        <v>0</v>
      </c>
      <c r="Z121" s="55">
        <f>SUM(Z116:Z120)</f>
        <v>0</v>
      </c>
      <c r="AB121" s="60">
        <f>SUM(AB116:AB120)</f>
        <v>0</v>
      </c>
      <c r="AC121" s="55">
        <f>SUM(AC116:AC120)</f>
        <v>0</v>
      </c>
      <c r="AE121" s="60">
        <f>SUM(AE116:AE120)</f>
        <v>0</v>
      </c>
    </row>
    <row r="122" spans="1:43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1</v>
      </c>
      <c r="F122" s="55">
        <f>E122+G122</f>
        <v>1</v>
      </c>
      <c r="G122" s="60">
        <f>IF(G121&gt;E121,IF(F156=AK92,1,IF(F156=AK92-1,1,0)),0)</f>
        <v>0</v>
      </c>
      <c r="H122" s="55">
        <f>IF(H121&gt;J121,IF(I156=AK92,1,IF(I156=AK92-1,1,0)),0)</f>
        <v>1</v>
      </c>
      <c r="I122" s="55">
        <f>H122+J122</f>
        <v>1</v>
      </c>
      <c r="J122" s="60">
        <f>IF(J121&gt;H121,IF(I156=AK92,1,IF(I156=AK92-1,1,0)),0)</f>
        <v>0</v>
      </c>
      <c r="K122" s="55">
        <f>IF(K121&gt;M121,IF(L156=AK92,1,IF(L156=AK92-1,1,0)),0)</f>
        <v>1</v>
      </c>
      <c r="L122" s="55">
        <f>K122+M122</f>
        <v>1</v>
      </c>
      <c r="M122" s="60">
        <f>IF(M121&gt;K121,IF(L156=AK92,1,IF(L156=AK92-1,1,0)),0)</f>
        <v>0</v>
      </c>
      <c r="N122" s="55">
        <f>IF(N121&gt;P121,IF(O156=AK92,1,IF(O156=AK92-1,1,0)),0)</f>
        <v>1</v>
      </c>
      <c r="O122" s="55">
        <f>N122+P122</f>
        <v>1</v>
      </c>
      <c r="P122" s="60">
        <f>IF(P121&gt;N121,IF(O156=AK92,1,IF(O156=AK92-1,1,0)),0)</f>
        <v>0</v>
      </c>
      <c r="Q122" s="55">
        <f>IF(Q121&gt;S121,IF(R156=AK92,1,IF(R156=AK92-1,1,0)),0)</f>
        <v>0</v>
      </c>
      <c r="R122" s="55">
        <f>Q122+S122</f>
        <v>1</v>
      </c>
      <c r="S122" s="60">
        <f>IF(S121&gt;Q121,IF(R156=AK92,1,IF(R156=AK92-1,1,0)),0)</f>
        <v>1</v>
      </c>
      <c r="T122" s="55">
        <f>IF(T121&gt;V121,IF(U156=AK92,1,IF(U156=AK92-1,1,0)),0)</f>
        <v>0</v>
      </c>
      <c r="U122" s="55">
        <f>T122+V122</f>
        <v>0</v>
      </c>
      <c r="V122" s="60">
        <f>IF(V121&gt;T121,IF(U156=AK92,1,IF(U156=AK92-1,1,0)),0)</f>
        <v>0</v>
      </c>
      <c r="W122" s="55">
        <f>IF(W121&gt;Y121,IF(X156=AK92,1,IF(X156=AK92-1,1,0)),0)</f>
        <v>0</v>
      </c>
      <c r="X122" s="55">
        <f>W122+Y122</f>
        <v>0</v>
      </c>
      <c r="Y122" s="60">
        <f>IF(Y121&gt;W121,IF(X156=AK92,1,IF(X156=AK92-1,1,0)),0)</f>
        <v>0</v>
      </c>
      <c r="Z122" s="55">
        <f>IF(Z121&gt;AB121,IF(AA156=AK92,1,IF(AA156=AK92-1,1,0)),0)</f>
        <v>0</v>
      </c>
      <c r="AA122" s="55">
        <f>Z122+AB122</f>
        <v>0</v>
      </c>
      <c r="AB122" s="60">
        <f>IF(AB121&gt;Z121,IF(AA156=AK92,1,IF(AA156=AK92-1,1,0)),0)</f>
        <v>0</v>
      </c>
      <c r="AC122" s="55">
        <f>IF(AC121&gt;AE121,IF(AD156=AK92,1,IF(AD156=AK92-1,1,0)),0)</f>
        <v>0</v>
      </c>
      <c r="AD122" s="55">
        <f>AC122+AE122</f>
        <v>0</v>
      </c>
      <c r="AE122" s="60">
        <f>IF(AE121&gt;AC121,IF(AD156=AK92,1,IF(AD156=AK92-1,1,0)),0)</f>
        <v>0</v>
      </c>
    </row>
    <row r="123" spans="1:43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</row>
    <row r="124" spans="1:43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25</v>
      </c>
      <c r="G124" s="60">
        <f t="shared" ref="G124:H128" si="12">IF(G116=1,G110,0)</f>
        <v>0</v>
      </c>
      <c r="H124" s="55">
        <f t="shared" si="12"/>
        <v>25</v>
      </c>
      <c r="J124" s="60">
        <f t="shared" ref="J124:K128" si="13">IF(J116=1,J110,0)</f>
        <v>0</v>
      </c>
      <c r="K124" s="55">
        <f t="shared" si="13"/>
        <v>25</v>
      </c>
      <c r="M124" s="60">
        <f t="shared" ref="M124:N128" si="14">IF(M116=1,M110,0)</f>
        <v>0</v>
      </c>
      <c r="N124" s="55">
        <f t="shared" si="14"/>
        <v>0</v>
      </c>
      <c r="P124" s="60">
        <f t="shared" ref="P124:Q128" si="15">IF(P116=1,P110,0)</f>
        <v>25</v>
      </c>
      <c r="Q124" s="55">
        <f t="shared" si="15"/>
        <v>0</v>
      </c>
      <c r="S124" s="60">
        <f t="shared" ref="S124:T128" si="16">IF(S116=1,S110,0)</f>
        <v>25</v>
      </c>
      <c r="T124" s="55">
        <f t="shared" si="16"/>
        <v>0</v>
      </c>
      <c r="V124" s="60">
        <f t="shared" ref="V124:W128" si="17">IF(V116=1,V110,0)</f>
        <v>0</v>
      </c>
      <c r="W124" s="55">
        <f t="shared" si="17"/>
        <v>0</v>
      </c>
      <c r="Y124" s="60">
        <f t="shared" ref="Y124:Z128" si="18">IF(Y116=1,Y110,0)</f>
        <v>0</v>
      </c>
      <c r="Z124" s="55">
        <f t="shared" si="18"/>
        <v>0</v>
      </c>
      <c r="AB124" s="60">
        <f t="shared" ref="AB124:AC128" si="19">IF(AB116=1,AB110,0)</f>
        <v>0</v>
      </c>
      <c r="AC124" s="55">
        <f t="shared" si="19"/>
        <v>0</v>
      </c>
      <c r="AE124" s="60">
        <f>IF(AE116=1,AE110,0)</f>
        <v>0</v>
      </c>
    </row>
    <row r="125" spans="1:43" s="55" customFormat="1" ht="12.75" hidden="1" customHeight="1" x14ac:dyDescent="0.2">
      <c r="A125" s="55" t="s">
        <v>89</v>
      </c>
      <c r="B125" s="55">
        <f>IF(B117=1,B111,0)</f>
        <v>25</v>
      </c>
      <c r="D125" s="60">
        <f t="shared" si="11"/>
        <v>0</v>
      </c>
      <c r="E125" s="55">
        <f t="shared" si="11"/>
        <v>25</v>
      </c>
      <c r="G125" s="60">
        <f t="shared" si="12"/>
        <v>0</v>
      </c>
      <c r="H125" s="55">
        <f t="shared" si="12"/>
        <v>25</v>
      </c>
      <c r="J125" s="60">
        <f t="shared" si="13"/>
        <v>0</v>
      </c>
      <c r="K125" s="55">
        <f t="shared" si="13"/>
        <v>25</v>
      </c>
      <c r="M125" s="60">
        <f t="shared" si="14"/>
        <v>0</v>
      </c>
      <c r="N125" s="55">
        <f t="shared" si="14"/>
        <v>25</v>
      </c>
      <c r="P125" s="60">
        <f t="shared" si="15"/>
        <v>0</v>
      </c>
      <c r="Q125" s="55">
        <f t="shared" si="15"/>
        <v>0</v>
      </c>
      <c r="S125" s="60">
        <f t="shared" si="16"/>
        <v>25</v>
      </c>
      <c r="T125" s="55">
        <f t="shared" si="16"/>
        <v>0</v>
      </c>
      <c r="V125" s="60">
        <f t="shared" si="17"/>
        <v>0</v>
      </c>
      <c r="W125" s="55">
        <f t="shared" si="17"/>
        <v>0</v>
      </c>
      <c r="Y125" s="60">
        <f t="shared" si="18"/>
        <v>0</v>
      </c>
      <c r="Z125" s="55">
        <f t="shared" si="18"/>
        <v>0</v>
      </c>
      <c r="AB125" s="60">
        <f t="shared" si="19"/>
        <v>0</v>
      </c>
      <c r="AC125" s="55">
        <f t="shared" si="19"/>
        <v>0</v>
      </c>
      <c r="AE125" s="60">
        <f>IF(AE117=1,AE111,0)</f>
        <v>0</v>
      </c>
    </row>
    <row r="126" spans="1:43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15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</row>
    <row r="127" spans="1:43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</row>
    <row r="128" spans="1:43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</row>
    <row r="129" spans="1:37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50</v>
      </c>
      <c r="G129" s="60"/>
      <c r="H129" s="55">
        <f>SUM(H124:J128)</f>
        <v>50</v>
      </c>
      <c r="J129" s="60"/>
      <c r="K129" s="55">
        <f>SUM(K124:M128)</f>
        <v>50</v>
      </c>
      <c r="M129" s="60"/>
      <c r="N129" s="55">
        <f>SUM(N124:P128)</f>
        <v>65</v>
      </c>
      <c r="P129" s="60"/>
      <c r="Q129" s="55">
        <f>SUM(Q124:S128)</f>
        <v>50</v>
      </c>
      <c r="S129" s="60"/>
      <c r="T129" s="55">
        <f>SUM(T124:V128)</f>
        <v>0</v>
      </c>
      <c r="V129" s="60"/>
      <c r="W129" s="55">
        <f>SUM(W124:Y128)</f>
        <v>0</v>
      </c>
      <c r="Y129" s="60"/>
      <c r="Z129" s="55">
        <f>SUM(Z124:AB128)</f>
        <v>0</v>
      </c>
      <c r="AB129" s="60"/>
      <c r="AC129" s="55">
        <f>SUM(AC124:AE128)</f>
        <v>0</v>
      </c>
      <c r="AE129" s="60"/>
    </row>
    <row r="130" spans="1:37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</row>
    <row r="131" spans="1:37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1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1</v>
      </c>
      <c r="M131" s="60">
        <f>IF(M109=1,IF(M122=1,1,0),0)</f>
        <v>0</v>
      </c>
      <c r="N131" s="55">
        <f>IF(N109=1,IF(N122=1,1,0),0)</f>
        <v>0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0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2</v>
      </c>
      <c r="AG131" s="55">
        <f>AF137-AF131</f>
        <v>1</v>
      </c>
    </row>
    <row r="132" spans="1:37" s="55" customFormat="1" ht="12.75" hidden="1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1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1</v>
      </c>
      <c r="T132" s="55">
        <f>IF(T109=2,IF(T122=1,1,0),0)</f>
        <v>0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3</v>
      </c>
      <c r="AG132" s="55">
        <f>AF138-AF132</f>
        <v>0</v>
      </c>
    </row>
    <row r="133" spans="1:37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1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1</v>
      </c>
      <c r="AG133" s="55">
        <f>AF139-AF133</f>
        <v>2</v>
      </c>
    </row>
    <row r="134" spans="1:37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0</v>
      </c>
      <c r="AG134" s="55">
        <f>AF140-AF134</f>
        <v>3</v>
      </c>
    </row>
    <row r="135" spans="1:37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0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0</v>
      </c>
      <c r="AG135" s="55">
        <f>AF141-AF135</f>
        <v>0</v>
      </c>
    </row>
    <row r="136" spans="1:37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</row>
    <row r="137" spans="1:37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1</v>
      </c>
      <c r="M137" s="60">
        <f>IF(M109=1,IF(L122=1,1,0),0)</f>
        <v>0</v>
      </c>
      <c r="N137" s="55">
        <f>IF(N109=1,IF(O122=1,1,0),0)</f>
        <v>0</v>
      </c>
      <c r="P137" s="60">
        <f>IF(P109=1,IF(O122=1,1,0),0)</f>
        <v>0</v>
      </c>
      <c r="Q137" s="55">
        <f>IF(Q109=1,IF(R122=1,1,0),0)</f>
        <v>1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0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0</v>
      </c>
      <c r="AE137" s="60">
        <f>IF(AE109=1,IF(AD122=1,1,0),0)</f>
        <v>0</v>
      </c>
      <c r="AF137" s="55">
        <f>SUM(B137:AE137)</f>
        <v>3</v>
      </c>
    </row>
    <row r="138" spans="1:37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1</v>
      </c>
      <c r="J138" s="60">
        <f>IF(J109=2,IF(I122=1,1,0),0)</f>
        <v>0</v>
      </c>
      <c r="K138" s="55">
        <f>IF(K109=2,IF(L122=1,1,0),0)</f>
        <v>0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1</v>
      </c>
      <c r="T138" s="55">
        <f>IF(T109=2,IF(U122=1,1,0),0)</f>
        <v>0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0</v>
      </c>
      <c r="AF138" s="55">
        <f>SUM(B138:AE138)</f>
        <v>3</v>
      </c>
    </row>
    <row r="139" spans="1:37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1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0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1</v>
      </c>
      <c r="N139" s="55">
        <f>IF(N109=3,IF(O122=1,1,0),0)</f>
        <v>1</v>
      </c>
      <c r="P139" s="60">
        <f>IF(P109=3,IF(O122=1,1,0),0)</f>
        <v>0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0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0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3</v>
      </c>
    </row>
    <row r="140" spans="1:37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1</v>
      </c>
      <c r="K140" s="55">
        <f>IF(K109=4,IF(L122=1,1,0),0)</f>
        <v>0</v>
      </c>
      <c r="M140" s="60">
        <f>IF(M109=4,IF(L122=1,1,0),0)</f>
        <v>0</v>
      </c>
      <c r="N140" s="55">
        <f>IF(N109=4,IF(O122=1,1,0),0)</f>
        <v>0</v>
      </c>
      <c r="P140" s="60">
        <f>IF(P109=4,IF(O122=1,1,0),0)</f>
        <v>1</v>
      </c>
      <c r="Q140" s="55">
        <f>IF(Q109=4,IF(R122=1,1,0),0)</f>
        <v>0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0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3</v>
      </c>
    </row>
    <row r="141" spans="1:37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0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0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0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0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0</v>
      </c>
    </row>
    <row r="142" spans="1:37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</row>
    <row r="143" spans="1:37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50</v>
      </c>
      <c r="M143" s="60">
        <f>IF(M109=1,K129,0)</f>
        <v>0</v>
      </c>
      <c r="N143" s="55">
        <f>IF(N109=1,N129,0)</f>
        <v>0</v>
      </c>
      <c r="P143" s="60">
        <f>IF(P109=1,N129,0)</f>
        <v>0</v>
      </c>
      <c r="Q143" s="55">
        <f>IF(Q109=1,Q129,0)</f>
        <v>50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0</v>
      </c>
      <c r="AE143" s="60">
        <f>IF(AE109=1,AC129,0)</f>
        <v>0</v>
      </c>
      <c r="AF143" s="55">
        <f>SUM(B143:AE143)</f>
        <v>150</v>
      </c>
    </row>
    <row r="144" spans="1:37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50</v>
      </c>
      <c r="J144" s="60">
        <f>IF(J109=2,H129,0)</f>
        <v>0</v>
      </c>
      <c r="K144" s="55">
        <f>IF(K109=2,K129,0)</f>
        <v>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50</v>
      </c>
      <c r="T144" s="55">
        <f>IF(T109=2,T129,0)</f>
        <v>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0</v>
      </c>
      <c r="AF144" s="55">
        <f>SUM(B144:AE144)</f>
        <v>150</v>
      </c>
    </row>
    <row r="145" spans="1:33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50</v>
      </c>
      <c r="E145" s="55">
        <f>IF(E109=3,E129,0)</f>
        <v>0</v>
      </c>
      <c r="G145" s="60">
        <f>IF(G109=3,E129,0)</f>
        <v>0</v>
      </c>
      <c r="H145" s="55">
        <f>IF(H109=3,H129,0)</f>
        <v>0</v>
      </c>
      <c r="J145" s="60">
        <f>IF(J109=3,H129,0)</f>
        <v>0</v>
      </c>
      <c r="K145" s="55">
        <f>IF(K109=3,K129,0)</f>
        <v>0</v>
      </c>
      <c r="M145" s="60">
        <f>IF(M109=3,K129,0)</f>
        <v>50</v>
      </c>
      <c r="N145" s="55">
        <f>IF(N109=3,N129,0)</f>
        <v>65</v>
      </c>
      <c r="P145" s="60">
        <f>IF(P109=3,N129,0)</f>
        <v>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0</v>
      </c>
      <c r="W145" s="55">
        <f>IF(W109=3,W129,0)</f>
        <v>0</v>
      </c>
      <c r="Y145" s="60">
        <f>IF(Y109=3,W129,0)</f>
        <v>0</v>
      </c>
      <c r="Z145" s="55">
        <f>IF(Z109=3,Z129,0)</f>
        <v>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165</v>
      </c>
    </row>
    <row r="146" spans="1:33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50</v>
      </c>
      <c r="K146" s="55">
        <f>IF(K109=4,K129,0)</f>
        <v>0</v>
      </c>
      <c r="M146" s="60">
        <f>IF(M109=4,K129,0)</f>
        <v>0</v>
      </c>
      <c r="N146" s="55">
        <f>IF(N109=4,N129,0)</f>
        <v>0</v>
      </c>
      <c r="P146" s="60">
        <f>IF(P109=4,N129,0)</f>
        <v>65</v>
      </c>
      <c r="Q146" s="55">
        <f>IF(Q109=4,Q129,0)</f>
        <v>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0</v>
      </c>
      <c r="AC146" s="55">
        <f>IF(AC109=4,AC129,0)</f>
        <v>0</v>
      </c>
      <c r="AE146" s="60">
        <f>IF(AE109=4,AC129,0)</f>
        <v>0</v>
      </c>
      <c r="AF146" s="55">
        <f>SUM(B146:AE146)</f>
        <v>165</v>
      </c>
    </row>
    <row r="147" spans="1:33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0</v>
      </c>
    </row>
    <row r="148" spans="1:33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</row>
    <row r="149" spans="1:33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2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2</v>
      </c>
      <c r="M149" s="60">
        <f>IF(M109=1,SUMIF(M116:M120,"&gt;0"),0)</f>
        <v>0</v>
      </c>
      <c r="N149" s="55">
        <f>IF(N109=1,SUMIF(N116:N120,"&gt;0"),0)</f>
        <v>0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0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0</v>
      </c>
      <c r="AE149" s="60">
        <f>IF(AE109=1,SUMIF(AE116:AE120,"&gt;0"),0)</f>
        <v>0</v>
      </c>
      <c r="AF149" s="55">
        <f>SUM(B149:AE149)</f>
        <v>4</v>
      </c>
      <c r="AG149" s="55">
        <f>AF157-AF149</f>
        <v>2</v>
      </c>
    </row>
    <row r="150" spans="1:33" s="55" customFormat="1" ht="12.75" hidden="1" customHeight="1" x14ac:dyDescent="0.2">
      <c r="A150" s="55" t="s">
        <v>98</v>
      </c>
      <c r="B150" s="55">
        <f>IF(B109=2,SUMIF(B116:B120,"&gt;0"),0)</f>
        <v>2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2</v>
      </c>
      <c r="J150" s="60">
        <f>IF(J109=2,SUMIF(J116:J120,"&gt;0"),0)</f>
        <v>0</v>
      </c>
      <c r="K150" s="55">
        <f>IF(K109=2,SUMIF(K116:K120,"&gt;0"),0)</f>
        <v>0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2</v>
      </c>
      <c r="T150" s="55">
        <f>IF(T109=2,SUMIF(T116:T120,"&gt;0"),0)</f>
        <v>0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6</v>
      </c>
      <c r="AG150" s="55">
        <f>AF158-AF150</f>
        <v>0</v>
      </c>
    </row>
    <row r="151" spans="1:33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2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0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2</v>
      </c>
      <c r="AG151" s="55">
        <f>AF159-AF151</f>
        <v>5</v>
      </c>
    </row>
    <row r="152" spans="1:33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1</v>
      </c>
      <c r="Q152" s="55">
        <f>IF(Q109=4,SUMIF(Q116:Q120,"&gt;0"),0)</f>
        <v>0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0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1</v>
      </c>
      <c r="AG152" s="55">
        <f>AF160-AF152</f>
        <v>6</v>
      </c>
    </row>
    <row r="153" spans="1:33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0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0</v>
      </c>
      <c r="AG153" s="55">
        <f>AF161-AF153</f>
        <v>0</v>
      </c>
    </row>
    <row r="154" spans="1:33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</row>
    <row r="155" spans="1:33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</row>
    <row r="156" spans="1:33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3</v>
      </c>
      <c r="P156" s="60"/>
      <c r="R156" s="55">
        <f>SUMIF(Q149:S153,"&gt;0")</f>
        <v>2</v>
      </c>
      <c r="S156" s="60"/>
      <c r="U156" s="55">
        <f>SUMIF(T149:V153,"&gt;0")</f>
        <v>0</v>
      </c>
      <c r="V156" s="60"/>
      <c r="X156" s="55">
        <f>SUMIF(W149:Y153,"&gt;0")</f>
        <v>0</v>
      </c>
      <c r="Y156" s="60"/>
      <c r="AA156" s="55">
        <f>SUMIF(Z149:AB153,"&gt;0")</f>
        <v>0</v>
      </c>
      <c r="AB156" s="60"/>
      <c r="AD156" s="55">
        <f>SUMIF(AC149:AE153,"&gt;0")</f>
        <v>0</v>
      </c>
      <c r="AE156" s="60"/>
      <c r="AF156" s="59" t="s">
        <v>113</v>
      </c>
    </row>
    <row r="157" spans="1:33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2</v>
      </c>
      <c r="M157" s="60">
        <f>IF(M109=1,L156,0)</f>
        <v>0</v>
      </c>
      <c r="N157" s="55">
        <f>IF(N109=1,O156,0)</f>
        <v>0</v>
      </c>
      <c r="P157" s="60">
        <f>IF(P109=1,O156,0)</f>
        <v>0</v>
      </c>
      <c r="Q157" s="55">
        <f>IF(Q109=1,R156,0)</f>
        <v>2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0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0</v>
      </c>
      <c r="AE157" s="60">
        <f>IF(AE109=1,AD156,0)</f>
        <v>0</v>
      </c>
      <c r="AF157" s="55">
        <f>SUM(B157:AE157)</f>
        <v>6</v>
      </c>
    </row>
    <row r="158" spans="1:33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2</v>
      </c>
      <c r="J158" s="60">
        <f>IF(J109=2,I156,0)</f>
        <v>0</v>
      </c>
      <c r="K158" s="55">
        <f>IF(K109=2,L156,0)</f>
        <v>0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2</v>
      </c>
      <c r="T158" s="55">
        <f>IF(T109=2,U156,0)</f>
        <v>0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0</v>
      </c>
      <c r="AF158" s="55">
        <f>SUM(B158:AE158)</f>
        <v>6</v>
      </c>
    </row>
    <row r="159" spans="1:33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2</v>
      </c>
      <c r="E159" s="55">
        <f>IF(E109=3,F156,0)</f>
        <v>0</v>
      </c>
      <c r="G159" s="60">
        <f>IF(G109=3,F156,0)</f>
        <v>0</v>
      </c>
      <c r="H159" s="55">
        <f>IF(H109=3,I156,0)</f>
        <v>0</v>
      </c>
      <c r="J159" s="60">
        <f>IF(J109=3,I156,0)</f>
        <v>0</v>
      </c>
      <c r="K159" s="55">
        <f>IF(K109=3,L156,0)</f>
        <v>0</v>
      </c>
      <c r="M159" s="60">
        <f>IF(M109=3,L156,0)</f>
        <v>2</v>
      </c>
      <c r="N159" s="55">
        <f>IF(N109=3,O156,0)</f>
        <v>3</v>
      </c>
      <c r="P159" s="60">
        <f>IF(P109=3,O156,0)</f>
        <v>0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0</v>
      </c>
      <c r="W159" s="55">
        <f>IF(W109=3,X156,0)</f>
        <v>0</v>
      </c>
      <c r="Y159" s="60">
        <f>IF(Y109=3,X156,0)</f>
        <v>0</v>
      </c>
      <c r="Z159" s="55">
        <f>IF(Z109=3,AA156,0)</f>
        <v>0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7</v>
      </c>
    </row>
    <row r="160" spans="1:33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2</v>
      </c>
      <c r="K160" s="55">
        <f>IF(K109=4,L156,0)</f>
        <v>0</v>
      </c>
      <c r="M160" s="60">
        <f>IF(M109=4,L156,0)</f>
        <v>0</v>
      </c>
      <c r="N160" s="55">
        <f>IF(N109=4,O156,0)</f>
        <v>0</v>
      </c>
      <c r="P160" s="60">
        <f>IF(P109=4,O156,0)</f>
        <v>3</v>
      </c>
      <c r="Q160" s="55">
        <f>IF(Q109=4,R156,0)</f>
        <v>0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0</v>
      </c>
      <c r="AC160" s="55">
        <f>IF(AC109=4,AD156,0)</f>
        <v>0</v>
      </c>
      <c r="AE160" s="60">
        <f>IF(AE109=4,AD156,0)</f>
        <v>0</v>
      </c>
      <c r="AF160" s="55">
        <f>SUM(B160:AE160)</f>
        <v>7</v>
      </c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0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0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0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0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0</v>
      </c>
    </row>
    <row r="162" spans="1:54" hidden="1" x14ac:dyDescent="0.2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2"/>
      <c r="AO162" s="62"/>
      <c r="AP162" s="62"/>
      <c r="AQ162" s="62"/>
      <c r="AR162" s="63"/>
      <c r="AS162" s="63"/>
      <c r="AT162" s="63"/>
      <c r="AU162" s="63"/>
      <c r="AV162" s="63"/>
      <c r="AW162" s="54"/>
      <c r="BB162" s="54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MBVC 15 Black Brittany</v>
      </c>
      <c r="C164" s="67">
        <f>VLOOKUP(B164,AU$3:AY$12,3,FALSE)</f>
        <v>2203.6952157273317</v>
      </c>
      <c r="D164" s="67">
        <f>IF(B157,B172,IF(D157,D172,C164))</f>
        <v>2203.6952157273317</v>
      </c>
      <c r="E164" s="67"/>
      <c r="F164" s="67"/>
      <c r="G164" s="67">
        <f>IF(E157,E172,IF(G157,G172,D164))</f>
        <v>2216.6480148778514</v>
      </c>
      <c r="H164" s="67"/>
      <c r="I164" s="67"/>
      <c r="J164" s="67">
        <f>IF(H157,H172,IF(J157,J172,G164))</f>
        <v>2216.6480148778514</v>
      </c>
      <c r="K164" s="67"/>
      <c r="L164" s="67"/>
      <c r="M164" s="67">
        <f>IF(K157,K172,IF(M157,M172,J164))</f>
        <v>2230.8103863244096</v>
      </c>
      <c r="N164" s="67"/>
      <c r="O164" s="67"/>
      <c r="P164" s="67">
        <f>IF(N157,N172,IF(P157,P172,M164))</f>
        <v>2230.8103863244096</v>
      </c>
      <c r="Q164" s="67"/>
      <c r="R164" s="67"/>
      <c r="S164" s="67">
        <f>IF(Q157,Q172,IF(S157,S172,P164))</f>
        <v>2198.539024782257</v>
      </c>
      <c r="T164" s="67"/>
      <c r="U164" s="67"/>
      <c r="V164" s="67">
        <f>IF(T157,T172,IF(V157,V172,S164))</f>
        <v>2198.539024782257</v>
      </c>
      <c r="W164" s="67"/>
      <c r="X164" s="67"/>
      <c r="Y164" s="67">
        <f>IF(W157,W172,IF(Y157,Y172,V164))</f>
        <v>2198.539024782257</v>
      </c>
      <c r="Z164" s="67"/>
      <c r="AA164" s="67"/>
      <c r="AB164" s="67">
        <f>IF(Z157,Z172,IF(AB157,AB172,Y164))</f>
        <v>2198.539024782257</v>
      </c>
      <c r="AC164" s="67"/>
      <c r="AD164" s="67"/>
      <c r="AE164" s="67">
        <f>IF(AC157,AC172,IF(AE157,AE172,AB164))</f>
        <v>2198.539024782257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MBVC 15 Black Brittany</v>
      </c>
      <c r="AU164" s="63">
        <f>AE164</f>
        <v>2198.539024782257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Upward Stars 15 Brittni</v>
      </c>
      <c r="C165" s="67">
        <f>VLOOKUP(B165,AU$3:AY$12,3,FALSE)</f>
        <v>2200</v>
      </c>
      <c r="D165" s="67">
        <f>IF(B158,B172,IF(D158,D172,C165))</f>
        <v>2216.3686591167443</v>
      </c>
      <c r="E165" s="67"/>
      <c r="F165" s="67"/>
      <c r="G165" s="67">
        <f>IF(E158,E172,IF(G158,G172,D165))</f>
        <v>2216.3686591167443</v>
      </c>
      <c r="H165" s="67"/>
      <c r="I165" s="67"/>
      <c r="J165" s="67">
        <f>IF(H158,H172,IF(J158,J172,G165))</f>
        <v>2227.8640451891238</v>
      </c>
      <c r="K165" s="67"/>
      <c r="L165" s="67"/>
      <c r="M165" s="67">
        <f>IF(K158,K172,IF(M158,M172,J165))</f>
        <v>2227.8640451891238</v>
      </c>
      <c r="N165" s="67"/>
      <c r="O165" s="67"/>
      <c r="P165" s="67">
        <f>IF(N158,N172,IF(P158,P172,M165))</f>
        <v>2227.8640451891238</v>
      </c>
      <c r="Q165" s="67"/>
      <c r="R165" s="67"/>
      <c r="S165" s="67">
        <f>IF(Q158,Q172,IF(S158,S172,P165))</f>
        <v>2260.1354067312764</v>
      </c>
      <c r="T165" s="67"/>
      <c r="U165" s="67"/>
      <c r="V165" s="67">
        <f>IF(T158,T172,IF(V158,V172,S165))</f>
        <v>2260.1354067312764</v>
      </c>
      <c r="W165" s="67"/>
      <c r="X165" s="67"/>
      <c r="Y165" s="67">
        <f>IF(W158,W172,IF(Y158,Y172,V165))</f>
        <v>2260.1354067312764</v>
      </c>
      <c r="Z165" s="67"/>
      <c r="AA165" s="67"/>
      <c r="AB165" s="67">
        <f>IF(Z158,Z172,IF(AB158,AB172,Y165))</f>
        <v>2260.1354067312764</v>
      </c>
      <c r="AC165" s="67"/>
      <c r="AD165" s="67"/>
      <c r="AE165" s="67">
        <f>IF(AC158,AC172,IF(AE158,AE172,AB165))</f>
        <v>2260.1354067312764</v>
      </c>
      <c r="AF165" s="4"/>
      <c r="AG165" s="4"/>
      <c r="AJ165" s="4"/>
      <c r="AL165" s="4"/>
      <c r="AM165" s="4"/>
      <c r="AN165" s="4"/>
      <c r="AO165" s="4"/>
      <c r="AT165" s="63" t="str">
        <f>B165</f>
        <v>Upward Stars 15 Brittni</v>
      </c>
      <c r="AU165" s="63">
        <f>AE165</f>
        <v>2260.1354067312764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Upstate 15-2 Club</v>
      </c>
      <c r="C166" s="67">
        <f>VLOOKUP(B166,AU$3:AY$12,3,FALSE)</f>
        <v>2014.4481187300305</v>
      </c>
      <c r="D166" s="67">
        <f>IF(B159,B172,IF(D159,D172,C166))</f>
        <v>1998.0794596132862</v>
      </c>
      <c r="E166" s="67"/>
      <c r="F166" s="67"/>
      <c r="G166" s="67">
        <f>IF(E159,E172,IF(G159,G172,D166))</f>
        <v>1998.0794596132862</v>
      </c>
      <c r="H166" s="67"/>
      <c r="I166" s="67"/>
      <c r="J166" s="67">
        <f>IF(H159,H172,IF(J159,J172,G166))</f>
        <v>1998.0794596132862</v>
      </c>
      <c r="K166" s="67"/>
      <c r="L166" s="67"/>
      <c r="M166" s="67">
        <f>IF(K159,K172,IF(M159,M172,J166))</f>
        <v>1983.917088166728</v>
      </c>
      <c r="N166" s="67"/>
      <c r="O166" s="67"/>
      <c r="P166" s="67">
        <f>IF(N159,N172,IF(P159,P172,M166))</f>
        <v>1994.0183521730664</v>
      </c>
      <c r="Q166" s="67"/>
      <c r="R166" s="67"/>
      <c r="S166" s="67">
        <f>IF(Q159,Q172,IF(S159,S172,P166))</f>
        <v>1994.0183521730664</v>
      </c>
      <c r="T166" s="67"/>
      <c r="U166" s="67"/>
      <c r="V166" s="67">
        <f>IF(T159,T172,IF(V159,V172,S166))</f>
        <v>1994.0183521730664</v>
      </c>
      <c r="W166" s="67"/>
      <c r="X166" s="67"/>
      <c r="Y166" s="67">
        <f>IF(W159,W172,IF(Y159,Y172,V166))</f>
        <v>1994.0183521730664</v>
      </c>
      <c r="Z166" s="67"/>
      <c r="AA166" s="67"/>
      <c r="AB166" s="67">
        <f>IF(Z159,Z172,IF(AB159,AB172,Y166))</f>
        <v>1994.0183521730664</v>
      </c>
      <c r="AC166" s="67"/>
      <c r="AD166" s="67"/>
      <c r="AE166" s="67">
        <f>IF(AC159,AC172,IF(AE159,AE172,AB166))</f>
        <v>1994.0183521730664</v>
      </c>
      <c r="AF166" s="4"/>
      <c r="AG166" s="4"/>
      <c r="AJ166" s="4"/>
      <c r="AL166" s="4"/>
      <c r="AM166" s="4"/>
      <c r="AN166" s="4"/>
      <c r="AO166" s="4"/>
      <c r="AT166" s="63" t="str">
        <f>B166</f>
        <v>Upstate 15-2 Club</v>
      </c>
      <c r="AU166" s="63">
        <f>AE166</f>
        <v>1994.0183521730664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Lake Murray 15 Black</v>
      </c>
      <c r="C167" s="67">
        <f>VLOOKUP(B167,AU$3:AY$12,3,FALSE)</f>
        <v>1965.4518951526236</v>
      </c>
      <c r="D167" s="67">
        <f>IF(B160,B172,IF(D160,D172,C167))</f>
        <v>1965.4518951526236</v>
      </c>
      <c r="E167" s="67"/>
      <c r="F167" s="67"/>
      <c r="G167" s="67">
        <f>IF(E160,E172,IF(G160,G172,D167))</f>
        <v>1952.4990960021037</v>
      </c>
      <c r="H167" s="67"/>
      <c r="I167" s="67"/>
      <c r="J167" s="67">
        <f>IF(H160,H172,IF(J160,J172,G167))</f>
        <v>1941.0037099297242</v>
      </c>
      <c r="K167" s="67"/>
      <c r="L167" s="67"/>
      <c r="M167" s="67">
        <f>IF(K160,K172,IF(M160,M172,J167))</f>
        <v>1941.0037099297242</v>
      </c>
      <c r="N167" s="67"/>
      <c r="O167" s="67"/>
      <c r="P167" s="67">
        <f>IF(N160,N172,IF(P160,P172,M167))</f>
        <v>1930.9024459233858</v>
      </c>
      <c r="Q167" s="67"/>
      <c r="R167" s="67"/>
      <c r="S167" s="67">
        <f>IF(Q160,Q172,IF(S160,S172,P167))</f>
        <v>1930.9024459233858</v>
      </c>
      <c r="T167" s="67"/>
      <c r="U167" s="67"/>
      <c r="V167" s="67">
        <f>IF(T160,T172,IF(V160,V172,S167))</f>
        <v>1930.9024459233858</v>
      </c>
      <c r="W167" s="67"/>
      <c r="X167" s="67"/>
      <c r="Y167" s="67">
        <f>IF(W160,W172,IF(Y160,Y172,V167))</f>
        <v>1930.9024459233858</v>
      </c>
      <c r="Z167" s="67"/>
      <c r="AA167" s="67"/>
      <c r="AB167" s="67">
        <f>IF(Z160,Z172,IF(AB160,AB172,Y167))</f>
        <v>1930.9024459233858</v>
      </c>
      <c r="AC167" s="67"/>
      <c r="AD167" s="67"/>
      <c r="AE167" s="67">
        <f>IF(AC160,AC172,IF(AE160,AE172,AB167))</f>
        <v>1930.9024459233858</v>
      </c>
      <c r="AF167" s="4"/>
      <c r="AG167" s="4"/>
      <c r="AJ167" s="4"/>
      <c r="AL167" s="4"/>
      <c r="AM167" s="4"/>
      <c r="AN167" s="4"/>
      <c r="AO167" s="4"/>
      <c r="AT167" s="63" t="str">
        <f>B167</f>
        <v>Lake Murray 15 Black</v>
      </c>
      <c r="AU167" s="63">
        <f>AE167</f>
        <v>1930.9024459233858</v>
      </c>
      <c r="AW167" s="66"/>
      <c r="BB167" s="66"/>
    </row>
    <row r="168" spans="1:54" s="63" customFormat="1" hidden="1" x14ac:dyDescent="0.2">
      <c r="A168" s="67">
        <v>5</v>
      </c>
      <c r="B168" s="67">
        <f>E101</f>
        <v>0</v>
      </c>
      <c r="C168" s="67" t="e">
        <f>VLOOKUP(B168,AU$3:AY$12,3,FALSE)</f>
        <v>#N/A</v>
      </c>
      <c r="D168" s="67" t="e">
        <f>IF(B161,B172,IF(D161,D172,C168))</f>
        <v>#N/A</v>
      </c>
      <c r="E168" s="67"/>
      <c r="F168" s="67"/>
      <c r="G168" s="67" t="e">
        <f>IF(E161,E172,IF(G161,G172,D168))</f>
        <v>#N/A</v>
      </c>
      <c r="H168" s="67"/>
      <c r="I168" s="67"/>
      <c r="J168" s="67" t="e">
        <f>IF(H161,H172,IF(J161,J172,G168))</f>
        <v>#N/A</v>
      </c>
      <c r="K168" s="67"/>
      <c r="L168" s="67"/>
      <c r="M168" s="67" t="e">
        <f>IF(K161,K172,IF(M161,M172,J168))</f>
        <v>#N/A</v>
      </c>
      <c r="N168" s="67"/>
      <c r="O168" s="67"/>
      <c r="P168" s="67" t="e">
        <f>IF(N161,N172,IF(P161,P172,M168))</f>
        <v>#N/A</v>
      </c>
      <c r="Q168" s="67"/>
      <c r="R168" s="67"/>
      <c r="S168" s="67" t="e">
        <f>IF(Q161,Q172,IF(S161,S172,P168))</f>
        <v>#N/A</v>
      </c>
      <c r="T168" s="67"/>
      <c r="U168" s="67"/>
      <c r="V168" s="67" t="e">
        <f>IF(T161,T172,IF(V161,V172,S168))</f>
        <v>#N/A</v>
      </c>
      <c r="W168" s="67"/>
      <c r="X168" s="67"/>
      <c r="Y168" s="67" t="e">
        <f>IF(W161,W172,IF(Y161,Y172,V168))</f>
        <v>#N/A</v>
      </c>
      <c r="Z168" s="67"/>
      <c r="AA168" s="67"/>
      <c r="AB168" s="67" t="e">
        <f>IF(Z161,Z172,IF(AB161,AB172,Y168))</f>
        <v>#N/A</v>
      </c>
      <c r="AC168" s="67"/>
      <c r="AD168" s="67"/>
      <c r="AE168" s="67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63">
        <f>B168</f>
        <v>0</v>
      </c>
      <c r="AU168" s="63" t="e">
        <f>AE168</f>
        <v>#N/A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2200</v>
      </c>
      <c r="C170" s="67">
        <v>1</v>
      </c>
      <c r="D170" s="67">
        <f>VLOOKUP(D109,$A164:$AE168,3,FALSE)</f>
        <v>2014.4481187300305</v>
      </c>
      <c r="E170" s="67">
        <f>VLOOKUP(E109,$A164:$AE168,4,FALSE)</f>
        <v>2203.6952157273317</v>
      </c>
      <c r="F170" s="67">
        <v>2</v>
      </c>
      <c r="G170" s="67">
        <f>VLOOKUP(G109,$A164:$AE168,4,FALSE)</f>
        <v>1965.4518951526236</v>
      </c>
      <c r="H170" s="67">
        <f>VLOOKUP(H109,$A164:$AE168,7,FALSE)</f>
        <v>2216.3686591167443</v>
      </c>
      <c r="I170" s="67">
        <v>3</v>
      </c>
      <c r="J170" s="67">
        <f>VLOOKUP(J109,$A164:$AE168,7,FALSE)</f>
        <v>1952.4990960021037</v>
      </c>
      <c r="K170" s="67">
        <f>VLOOKUP(K109,$A164:$AE168,10,FALSE)</f>
        <v>2216.6480148778514</v>
      </c>
      <c r="L170" s="67">
        <v>4</v>
      </c>
      <c r="M170" s="67">
        <f>VLOOKUP(M109,$A164:$AE168,10,FALSE)</f>
        <v>1998.0794596132862</v>
      </c>
      <c r="N170" s="67">
        <f>VLOOKUP(N109,$A164:$AE168,13,FALSE)</f>
        <v>1983.917088166728</v>
      </c>
      <c r="O170" s="67">
        <v>5</v>
      </c>
      <c r="P170" s="67">
        <f>VLOOKUP(P109,$A164:$AE168,13,FALSE)</f>
        <v>1941.0037099297242</v>
      </c>
      <c r="Q170" s="67">
        <f>VLOOKUP(Q109,$A164:$AE168,16,FALSE)</f>
        <v>2230.8103863244096</v>
      </c>
      <c r="R170" s="67">
        <v>6</v>
      </c>
      <c r="S170" s="67">
        <f>VLOOKUP(S109,$A164:$AE168,16,FALSE)</f>
        <v>2227.8640451891238</v>
      </c>
      <c r="T170" s="67">
        <f>VLOOKUP(T109,$A164:$AE168,19,FALSE)</f>
        <v>2260.1354067312764</v>
      </c>
      <c r="U170" s="67">
        <v>7</v>
      </c>
      <c r="V170" s="67">
        <f>VLOOKUP(V109,$A164:$AE168,19,FALSE)</f>
        <v>1994.0183521730664</v>
      </c>
      <c r="W170" s="67">
        <f>VLOOKUP(W109,$A164:$AE168,22,FALSE)</f>
        <v>2198.539024782257</v>
      </c>
      <c r="X170" s="67">
        <v>8</v>
      </c>
      <c r="Y170" s="67" t="e">
        <f>VLOOKUP(Y109,$A164:$AE168,22,FALSE)</f>
        <v>#N/A</v>
      </c>
      <c r="Z170" s="67">
        <f>VLOOKUP(Z109,$A164:$AE168,25,FALSE)</f>
        <v>1994.0183521730664</v>
      </c>
      <c r="AA170" s="67">
        <v>9</v>
      </c>
      <c r="AB170" s="67">
        <f>VLOOKUP(AB109,$A164:$AE168,25,FALSE)</f>
        <v>1930.9024459233858</v>
      </c>
      <c r="AC170" s="67">
        <f>VLOOKUP(AC109,$A164:$AE168,28,FALSE)</f>
        <v>2198.539024782257</v>
      </c>
      <c r="AD170" s="67">
        <v>10</v>
      </c>
      <c r="AE170" s="67">
        <f>VLOOKUP(AE109,$A164:$AE168,28,FALSE)</f>
        <v>2260.1354067312764</v>
      </c>
      <c r="AF170" s="4"/>
      <c r="AG170" s="61"/>
      <c r="AH170" s="61"/>
      <c r="AI170" s="61"/>
      <c r="AJ170" s="61"/>
      <c r="AK170" s="61"/>
      <c r="AL170" s="61"/>
      <c r="AM170" s="61"/>
      <c r="AN170" s="62"/>
      <c r="AO170" s="62"/>
      <c r="AP170" s="62"/>
      <c r="AQ170" s="62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1.4884794026017376</v>
      </c>
      <c r="C171" s="68"/>
      <c r="D171" s="68">
        <f>1/(1+(10^-((D170-B170)/400)))*(B121+D121)</f>
        <v>0.51152059739826239</v>
      </c>
      <c r="E171" s="68">
        <f>1/(1+(10^-((E170-G170)/400)))*(E121+G121)</f>
        <v>1.5952250265462526</v>
      </c>
      <c r="F171" s="68"/>
      <c r="G171" s="68">
        <f>1/(1+(10^-((G170-E170)/400)))*(E121+G121)</f>
        <v>0.40477497345374747</v>
      </c>
      <c r="H171" s="68">
        <f>1/(1+(10^-((H170-J170)/400)))*(H121+J121)</f>
        <v>1.6407691852381454</v>
      </c>
      <c r="I171" s="68"/>
      <c r="J171" s="68">
        <f>1/(1+(10^-((J170-H170)/400)))*(H121+J121)</f>
        <v>0.35923081476185464</v>
      </c>
      <c r="K171" s="68">
        <f>1/(1+(10^-((K170-M170)/400)))*(K121+M121)</f>
        <v>1.5574258922950552</v>
      </c>
      <c r="L171" s="68"/>
      <c r="M171" s="68">
        <f>1/(1+(10^-((M170-K170)/400)))*(K121+M121)</f>
        <v>0.44257410770494476</v>
      </c>
      <c r="N171" s="68">
        <f>1/(1+(10^-((N170-P170)/400)))*(N121+P121)</f>
        <v>1.6843354998019282</v>
      </c>
      <c r="O171" s="68"/>
      <c r="P171" s="68">
        <f>1/(1+(10^-((P170-N170)/400)))*(N121+P121)</f>
        <v>1.315664500198072</v>
      </c>
      <c r="Q171" s="68">
        <f>1/(1+(10^-((Q170-S170)/400)))*(Q121+S121)</f>
        <v>1.0084800481922631</v>
      </c>
      <c r="R171" s="68"/>
      <c r="S171" s="68">
        <f>1/(1+(10^-((S170-Q170)/400)))*(Q121+S121)</f>
        <v>0.99151995180773678</v>
      </c>
      <c r="T171" s="68">
        <f>1/(1+(10^-((T170-V170)/400)))*(T121+V121)</f>
        <v>0</v>
      </c>
      <c r="U171" s="68"/>
      <c r="V171" s="68">
        <f>1/(1+(10^-((V170-T170)/400)))*(T121+V121)</f>
        <v>0</v>
      </c>
      <c r="W171" s="68" t="e">
        <f>1/(1+(10^-((W170-Y170)/400)))*(W121+Y121)</f>
        <v>#N/A</v>
      </c>
      <c r="X171" s="68"/>
      <c r="Y171" s="68" t="e">
        <f>1/(1+(10^-((Y170-W170)/400)))*(W121+Y121)</f>
        <v>#N/A</v>
      </c>
      <c r="Z171" s="68">
        <f>1/(1+(10^-((Z170-AB170)/400)))*(Z121+AB121)</f>
        <v>0</v>
      </c>
      <c r="AA171" s="68"/>
      <c r="AB171" s="68">
        <f>1/(1+(10^-((AB170-Z170)/400)))*(Z121+AB121)</f>
        <v>0</v>
      </c>
      <c r="AC171" s="68">
        <f>1/(1+(10^-((AC170-AE170)/400)))*(AC121+AE121)</f>
        <v>0</v>
      </c>
      <c r="AD171" s="68"/>
      <c r="AE171" s="68">
        <f>1/(1+(10^-((AE170-AC170)/400)))*(AC121+AE121)</f>
        <v>0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2216.3686591167443</v>
      </c>
      <c r="C172" s="74"/>
      <c r="D172" s="74">
        <f>D170+(D121-D171)*$BA$1</f>
        <v>1998.0794596132862</v>
      </c>
      <c r="E172" s="74">
        <f>E170+(E121-E171)*$BA$1</f>
        <v>2216.6480148778514</v>
      </c>
      <c r="F172" s="74"/>
      <c r="G172" s="74">
        <f>G170+(G121-G171)*$BA$1</f>
        <v>1952.4990960021037</v>
      </c>
      <c r="H172" s="74">
        <f>H170+(H121-H171)*$BA$1</f>
        <v>2227.8640451891238</v>
      </c>
      <c r="I172" s="74"/>
      <c r="J172" s="74">
        <f>J170+(J121-J171)*$BA$1</f>
        <v>1941.0037099297242</v>
      </c>
      <c r="K172" s="74">
        <f>K170+(K121-K171)*$BA$1</f>
        <v>2230.8103863244096</v>
      </c>
      <c r="L172" s="74"/>
      <c r="M172" s="74">
        <f>M170+(M121-M171)*$BA$1</f>
        <v>1983.917088166728</v>
      </c>
      <c r="N172" s="74">
        <f>N170+(N121-N171)*$BA$1</f>
        <v>1994.0183521730664</v>
      </c>
      <c r="O172" s="74"/>
      <c r="P172" s="74">
        <f>P170+(P121-P171)*$BA$1</f>
        <v>1930.9024459233858</v>
      </c>
      <c r="Q172" s="74">
        <f>Q170+(Q121-Q171)*$BA$1</f>
        <v>2198.539024782257</v>
      </c>
      <c r="R172" s="74"/>
      <c r="S172" s="74">
        <f>S170+(S121-S171)*$BA$1</f>
        <v>2260.1354067312764</v>
      </c>
      <c r="T172" s="74">
        <f>T170+(T121-T171)*$BA$1</f>
        <v>2260.1354067312764</v>
      </c>
      <c r="U172" s="74"/>
      <c r="V172" s="74">
        <f>V170+(V121-V171)*$BA$1</f>
        <v>1994.0183521730664</v>
      </c>
      <c r="W172" s="74" t="e">
        <f>W170+(W121-W171)*$BA$1</f>
        <v>#N/A</v>
      </c>
      <c r="X172" s="74"/>
      <c r="Y172" s="74" t="e">
        <f>Y170+(Y121-Y171)*$BA$1</f>
        <v>#N/A</v>
      </c>
      <c r="Z172" s="74">
        <f>Z170+(Z121-Z171)*$BA$1</f>
        <v>1994.0183521730664</v>
      </c>
      <c r="AA172" s="74"/>
      <c r="AB172" s="74">
        <f>AB170+(AB121-AB171)*$BA$1</f>
        <v>1930.9024459233858</v>
      </c>
      <c r="AC172" s="74">
        <f>AC170+(AC121-AC171)*$BA$1</f>
        <v>2198.539024782257</v>
      </c>
      <c r="AD172" s="74"/>
      <c r="AE172" s="74">
        <f>AE170+(AE121-AE171)*$BA$1</f>
        <v>2260.1354067312764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30"/>
      <c r="AN174" s="330"/>
      <c r="AO174" s="330"/>
      <c r="AP174" s="330"/>
    </row>
    <row r="175" spans="1:54" s="63" customFormat="1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</row>
    <row r="176" spans="1:54" ht="21" thickBot="1" x14ac:dyDescent="0.35">
      <c r="A176" s="345" t="s">
        <v>120</v>
      </c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</row>
    <row r="177" spans="1:53" ht="13.5" thickBot="1" x14ac:dyDescent="0.25">
      <c r="A177" s="346" t="s">
        <v>121</v>
      </c>
      <c r="B177" s="348" t="s">
        <v>122</v>
      </c>
      <c r="C177" s="349"/>
      <c r="D177" s="349"/>
      <c r="E177" s="349"/>
      <c r="F177" s="349"/>
      <c r="G177" s="349"/>
      <c r="H177" s="349"/>
      <c r="I177" s="349"/>
      <c r="J177" s="349"/>
      <c r="K177" s="350"/>
      <c r="L177" s="348" t="s">
        <v>123</v>
      </c>
      <c r="M177" s="349"/>
      <c r="N177" s="349"/>
      <c r="O177" s="349"/>
      <c r="P177" s="349"/>
      <c r="Q177" s="349"/>
      <c r="R177" s="349"/>
      <c r="S177" s="349"/>
      <c r="T177" s="349"/>
      <c r="U177" s="350"/>
      <c r="V177" s="348" t="s">
        <v>124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348" t="s">
        <v>125</v>
      </c>
      <c r="AG177" s="349"/>
      <c r="AH177" s="349"/>
      <c r="AI177" s="349"/>
      <c r="AJ177" s="349"/>
      <c r="AK177" s="349"/>
      <c r="AL177" s="349"/>
      <c r="AM177" s="349"/>
      <c r="AN177" s="349"/>
      <c r="AO177" s="350"/>
    </row>
    <row r="178" spans="1:53" ht="13.5" thickBot="1" x14ac:dyDescent="0.25">
      <c r="A178" s="347"/>
      <c r="B178" s="354" t="s">
        <v>10</v>
      </c>
      <c r="C178" s="355"/>
      <c r="D178" s="355"/>
      <c r="E178" s="355"/>
      <c r="F178" s="355"/>
      <c r="G178" s="356"/>
      <c r="H178" s="354" t="s">
        <v>126</v>
      </c>
      <c r="I178" s="355"/>
      <c r="J178" s="355"/>
      <c r="K178" s="356"/>
      <c r="L178" s="354" t="s">
        <v>10</v>
      </c>
      <c r="M178" s="355"/>
      <c r="N178" s="355"/>
      <c r="O178" s="355"/>
      <c r="P178" s="355"/>
      <c r="Q178" s="356"/>
      <c r="R178" s="354" t="s">
        <v>126</v>
      </c>
      <c r="S178" s="355"/>
      <c r="T178" s="355"/>
      <c r="U178" s="356"/>
      <c r="V178" s="354" t="s">
        <v>10</v>
      </c>
      <c r="W178" s="355"/>
      <c r="X178" s="355"/>
      <c r="Y178" s="355"/>
      <c r="Z178" s="355"/>
      <c r="AA178" s="356"/>
      <c r="AB178" s="354" t="s">
        <v>126</v>
      </c>
      <c r="AC178" s="355"/>
      <c r="AD178" s="355"/>
      <c r="AE178" s="356"/>
      <c r="AF178" s="354" t="s">
        <v>10</v>
      </c>
      <c r="AG178" s="355"/>
      <c r="AH178" s="355"/>
      <c r="AI178" s="355"/>
      <c r="AJ178" s="355"/>
      <c r="AK178" s="356"/>
      <c r="AL178" s="354" t="s">
        <v>126</v>
      </c>
      <c r="AM178" s="355"/>
      <c r="AN178" s="355"/>
      <c r="AO178" s="356"/>
    </row>
    <row r="179" spans="1:53" x14ac:dyDescent="0.2">
      <c r="A179" s="82" t="s">
        <v>127</v>
      </c>
      <c r="B179" s="412" t="str">
        <f>IF($AF$8=1,$E$8,IF($AF$10=1,$E$10,IF($AF$12=1,$E$12,IF($AF$14=1,$E$14,IF($AF$16=1,$E$16,"1st Place "&amp;$A179)))))</f>
        <v>Carolina Express 15</v>
      </c>
      <c r="C179" s="413"/>
      <c r="D179" s="413"/>
      <c r="E179" s="413"/>
      <c r="F179" s="413"/>
      <c r="G179" s="413"/>
      <c r="H179" s="414" t="str">
        <f>IF($AF$8=1,$E$9,IF($AF$10=1,$E$11,IF($AF$12=1,$E$13,IF($AF$14=1,$E$15,IF($AF$16=1,$E$17,"1st Place "&amp;$A179)))))</f>
        <v>fj5196891pm</v>
      </c>
      <c r="I179" s="414"/>
      <c r="J179" s="414"/>
      <c r="K179" s="415"/>
      <c r="L179" s="412" t="str">
        <f>IF($AF$8=2,$E$8,IF($AF$10=2,$E$10,IF($AF$12=2,$E$12,IF($AF$14=2,$E$14,IF($AF$16=2,$E$16,"2nd Place "&amp;$A179)))))</f>
        <v>MBVC 14 Black Randy</v>
      </c>
      <c r="M179" s="413"/>
      <c r="N179" s="413"/>
      <c r="O179" s="413"/>
      <c r="P179" s="413"/>
      <c r="Q179" s="413"/>
      <c r="R179" s="414" t="str">
        <f>IF($AF$8=2,$E$9,IF($AF$10=2,$E$11,IF($AF$12=2,$E$13,IF($AF$14=2,$E$15,IF($AF$16=2,$E$17,"2nd Place "&amp;$A179)))))</f>
        <v>fj4mbeac1pm</v>
      </c>
      <c r="S179" s="414"/>
      <c r="T179" s="414"/>
      <c r="U179" s="415"/>
      <c r="V179" s="412" t="str">
        <f>IF($AF$8=3,$E$8,IF($AF$10=3,$E$10,IF($AF$12=3,$E$12,IF($AF$14=3,$E$14,IF($AF$16=3,$E$16,"3rd Place "&amp;$A179)))))</f>
        <v>Upward Stars 15 Erin</v>
      </c>
      <c r="W179" s="413"/>
      <c r="X179" s="413"/>
      <c r="Y179" s="413"/>
      <c r="Z179" s="413"/>
      <c r="AA179" s="413"/>
      <c r="AB179" s="414" t="str">
        <f>IF($AF$8=3,$E$9,IF($AF$10=3,$E$11,IF($AF$12=3,$E$13,IF($AF$14=3,$E$15,IF($AF$16=3,$E$17,"3rd Place "&amp;$A179)))))</f>
        <v>fj5upwrd4pm</v>
      </c>
      <c r="AC179" s="414"/>
      <c r="AD179" s="414"/>
      <c r="AE179" s="415"/>
      <c r="AF179" s="412" t="str">
        <f>IF($AF$8=4,$E$8,IF($AF$10=4,$E$10,IF($AF$12=4,$E$12,IF($AF$14=4,$E$14,IF($AF$16=4,$E$16,"4th Place "&amp;$A179)))))</f>
        <v>SC Midlands 15 Black</v>
      </c>
      <c r="AG179" s="413"/>
      <c r="AH179" s="413"/>
      <c r="AI179" s="413"/>
      <c r="AJ179" s="413"/>
      <c r="AK179" s="413"/>
      <c r="AL179" s="414" t="str">
        <f>IF($AF$8=4,$E$9,IF($AF$10=4,$E$11,IF($AF$12=4,$E$13,IF($AF$14=4,$E$15,IF($AF$16=4,$E$17,"4th Place "&amp;$A179)))))</f>
        <v>fj5scmid3pm</v>
      </c>
      <c r="AM179" s="414"/>
      <c r="AN179" s="414"/>
      <c r="AO179" s="415"/>
    </row>
    <row r="180" spans="1:53" ht="13.5" thickBot="1" x14ac:dyDescent="0.25">
      <c r="A180" s="83" t="s">
        <v>128</v>
      </c>
      <c r="B180" s="416" t="str">
        <f>IF($AF$93=1,$E$93,IF($AF$95=1,$E$95,IF($AF$97=1,$E$97,IF($AF$99=1,$E$99,IF($AF$101=1,$E$101,"1st Place "&amp;$A180)))))</f>
        <v>Upward Stars 15 Brittni</v>
      </c>
      <c r="C180" s="417"/>
      <c r="D180" s="417"/>
      <c r="E180" s="417"/>
      <c r="F180" s="417"/>
      <c r="G180" s="417"/>
      <c r="H180" s="418" t="str">
        <f>IF($AF$93=1,$E$94,IF($AF$95=1,$E$96,IF($AF$97=1,$E$98,IF($AF$99=1,$E$100,IF($AF$101=1,$E$102,"1st Place "&amp;$A180)))))</f>
        <v>fj5upwrd5pm</v>
      </c>
      <c r="I180" s="418"/>
      <c r="J180" s="418"/>
      <c r="K180" s="419"/>
      <c r="L180" s="416" t="str">
        <f>IF($AF$93=2,$E$93,IF($AF$95=2,$E$95,IF($AF$97=2,$E$97,IF($AF$99=2,$E$99,IF($AF$101=2,$E$101,"2nd Place "&amp;$A180)))))</f>
        <v>MBVC 15 Black Brittany</v>
      </c>
      <c r="M180" s="417"/>
      <c r="N180" s="417"/>
      <c r="O180" s="417"/>
      <c r="P180" s="417"/>
      <c r="Q180" s="417"/>
      <c r="R180" s="418" t="str">
        <f>IF($AF$93=2,$E$94,IF($AF$95=2,$E$96,IF($AF$97=2,$E$98,IF($AF$99=2,$E$100,IF($AF$101=2,$E$102,"2nd Place "&amp;$A180)))))</f>
        <v>fj5mbeac1pm</v>
      </c>
      <c r="S180" s="418"/>
      <c r="T180" s="418"/>
      <c r="U180" s="419"/>
      <c r="V180" s="416" t="str">
        <f>IF($AF$93=3,$E$93,IF($AF$95=3,$E$95,IF($AF$97=3,$E$97,IF($AF$99=3,$E$99,IF($AF$101=3,$E$101,"3rd Place "&amp;$A180)))))</f>
        <v>Upstate 15-2 Club</v>
      </c>
      <c r="W180" s="417"/>
      <c r="X180" s="417"/>
      <c r="Y180" s="417"/>
      <c r="Z180" s="417"/>
      <c r="AA180" s="417"/>
      <c r="AB180" s="418" t="str">
        <f>IF($AF$93=3,$E$94,IF($AF$95=3,$E$96,IF($AF$97=3,$E$98,IF($AF$99=3,$E$100,IF($AF$101=3,$E$102,"3rd Place "&amp;$A180)))))</f>
        <v>fj5upsvc2pm</v>
      </c>
      <c r="AC180" s="418"/>
      <c r="AD180" s="418"/>
      <c r="AE180" s="419"/>
      <c r="AF180" s="416" t="str">
        <f>IF($AF$93=4,$E$93,IF($AF$95=4,$E$95,IF($AF$97=4,$E$97,IF($AF$99=4,$E$99,IF($AF$101=4,$E$101,"4th Place "&amp;$A180)))))</f>
        <v>Lake Murray 15 Black</v>
      </c>
      <c r="AG180" s="417"/>
      <c r="AH180" s="417"/>
      <c r="AI180" s="417"/>
      <c r="AJ180" s="417"/>
      <c r="AK180" s="417"/>
      <c r="AL180" s="418" t="str">
        <f>IF($AF$93=4,$E$94,IF($AF$95=4,$E$96,IF($AF$97=4,$E$98,IF($AF$99=4,$E$100,IF($AF$101=4,$E$102,"4th Place "&amp;$A180)))))</f>
        <v>fj5lakem2pm</v>
      </c>
      <c r="AM180" s="418"/>
      <c r="AN180" s="418"/>
      <c r="AO180" s="41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Z181" s="4"/>
      <c r="BA181" s="4"/>
    </row>
    <row r="182" spans="1:53" ht="15.75" x14ac:dyDescent="0.25">
      <c r="A182" s="426" t="s">
        <v>129</v>
      </c>
      <c r="B182" s="426"/>
      <c r="C182" s="426"/>
      <c r="D182" s="426"/>
      <c r="E182" s="426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T182" s="86"/>
      <c r="AU182" s="86"/>
      <c r="AV182" s="86"/>
    </row>
    <row r="183" spans="1:53" ht="14.25" x14ac:dyDescent="0.2">
      <c r="A183" s="427" t="s">
        <v>130</v>
      </c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</row>
    <row r="184" spans="1:53" x14ac:dyDescent="0.2">
      <c r="A184" s="428" t="s">
        <v>198</v>
      </c>
      <c r="B184" s="428"/>
      <c r="C184" s="428"/>
      <c r="D184" s="428"/>
      <c r="E184" s="428"/>
      <c r="F184" s="428"/>
      <c r="G184" s="428"/>
      <c r="H184" s="428"/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53" x14ac:dyDescent="0.2">
      <c r="A185" s="428"/>
      <c r="B185" s="428"/>
      <c r="C185" s="428"/>
      <c r="D185" s="428"/>
      <c r="E185" s="428"/>
      <c r="F185" s="428"/>
      <c r="G185" s="428"/>
      <c r="H185" s="428"/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53" x14ac:dyDescent="0.2">
      <c r="A186" s="429" t="s">
        <v>132</v>
      </c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330" t="s">
        <v>133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54"/>
      <c r="R188" s="330" t="s">
        <v>134</v>
      </c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</row>
    <row r="190" spans="1:53" ht="13.5" thickBot="1" x14ac:dyDescent="0.25">
      <c r="A190" s="420" t="str">
        <f>IF(B218=1,B210,IF(B218=2,B211,IF(B218=3,B212,IF(B218=4,B213,IF(OR(B218="B",B218="b"),"BYE","invalid")))))</f>
        <v>Carolina Express 15</v>
      </c>
      <c r="B190" s="420"/>
      <c r="C190" s="420"/>
      <c r="D190" s="420"/>
      <c r="E190" s="420"/>
      <c r="F190" s="88"/>
      <c r="G190" s="88"/>
      <c r="H190" s="88"/>
      <c r="I190" s="88"/>
      <c r="J190" s="88"/>
      <c r="K190" s="88"/>
      <c r="L190" s="88"/>
      <c r="M190" s="88"/>
      <c r="N190" s="88"/>
      <c r="S190" s="89"/>
      <c r="T190" s="89"/>
      <c r="U190" s="420" t="str">
        <f>IF(W218=1,X210,IF(W218=2,X211,IF(W218=3,X212,IF(W218=4,X213,IF(OR(W218="B",W218="b"),"BYE","invalid")))))</f>
        <v>Upward Stars 15 Erin</v>
      </c>
      <c r="V190" s="420"/>
      <c r="W190" s="420"/>
      <c r="X190" s="420"/>
      <c r="Y190" s="420"/>
      <c r="Z190" s="420"/>
      <c r="AA190" s="420"/>
      <c r="AB190" s="88"/>
      <c r="AC190" s="88"/>
      <c r="AD190" s="88"/>
      <c r="AE190" s="88"/>
    </row>
    <row r="191" spans="1:53" x14ac:dyDescent="0.2">
      <c r="A191" s="421" t="s">
        <v>135</v>
      </c>
      <c r="B191" s="421"/>
      <c r="C191" s="421"/>
      <c r="D191" s="421"/>
      <c r="E191" s="421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422" t="s">
        <v>136</v>
      </c>
      <c r="V191" s="422"/>
      <c r="W191" s="422"/>
      <c r="X191" s="422"/>
      <c r="Y191" s="422"/>
      <c r="Z191" s="422"/>
      <c r="AA191" s="423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422" t="str">
        <f>B212&amp;" ref"</f>
        <v>MBVC 14 Black Randy ref</v>
      </c>
      <c r="B193" s="422"/>
      <c r="C193" s="422"/>
      <c r="D193" s="422"/>
      <c r="E193" s="423"/>
      <c r="F193" s="424" t="str">
        <f>IF(H218=1,B210,IF(H218=2,B211,IF(H218=3,B212,IF(H218=4,B213,"Winner Match 1"))))</f>
        <v>Carolina Express 15</v>
      </c>
      <c r="G193" s="425"/>
      <c r="H193" s="425"/>
      <c r="I193" s="425"/>
      <c r="J193" s="425"/>
      <c r="K193" s="425"/>
      <c r="L193" s="425"/>
      <c r="M193" s="425"/>
      <c r="N193" s="88"/>
      <c r="P193" s="93"/>
      <c r="Q193" s="93"/>
      <c r="R193" s="93"/>
      <c r="S193" s="93"/>
      <c r="T193" s="422" t="str">
        <f>X212&amp;" ref"</f>
        <v>SC Midlands 15 Black ref</v>
      </c>
      <c r="U193" s="422"/>
      <c r="V193" s="422"/>
      <c r="W193" s="422"/>
      <c r="X193" s="422"/>
      <c r="Y193" s="422"/>
      <c r="Z193" s="422"/>
      <c r="AA193" s="423"/>
      <c r="AB193" s="424" t="str">
        <f>IF(AC218=1,X210,IF(AC218=2,X211,IF(AC218=3,X212,IF(AC218=4,X213,"Winner Match 1"))))</f>
        <v>Upward Stars 15 Erin</v>
      </c>
      <c r="AC193" s="425"/>
      <c r="AD193" s="425"/>
      <c r="AE193" s="425"/>
      <c r="AF193" s="425"/>
      <c r="AG193" s="425"/>
      <c r="AH193" s="425"/>
    </row>
    <row r="194" spans="1:53" x14ac:dyDescent="0.2">
      <c r="A194" s="434" t="s">
        <v>137</v>
      </c>
      <c r="B194" s="434"/>
      <c r="C194" s="434"/>
      <c r="D194" s="434"/>
      <c r="E194" s="434"/>
      <c r="F194" s="435"/>
      <c r="G194" s="436"/>
      <c r="H194" s="436"/>
      <c r="I194" s="437"/>
      <c r="J194" s="438"/>
      <c r="K194" s="439"/>
      <c r="L194" s="439"/>
      <c r="M194" s="439"/>
      <c r="N194" s="88"/>
      <c r="O194" s="88"/>
      <c r="P194" s="94"/>
      <c r="Q194" s="6"/>
      <c r="R194" s="95"/>
      <c r="S194" s="95"/>
      <c r="T194" s="440" t="s">
        <v>138</v>
      </c>
      <c r="U194" s="440"/>
      <c r="V194" s="440"/>
      <c r="W194" s="440"/>
      <c r="X194" s="440"/>
      <c r="Y194" s="440"/>
      <c r="Z194" s="440"/>
      <c r="AA194" s="92"/>
      <c r="AB194" s="435"/>
      <c r="AC194" s="436"/>
      <c r="AD194" s="436"/>
      <c r="AE194" s="437"/>
      <c r="AF194" s="438"/>
      <c r="AG194" s="439"/>
      <c r="AH194" s="439"/>
    </row>
    <row r="195" spans="1:53" ht="13.5" thickBot="1" x14ac:dyDescent="0.25">
      <c r="A195" s="420" t="str">
        <f>IF(D218=1,B210,IF(D218=2,B211,IF(D218=3,B212,IF(D218=4,B213,IF(OR(D218="B",D218="b"),"BYE","invalid")))))</f>
        <v>MBVC 15 Black Brittany</v>
      </c>
      <c r="B195" s="420"/>
      <c r="C195" s="420"/>
      <c r="D195" s="420"/>
      <c r="E195" s="430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420" t="str">
        <f>IF(Y218=1,X210,IF(Y218=2,X211,IF(Y218=3,X212,IF(Y218=4,X213,IF(OR(Y218="B",Y218="b"),"BYE","invalid")))))</f>
        <v>Lake Murray 15 Black</v>
      </c>
      <c r="V195" s="420"/>
      <c r="W195" s="420"/>
      <c r="X195" s="420"/>
      <c r="Y195" s="420"/>
      <c r="Z195" s="420"/>
      <c r="AA195" s="430"/>
      <c r="AB195" s="88"/>
      <c r="AC195" s="88"/>
      <c r="AD195" s="88"/>
      <c r="AE195" s="92"/>
      <c r="AF195" s="88"/>
      <c r="AG195" s="88"/>
    </row>
    <row r="196" spans="1:53" x14ac:dyDescent="0.2">
      <c r="A196" s="421" t="s">
        <v>139</v>
      </c>
      <c r="B196" s="421"/>
      <c r="C196" s="421"/>
      <c r="D196" s="421"/>
      <c r="E196" s="421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431" t="s">
        <v>140</v>
      </c>
      <c r="V196" s="431"/>
      <c r="W196" s="431"/>
      <c r="X196" s="431"/>
      <c r="Y196" s="431"/>
      <c r="Z196" s="431"/>
      <c r="AA196" s="431"/>
      <c r="AB196" s="88"/>
      <c r="AC196" s="88"/>
      <c r="AD196" s="88"/>
      <c r="AE196" s="92"/>
      <c r="AF196" s="88"/>
      <c r="AG196" s="88"/>
      <c r="AQ196" s="96"/>
      <c r="AR196" s="96"/>
      <c r="AV196" s="96"/>
      <c r="AW196" s="96"/>
      <c r="AX196" s="96"/>
    </row>
    <row r="197" spans="1:53" x14ac:dyDescent="0.2">
      <c r="A197" s="88"/>
      <c r="B197" s="88"/>
      <c r="C197" s="88"/>
      <c r="D197" s="88"/>
      <c r="E197" s="88"/>
      <c r="F197" s="432" t="s">
        <v>141</v>
      </c>
      <c r="G197" s="432"/>
      <c r="H197" s="432"/>
      <c r="I197" s="433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432" t="s">
        <v>141</v>
      </c>
      <c r="AC197" s="432"/>
      <c r="AD197" s="432"/>
      <c r="AE197" s="433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445" t="str">
        <f>IF(K223=1,B210,IF(K223=2,B211,IF(K223=3,B212,IF(K223=4,B213,"Division Winner"))))</f>
        <v>MBVC 14 Black Randy</v>
      </c>
      <c r="K198" s="446"/>
      <c r="L198" s="446"/>
      <c r="M198" s="446"/>
      <c r="N198" s="446"/>
      <c r="O198" s="446"/>
      <c r="P198" s="446"/>
      <c r="Q198" s="89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446" t="str">
        <f>IF(AF223=1,X210,IF(AF223=2,X211,IF(AF223=3,X212,IF(AF223=4,X213,"Division Winner"))))</f>
        <v>Upward Stars 15 Erin</v>
      </c>
      <c r="AG198" s="446"/>
      <c r="AH198" s="446"/>
      <c r="AI198" s="446"/>
      <c r="AJ198" s="446"/>
      <c r="AK198" s="98"/>
    </row>
    <row r="199" spans="1:53" ht="13.5" thickBot="1" x14ac:dyDescent="0.25">
      <c r="A199" s="420" t="str">
        <f>IF(E218=1,B210,IF(E218=2,B211,IF(E218=3,B212,IF(E218=4,B213,IF(OR(E218="B",E218="b"),"BYE","invalid")))))</f>
        <v>Upward Stars 15 Brittni</v>
      </c>
      <c r="B199" s="420"/>
      <c r="C199" s="420"/>
      <c r="D199" s="420"/>
      <c r="E199" s="420"/>
      <c r="F199" s="434" t="s">
        <v>142</v>
      </c>
      <c r="G199" s="434"/>
      <c r="H199" s="434"/>
      <c r="I199" s="434"/>
      <c r="J199" s="441" t="s">
        <v>143</v>
      </c>
      <c r="K199" s="432"/>
      <c r="L199" s="432"/>
      <c r="M199" s="432"/>
      <c r="N199" s="432"/>
      <c r="O199" s="432"/>
      <c r="P199" s="432"/>
      <c r="R199" s="98"/>
      <c r="S199" s="98"/>
      <c r="T199" s="98"/>
      <c r="U199" s="420" t="str">
        <f>IF(Z218=1,X210,IF(Z218=2,X211,IF(Z218=3,X212,IF(Z218=4,X213,IF(OR(Z218="B",Z218="b"),"BYE","invalid")))))</f>
        <v>Upstate 15-2 Club</v>
      </c>
      <c r="V199" s="420"/>
      <c r="W199" s="420"/>
      <c r="X199" s="420"/>
      <c r="Y199" s="420"/>
      <c r="Z199" s="420"/>
      <c r="AA199" s="420"/>
      <c r="AB199" s="434" t="s">
        <v>144</v>
      </c>
      <c r="AC199" s="434"/>
      <c r="AD199" s="434"/>
      <c r="AE199" s="447"/>
      <c r="AF199" s="448" t="s">
        <v>145</v>
      </c>
      <c r="AG199" s="449"/>
      <c r="AH199" s="449"/>
      <c r="AI199" s="449"/>
      <c r="AJ199" s="449"/>
    </row>
    <row r="200" spans="1:53" x14ac:dyDescent="0.2">
      <c r="A200" s="421" t="s">
        <v>146</v>
      </c>
      <c r="B200" s="421"/>
      <c r="C200" s="421"/>
      <c r="D200" s="421"/>
      <c r="E200" s="421"/>
      <c r="F200" s="90"/>
      <c r="G200" s="88"/>
      <c r="H200" s="88"/>
      <c r="I200" s="88"/>
      <c r="J200" s="441"/>
      <c r="K200" s="432"/>
      <c r="L200" s="432"/>
      <c r="M200" s="432"/>
      <c r="N200" s="432"/>
      <c r="O200" s="432"/>
      <c r="P200" s="432"/>
      <c r="Q200" s="88"/>
      <c r="R200" s="96"/>
      <c r="S200" s="96"/>
      <c r="T200" s="96"/>
      <c r="U200" s="422" t="s">
        <v>147</v>
      </c>
      <c r="V200" s="422"/>
      <c r="W200" s="422"/>
      <c r="X200" s="422"/>
      <c r="Y200" s="422"/>
      <c r="Z200" s="422"/>
      <c r="AA200" s="423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Z201" s="55"/>
      <c r="BA201" s="55"/>
    </row>
    <row r="202" spans="1:53" ht="13.5" thickBot="1" x14ac:dyDescent="0.25">
      <c r="A202" s="518" t="s">
        <v>148</v>
      </c>
      <c r="B202" s="518"/>
      <c r="C202" s="518"/>
      <c r="D202" s="518"/>
      <c r="E202" s="94"/>
      <c r="F202" s="442"/>
      <c r="G202" s="443"/>
      <c r="H202" s="443"/>
      <c r="I202" s="444"/>
      <c r="J202" s="438"/>
      <c r="K202" s="439"/>
      <c r="L202" s="439"/>
      <c r="M202" s="439"/>
      <c r="N202" s="88"/>
      <c r="Q202" s="93"/>
      <c r="R202" s="93"/>
      <c r="S202" s="93"/>
      <c r="T202" s="518" t="s">
        <v>148</v>
      </c>
      <c r="U202" s="518"/>
      <c r="V202" s="518"/>
      <c r="W202" s="518"/>
      <c r="X202" s="518"/>
      <c r="Y202" s="518"/>
      <c r="Z202" s="518"/>
      <c r="AA202" s="88"/>
      <c r="AB202" s="442"/>
      <c r="AC202" s="443"/>
      <c r="AD202" s="443"/>
      <c r="AE202" s="444"/>
      <c r="AF202" s="438"/>
      <c r="AG202" s="439"/>
      <c r="AH202" s="439"/>
      <c r="AZ202" s="55"/>
      <c r="BA202" s="55"/>
    </row>
    <row r="203" spans="1:53" x14ac:dyDescent="0.2">
      <c r="A203" s="516" t="s">
        <v>137</v>
      </c>
      <c r="B203" s="516"/>
      <c r="C203" s="516"/>
      <c r="D203" s="516"/>
      <c r="E203" s="517"/>
      <c r="F203" s="424" t="str">
        <f>IF(J218=1,B210,IF(J218=2,B211,IF(J218=3,B212,IF(J218=4,B213,"Winner Match 2"))))</f>
        <v>MBVC 14 Black Randy</v>
      </c>
      <c r="G203" s="425"/>
      <c r="H203" s="425"/>
      <c r="I203" s="425"/>
      <c r="J203" s="425"/>
      <c r="K203" s="425"/>
      <c r="L203" s="425"/>
      <c r="M203" s="425"/>
      <c r="N203" s="88"/>
      <c r="P203" s="94"/>
      <c r="Q203" s="94"/>
      <c r="S203" s="95"/>
      <c r="T203" s="434" t="s">
        <v>138</v>
      </c>
      <c r="U203" s="434"/>
      <c r="V203" s="434"/>
      <c r="W203" s="434"/>
      <c r="X203" s="434"/>
      <c r="Y203" s="434"/>
      <c r="Z203" s="434"/>
      <c r="AA203" s="92"/>
      <c r="AB203" s="424" t="str">
        <f>IF(AE218=1,X210,IF(AE218=2,X211,IF(AE218=3,X212,IF(AE218=4,X213,"Winner Match 2"))))</f>
        <v>Upstate 15-2 Club</v>
      </c>
      <c r="AC203" s="425"/>
      <c r="AD203" s="425"/>
      <c r="AE203" s="425"/>
      <c r="AF203" s="425"/>
      <c r="AG203" s="425"/>
      <c r="AH203" s="425"/>
      <c r="AZ203" s="55"/>
      <c r="BA203" s="55"/>
    </row>
    <row r="204" spans="1:53" ht="13.5" thickBot="1" x14ac:dyDescent="0.25">
      <c r="A204" s="420" t="str">
        <f>IF(G218=1,B210,IF(G218=2,B211,IF(G218=3,B212,IF(G218=4,B213,IF(OR(G218="B",G218="b"),"BYE","invalid")))))</f>
        <v>MBVC 14 Black Randy</v>
      </c>
      <c r="B204" s="420"/>
      <c r="C204" s="420"/>
      <c r="D204" s="420"/>
      <c r="E204" s="430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420" t="str">
        <f>IF(AB218=1,X210,IF(AB218=2,X211,IF(AB218=3,X212,IF(AB218=4,X213,IF(OR(AB218="B",AB218="b"),"BYE","invalid")))))</f>
        <v>SC Midlands 15 Black</v>
      </c>
      <c r="V204" s="420"/>
      <c r="W204" s="420"/>
      <c r="X204" s="420"/>
      <c r="Y204" s="420"/>
      <c r="Z204" s="420"/>
      <c r="AA204" s="430"/>
      <c r="AB204" s="88"/>
      <c r="AC204" s="88"/>
      <c r="AD204" s="88"/>
      <c r="AE204" s="88"/>
      <c r="AZ204" s="55"/>
      <c r="BA204" s="55"/>
    </row>
    <row r="205" spans="1:53" x14ac:dyDescent="0.2">
      <c r="A205" s="421" t="s">
        <v>149</v>
      </c>
      <c r="B205" s="421"/>
      <c r="C205" s="421"/>
      <c r="D205" s="421"/>
      <c r="E205" s="421"/>
      <c r="S205" s="96"/>
      <c r="T205" s="96"/>
      <c r="U205" s="422" t="s">
        <v>150</v>
      </c>
      <c r="V205" s="422"/>
      <c r="W205" s="422"/>
      <c r="X205" s="422"/>
      <c r="Y205" s="422"/>
      <c r="Z205" s="422"/>
      <c r="AA205" s="422"/>
      <c r="AZ205" s="55"/>
      <c r="BA205" s="55"/>
    </row>
    <row r="206" spans="1:53" x14ac:dyDescent="0.2">
      <c r="AS206" s="55"/>
      <c r="AT206" s="55"/>
      <c r="AU206" s="55"/>
      <c r="AZ206" s="55"/>
      <c r="BA206" s="55"/>
    </row>
    <row r="207" spans="1:53" x14ac:dyDescent="0.2">
      <c r="AS207" s="55"/>
      <c r="AT207" s="55"/>
      <c r="AU207" s="55"/>
      <c r="AZ207" s="55"/>
      <c r="BA207" s="55"/>
    </row>
    <row r="208" spans="1:53" ht="16.5" thickBot="1" x14ac:dyDescent="0.3">
      <c r="A208" s="450" t="s">
        <v>151</v>
      </c>
      <c r="B208" s="450"/>
      <c r="C208" s="450"/>
      <c r="D208" s="450"/>
      <c r="E208" s="450"/>
      <c r="F208" s="450"/>
      <c r="G208" s="450"/>
      <c r="H208" s="450"/>
      <c r="I208" s="450"/>
      <c r="J208" s="450"/>
      <c r="Q208" s="100"/>
      <c r="R208" s="100"/>
      <c r="S208" s="100"/>
      <c r="U208" s="450" t="s">
        <v>152</v>
      </c>
      <c r="V208" s="450"/>
      <c r="W208" s="450"/>
      <c r="X208" s="450"/>
      <c r="Y208" s="450"/>
      <c r="Z208" s="450"/>
      <c r="AA208" s="450"/>
      <c r="AB208" s="450"/>
      <c r="AC208" s="450"/>
      <c r="AD208" s="450"/>
      <c r="AE208" s="450"/>
      <c r="AF208" s="450"/>
      <c r="AS208" s="55"/>
      <c r="AT208" s="55"/>
      <c r="AU208" s="55"/>
      <c r="AZ208" s="55"/>
      <c r="BA208" s="55"/>
    </row>
    <row r="209" spans="1:53" ht="13.5" thickBot="1" x14ac:dyDescent="0.25">
      <c r="A209" s="101" t="s">
        <v>153</v>
      </c>
      <c r="B209" s="451" t="s">
        <v>154</v>
      </c>
      <c r="C209" s="452"/>
      <c r="D209" s="452"/>
      <c r="E209" s="452"/>
      <c r="F209" s="452"/>
      <c r="G209" s="452"/>
      <c r="H209" s="452"/>
      <c r="I209" s="452"/>
      <c r="J209" s="453"/>
      <c r="K209" s="454" t="s">
        <v>155</v>
      </c>
      <c r="L209" s="455"/>
      <c r="M209" s="455"/>
      <c r="N209" s="455"/>
      <c r="O209" s="455"/>
      <c r="P209" s="455"/>
      <c r="Q209" s="456"/>
      <c r="U209" s="457" t="s">
        <v>153</v>
      </c>
      <c r="V209" s="458"/>
      <c r="W209" s="459"/>
      <c r="X209" s="451" t="s">
        <v>154</v>
      </c>
      <c r="Y209" s="452"/>
      <c r="Z209" s="452"/>
      <c r="AA209" s="452"/>
      <c r="AB209" s="452"/>
      <c r="AC209" s="452"/>
      <c r="AD209" s="452"/>
      <c r="AE209" s="452"/>
      <c r="AF209" s="453"/>
      <c r="AG209" s="454" t="s">
        <v>155</v>
      </c>
      <c r="AH209" s="455"/>
      <c r="AI209" s="455"/>
      <c r="AJ209" s="455"/>
      <c r="AK209" s="455"/>
      <c r="AL209" s="455"/>
      <c r="AM209" s="456"/>
      <c r="AS209" s="55"/>
      <c r="AT209" s="55"/>
      <c r="AU209" s="55"/>
      <c r="AZ209" s="55"/>
      <c r="BA209" s="55"/>
    </row>
    <row r="210" spans="1:53" ht="13.5" thickBot="1" x14ac:dyDescent="0.25">
      <c r="A210" s="101">
        <v>1</v>
      </c>
      <c r="B210" s="460" t="str">
        <f>B179</f>
        <v>Carolina Express 15</v>
      </c>
      <c r="C210" s="461"/>
      <c r="D210" s="461"/>
      <c r="E210" s="461"/>
      <c r="F210" s="461"/>
      <c r="G210" s="461"/>
      <c r="H210" s="461"/>
      <c r="I210" s="461"/>
      <c r="J210" s="462"/>
      <c r="K210" s="463" t="str">
        <f>H179</f>
        <v>fj5196891pm</v>
      </c>
      <c r="L210" s="464"/>
      <c r="M210" s="464"/>
      <c r="N210" s="464"/>
      <c r="O210" s="464"/>
      <c r="P210" s="464"/>
      <c r="Q210" s="465"/>
      <c r="U210" s="457">
        <v>1</v>
      </c>
      <c r="V210" s="458"/>
      <c r="W210" s="459"/>
      <c r="X210" s="460" t="str">
        <f>V179</f>
        <v>Upward Stars 15 Erin</v>
      </c>
      <c r="Y210" s="461"/>
      <c r="Z210" s="461"/>
      <c r="AA210" s="461"/>
      <c r="AB210" s="461"/>
      <c r="AC210" s="461"/>
      <c r="AD210" s="461"/>
      <c r="AE210" s="461"/>
      <c r="AF210" s="462"/>
      <c r="AG210" s="463" t="str">
        <f>AB179</f>
        <v>fj5upwrd4pm</v>
      </c>
      <c r="AH210" s="464"/>
      <c r="AI210" s="464"/>
      <c r="AJ210" s="464"/>
      <c r="AK210" s="464"/>
      <c r="AL210" s="464"/>
      <c r="AM210" s="465"/>
      <c r="AS210" s="55"/>
      <c r="AT210" s="55"/>
      <c r="AU210" s="55"/>
      <c r="AZ210" s="55"/>
      <c r="BA210" s="55"/>
    </row>
    <row r="211" spans="1:53" ht="13.5" thickBot="1" x14ac:dyDescent="0.25">
      <c r="A211" s="101">
        <v>2</v>
      </c>
      <c r="B211" s="460" t="str">
        <f>B180</f>
        <v>Upward Stars 15 Brittni</v>
      </c>
      <c r="C211" s="461"/>
      <c r="D211" s="461"/>
      <c r="E211" s="461"/>
      <c r="F211" s="461"/>
      <c r="G211" s="461"/>
      <c r="H211" s="461"/>
      <c r="I211" s="461"/>
      <c r="J211" s="462"/>
      <c r="K211" s="463" t="str">
        <f>H180</f>
        <v>fj5upwrd5pm</v>
      </c>
      <c r="L211" s="464"/>
      <c r="M211" s="464"/>
      <c r="N211" s="464"/>
      <c r="O211" s="464"/>
      <c r="P211" s="464"/>
      <c r="Q211" s="465"/>
      <c r="U211" s="457">
        <v>2</v>
      </c>
      <c r="V211" s="458"/>
      <c r="W211" s="459"/>
      <c r="X211" s="460" t="str">
        <f>V180</f>
        <v>Upstate 15-2 Club</v>
      </c>
      <c r="Y211" s="461"/>
      <c r="Z211" s="461"/>
      <c r="AA211" s="461"/>
      <c r="AB211" s="461"/>
      <c r="AC211" s="461"/>
      <c r="AD211" s="461"/>
      <c r="AE211" s="461"/>
      <c r="AF211" s="462"/>
      <c r="AG211" s="463" t="str">
        <f>AB180</f>
        <v>fj5upsvc2pm</v>
      </c>
      <c r="AH211" s="464"/>
      <c r="AI211" s="464"/>
      <c r="AJ211" s="464"/>
      <c r="AK211" s="464"/>
      <c r="AL211" s="464"/>
      <c r="AM211" s="465"/>
      <c r="AS211" s="55"/>
      <c r="AT211" s="55"/>
      <c r="AU211" s="55"/>
      <c r="AZ211" s="55"/>
      <c r="BA211" s="55"/>
    </row>
    <row r="212" spans="1:53" ht="13.5" thickBot="1" x14ac:dyDescent="0.25">
      <c r="A212" s="101">
        <v>3</v>
      </c>
      <c r="B212" s="460" t="str">
        <f>L179</f>
        <v>MBVC 14 Black Randy</v>
      </c>
      <c r="C212" s="461"/>
      <c r="D212" s="461"/>
      <c r="E212" s="461"/>
      <c r="F212" s="461"/>
      <c r="G212" s="461"/>
      <c r="H212" s="461"/>
      <c r="I212" s="461"/>
      <c r="J212" s="462"/>
      <c r="K212" s="463" t="str">
        <f>R179</f>
        <v>fj4mbeac1pm</v>
      </c>
      <c r="L212" s="464"/>
      <c r="M212" s="464"/>
      <c r="N212" s="464"/>
      <c r="O212" s="464"/>
      <c r="P212" s="464"/>
      <c r="Q212" s="465"/>
      <c r="U212" s="457">
        <v>3</v>
      </c>
      <c r="V212" s="458"/>
      <c r="W212" s="459"/>
      <c r="X212" s="460" t="str">
        <f>AF179</f>
        <v>SC Midlands 15 Black</v>
      </c>
      <c r="Y212" s="461"/>
      <c r="Z212" s="461"/>
      <c r="AA212" s="461"/>
      <c r="AB212" s="461"/>
      <c r="AC212" s="461"/>
      <c r="AD212" s="461"/>
      <c r="AE212" s="461"/>
      <c r="AF212" s="462"/>
      <c r="AG212" s="463" t="str">
        <f>AL179</f>
        <v>fj5scmid3pm</v>
      </c>
      <c r="AH212" s="464"/>
      <c r="AI212" s="464"/>
      <c r="AJ212" s="464"/>
      <c r="AK212" s="464"/>
      <c r="AL212" s="464"/>
      <c r="AM212" s="465"/>
      <c r="AS212" s="55"/>
      <c r="AT212" s="55"/>
      <c r="AU212" s="55"/>
      <c r="AZ212" s="55"/>
      <c r="BA212" s="55"/>
    </row>
    <row r="213" spans="1:53" ht="13.5" thickBot="1" x14ac:dyDescent="0.25">
      <c r="A213" s="101">
        <v>4</v>
      </c>
      <c r="B213" s="460" t="str">
        <f>L180</f>
        <v>MBVC 15 Black Brittany</v>
      </c>
      <c r="C213" s="461"/>
      <c r="D213" s="461"/>
      <c r="E213" s="461"/>
      <c r="F213" s="461"/>
      <c r="G213" s="461"/>
      <c r="H213" s="461"/>
      <c r="I213" s="461"/>
      <c r="J213" s="462"/>
      <c r="K213" s="463" t="str">
        <f>R180</f>
        <v>fj5mbeac1pm</v>
      </c>
      <c r="L213" s="464"/>
      <c r="M213" s="464"/>
      <c r="N213" s="464"/>
      <c r="O213" s="464"/>
      <c r="P213" s="464"/>
      <c r="Q213" s="465"/>
      <c r="U213" s="457">
        <v>4</v>
      </c>
      <c r="V213" s="458"/>
      <c r="W213" s="459"/>
      <c r="X213" s="460" t="str">
        <f>AF180</f>
        <v>Lake Murray 15 Black</v>
      </c>
      <c r="Y213" s="461"/>
      <c r="Z213" s="461"/>
      <c r="AA213" s="461"/>
      <c r="AB213" s="461"/>
      <c r="AC213" s="461"/>
      <c r="AD213" s="461"/>
      <c r="AE213" s="461"/>
      <c r="AF213" s="462"/>
      <c r="AG213" s="463" t="str">
        <f>AL180</f>
        <v>fj5lakem2pm</v>
      </c>
      <c r="AH213" s="464"/>
      <c r="AI213" s="464"/>
      <c r="AJ213" s="464"/>
      <c r="AK213" s="464"/>
      <c r="AL213" s="464"/>
      <c r="AM213" s="465"/>
      <c r="AS213" s="55"/>
      <c r="AT213" s="55"/>
      <c r="AU213" s="55"/>
      <c r="AZ213" s="55"/>
      <c r="BA213" s="55"/>
    </row>
    <row r="214" spans="1:53" ht="13.5" thickBot="1" x14ac:dyDescent="0.25">
      <c r="AS214" s="55"/>
      <c r="AT214" s="55"/>
      <c r="AU214" s="55"/>
      <c r="AZ214" s="55"/>
      <c r="BA214" s="55"/>
    </row>
    <row r="215" spans="1:53" x14ac:dyDescent="0.2">
      <c r="B215" s="466" t="s">
        <v>156</v>
      </c>
      <c r="C215" s="467"/>
      <c r="D215" s="468"/>
      <c r="E215" s="469" t="s">
        <v>156</v>
      </c>
      <c r="F215" s="467"/>
      <c r="G215" s="468"/>
      <c r="H215" s="469" t="s">
        <v>14</v>
      </c>
      <c r="I215" s="467"/>
      <c r="J215" s="470"/>
      <c r="K215" s="471" t="s">
        <v>157</v>
      </c>
      <c r="L215" s="472"/>
      <c r="M215" s="472"/>
      <c r="N215" s="472"/>
      <c r="O215" s="472"/>
      <c r="P215" s="472"/>
      <c r="Q215" s="473"/>
      <c r="R215" s="102"/>
      <c r="S215" s="102"/>
      <c r="T215" s="102"/>
      <c r="U215" s="102"/>
      <c r="W215" s="466" t="s">
        <v>156</v>
      </c>
      <c r="X215" s="467"/>
      <c r="Y215" s="468"/>
      <c r="Z215" s="469" t="s">
        <v>156</v>
      </c>
      <c r="AA215" s="467"/>
      <c r="AB215" s="468"/>
      <c r="AC215" s="469" t="s">
        <v>14</v>
      </c>
      <c r="AD215" s="467"/>
      <c r="AE215" s="470"/>
      <c r="AF215" s="471" t="s">
        <v>157</v>
      </c>
      <c r="AG215" s="480"/>
      <c r="AH215" s="480"/>
      <c r="AI215" s="480"/>
      <c r="AJ215" s="481"/>
      <c r="AZ215" s="55"/>
      <c r="BA215" s="55"/>
    </row>
    <row r="216" spans="1:53" x14ac:dyDescent="0.2">
      <c r="A216" s="41" t="s">
        <v>158</v>
      </c>
      <c r="B216" s="488">
        <v>3</v>
      </c>
      <c r="C216" s="489"/>
      <c r="D216" s="490"/>
      <c r="E216" s="491" t="s">
        <v>159</v>
      </c>
      <c r="F216" s="489"/>
      <c r="G216" s="490"/>
      <c r="H216" s="491" t="s">
        <v>160</v>
      </c>
      <c r="I216" s="489"/>
      <c r="J216" s="492"/>
      <c r="K216" s="474"/>
      <c r="L216" s="475"/>
      <c r="M216" s="475"/>
      <c r="N216" s="475"/>
      <c r="O216" s="475"/>
      <c r="P216" s="475"/>
      <c r="Q216" s="476"/>
      <c r="R216" s="102"/>
      <c r="S216" s="102"/>
      <c r="T216" s="493" t="s">
        <v>158</v>
      </c>
      <c r="U216" s="493"/>
      <c r="V216" s="494"/>
      <c r="W216" s="488">
        <v>3</v>
      </c>
      <c r="X216" s="489"/>
      <c r="Y216" s="490"/>
      <c r="Z216" s="491" t="s">
        <v>159</v>
      </c>
      <c r="AA216" s="489"/>
      <c r="AB216" s="490"/>
      <c r="AC216" s="491" t="s">
        <v>160</v>
      </c>
      <c r="AD216" s="489"/>
      <c r="AE216" s="492"/>
      <c r="AF216" s="482"/>
      <c r="AG216" s="483"/>
      <c r="AH216" s="483"/>
      <c r="AI216" s="483"/>
      <c r="AJ216" s="484"/>
      <c r="AZ216" s="55"/>
      <c r="BA216" s="55"/>
    </row>
    <row r="217" spans="1:53" ht="13.5" thickBot="1" x14ac:dyDescent="0.25">
      <c r="A217" s="7"/>
      <c r="B217" s="501" t="s">
        <v>70</v>
      </c>
      <c r="C217" s="323"/>
      <c r="D217" s="324"/>
      <c r="E217" s="322" t="s">
        <v>161</v>
      </c>
      <c r="F217" s="323"/>
      <c r="G217" s="324"/>
      <c r="H217" s="322" t="s">
        <v>162</v>
      </c>
      <c r="I217" s="323"/>
      <c r="J217" s="495"/>
      <c r="K217" s="477"/>
      <c r="L217" s="478"/>
      <c r="M217" s="478"/>
      <c r="N217" s="478"/>
      <c r="O217" s="478"/>
      <c r="P217" s="478"/>
      <c r="Q217" s="479"/>
      <c r="R217" s="102"/>
      <c r="S217" s="102"/>
      <c r="T217" s="499"/>
      <c r="U217" s="499"/>
      <c r="V217" s="500"/>
      <c r="W217" s="501" t="s">
        <v>70</v>
      </c>
      <c r="X217" s="323"/>
      <c r="Y217" s="324"/>
      <c r="Z217" s="322" t="s">
        <v>161</v>
      </c>
      <c r="AA217" s="323"/>
      <c r="AB217" s="324"/>
      <c r="AC217" s="322" t="s">
        <v>162</v>
      </c>
      <c r="AD217" s="323"/>
      <c r="AE217" s="495"/>
      <c r="AF217" s="485"/>
      <c r="AG217" s="486"/>
      <c r="AH217" s="486"/>
      <c r="AI217" s="486"/>
      <c r="AJ217" s="487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1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3</v>
      </c>
      <c r="K218" s="496" t="s">
        <v>163</v>
      </c>
      <c r="L218" s="497"/>
      <c r="M218" s="497"/>
      <c r="N218" s="498"/>
      <c r="R218" s="102"/>
      <c r="S218" s="102"/>
      <c r="T218" s="499"/>
      <c r="U218" s="499"/>
      <c r="V218" s="500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1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2</v>
      </c>
      <c r="AF218" s="496" t="s">
        <v>163</v>
      </c>
      <c r="AG218" s="498"/>
      <c r="AH218" s="102"/>
      <c r="AI218" s="102"/>
      <c r="AJ218" s="102"/>
      <c r="AZ218" s="55"/>
      <c r="BA218" s="55"/>
    </row>
    <row r="219" spans="1:53" ht="13.5" hidden="1" customHeight="1" thickBot="1" x14ac:dyDescent="0.25">
      <c r="A219" s="7"/>
      <c r="B219" s="110">
        <f>IF(B223&gt;D223,1,0)</f>
        <v>1</v>
      </c>
      <c r="C219" s="111"/>
      <c r="D219" s="112">
        <f>IF(D223&gt;B223,1,0)</f>
        <v>0</v>
      </c>
      <c r="E219" s="110">
        <f>IF(E223&gt;G223,1,0)</f>
        <v>0</v>
      </c>
      <c r="F219" s="111"/>
      <c r="G219" s="112">
        <f>IF(G223&gt;E223,1,0)</f>
        <v>1</v>
      </c>
      <c r="H219" s="110">
        <f>IF(H223&gt;J223,1,0)</f>
        <v>0</v>
      </c>
      <c r="I219" s="111"/>
      <c r="J219" s="112">
        <f>IF(J223&gt;H223,1,0)</f>
        <v>1</v>
      </c>
      <c r="K219" s="113"/>
      <c r="L219" s="114"/>
      <c r="M219" s="114"/>
      <c r="N219" s="115"/>
      <c r="R219" s="102"/>
      <c r="S219" s="102"/>
      <c r="T219" s="499"/>
      <c r="U219" s="499"/>
      <c r="V219" s="500"/>
      <c r="W219" s="110">
        <f>IF(W223&gt;Y223,1,0)</f>
        <v>1</v>
      </c>
      <c r="X219" s="111"/>
      <c r="Y219" s="112">
        <f>IF(Y223&gt;W223,1,0)</f>
        <v>0</v>
      </c>
      <c r="Z219" s="110">
        <f>IF(Z223&gt;AB223,1,0)</f>
        <v>1</v>
      </c>
      <c r="AA219" s="111"/>
      <c r="AB219" s="112">
        <f>IF(AB223&gt;Z223,1,0)</f>
        <v>0</v>
      </c>
      <c r="AC219" s="110">
        <f>IF(AC223&gt;AE223,1,0)</f>
        <v>1</v>
      </c>
      <c r="AD219" s="111"/>
      <c r="AE219" s="112">
        <f>IF(AE223&gt;AC223,1,0)</f>
        <v>0</v>
      </c>
      <c r="AF219" s="116"/>
      <c r="AG219" s="117"/>
      <c r="AH219" s="102"/>
      <c r="AI219" s="102"/>
      <c r="AJ219" s="102"/>
      <c r="AZ219" s="55"/>
      <c r="BA219" s="55"/>
    </row>
    <row r="220" spans="1:53" ht="13.5" hidden="1" customHeight="1" thickBot="1" x14ac:dyDescent="0.25">
      <c r="A220" s="7"/>
      <c r="B220" s="110">
        <f>IF(B224&gt;D224,1,0)</f>
        <v>1</v>
      </c>
      <c r="C220" s="111"/>
      <c r="D220" s="112">
        <f>IF(D224&gt;B224,1,0)</f>
        <v>0</v>
      </c>
      <c r="E220" s="110">
        <f>IF(E224&gt;G224,1,0)</f>
        <v>0</v>
      </c>
      <c r="F220" s="111"/>
      <c r="G220" s="112">
        <f>IF(G224&gt;E224,1,0)</f>
        <v>1</v>
      </c>
      <c r="H220" s="110">
        <f>IF(H224&gt;J224,1,0)</f>
        <v>0</v>
      </c>
      <c r="I220" s="111"/>
      <c r="J220" s="112">
        <f>IF(J224&gt;H224,1,0)</f>
        <v>1</v>
      </c>
      <c r="K220" s="113"/>
      <c r="L220" s="114"/>
      <c r="M220" s="114"/>
      <c r="N220" s="115"/>
      <c r="R220" s="102"/>
      <c r="S220" s="102"/>
      <c r="T220" s="499"/>
      <c r="U220" s="499"/>
      <c r="V220" s="500"/>
      <c r="W220" s="110">
        <f>IF(W224&gt;Y224,1,0)</f>
        <v>1</v>
      </c>
      <c r="X220" s="111"/>
      <c r="Y220" s="112">
        <f>IF(Y224&gt;W224,1,0)</f>
        <v>0</v>
      </c>
      <c r="Z220" s="110">
        <f>IF(Z224&gt;AB224,1,0)</f>
        <v>1</v>
      </c>
      <c r="AA220" s="111"/>
      <c r="AB220" s="112">
        <f>IF(AB224&gt;Z224,1,0)</f>
        <v>0</v>
      </c>
      <c r="AC220" s="110">
        <f>IF(AC224&gt;AE224,1,0)</f>
        <v>1</v>
      </c>
      <c r="AD220" s="111"/>
      <c r="AE220" s="112">
        <f>IF(AE224&gt;AC224,1,0)</f>
        <v>0</v>
      </c>
      <c r="AF220" s="116"/>
      <c r="AG220" s="117"/>
      <c r="AH220" s="102"/>
      <c r="AI220" s="102"/>
      <c r="AJ220" s="102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0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0</v>
      </c>
      <c r="K221" s="113"/>
      <c r="L221" s="114"/>
      <c r="M221" s="114"/>
      <c r="N221" s="115"/>
      <c r="R221" s="102"/>
      <c r="S221" s="102"/>
      <c r="T221" s="499"/>
      <c r="U221" s="499"/>
      <c r="V221" s="500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0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0</v>
      </c>
      <c r="AF221" s="116"/>
      <c r="AG221" s="117"/>
      <c r="AH221" s="102"/>
      <c r="AI221" s="102"/>
      <c r="AJ221" s="102"/>
      <c r="AZ221" s="55"/>
      <c r="BA221" s="55"/>
    </row>
    <row r="222" spans="1:53" ht="13.5" hidden="1" customHeight="1" thickBot="1" x14ac:dyDescent="0.25">
      <c r="A222" s="7"/>
      <c r="B222" s="110">
        <f>SUM(B219:B221)</f>
        <v>2</v>
      </c>
      <c r="C222" s="111"/>
      <c r="D222" s="110">
        <f>SUM(D219:D221)</f>
        <v>0</v>
      </c>
      <c r="E222" s="110">
        <f>SUM(E219:E221)</f>
        <v>0</v>
      </c>
      <c r="F222" s="111"/>
      <c r="G222" s="110">
        <f>SUM(G219:G221)</f>
        <v>2</v>
      </c>
      <c r="H222" s="110">
        <f>SUM(H219:H221)</f>
        <v>0</v>
      </c>
      <c r="I222" s="111"/>
      <c r="J222" s="110">
        <f>SUM(J219:J221)</f>
        <v>2</v>
      </c>
      <c r="K222" s="113"/>
      <c r="L222" s="114"/>
      <c r="M222" s="114"/>
      <c r="N222" s="115"/>
      <c r="R222" s="102"/>
      <c r="S222" s="102"/>
      <c r="T222" s="499"/>
      <c r="U222" s="499"/>
      <c r="V222" s="500"/>
      <c r="W222" s="110">
        <f>SUM(W219:W221)</f>
        <v>2</v>
      </c>
      <c r="X222" s="111"/>
      <c r="Y222" s="110">
        <f>SUM(Y219:Y221)</f>
        <v>0</v>
      </c>
      <c r="Z222" s="110">
        <f>SUM(Z219:Z221)</f>
        <v>2</v>
      </c>
      <c r="AA222" s="111"/>
      <c r="AB222" s="110">
        <f>SUM(AB219:AB221)</f>
        <v>0</v>
      </c>
      <c r="AC222" s="110">
        <f>SUM(AC219:AC221)</f>
        <v>2</v>
      </c>
      <c r="AD222" s="111"/>
      <c r="AE222" s="110">
        <f>SUM(AE219:AE221)</f>
        <v>0</v>
      </c>
      <c r="AF222" s="116"/>
      <c r="AG222" s="117"/>
      <c r="AH222" s="102"/>
      <c r="AI222" s="102"/>
      <c r="AJ222" s="102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18</v>
      </c>
      <c r="E223" s="120">
        <v>20</v>
      </c>
      <c r="F223" s="50" t="s">
        <v>80</v>
      </c>
      <c r="G223" s="119">
        <v>25</v>
      </c>
      <c r="H223" s="120">
        <v>25</v>
      </c>
      <c r="I223" s="50" t="s">
        <v>80</v>
      </c>
      <c r="J223" s="121">
        <v>27</v>
      </c>
      <c r="K223" s="504">
        <f>IF(AND(OR(H222&gt;0,J222&gt;0),AND(1&lt;=H218,H218&lt;=4),AND(1&lt;=J218,J218&lt;=4)),IF(H222&gt;J222,H218,IF(J222&gt;H222,J218,"")),"")</f>
        <v>3</v>
      </c>
      <c r="L223" s="505"/>
      <c r="M223" s="505"/>
      <c r="N223" s="506"/>
      <c r="R223" s="102"/>
      <c r="S223" s="102"/>
      <c r="T223" s="122"/>
      <c r="U223" s="122"/>
      <c r="V223" s="5" t="s">
        <v>79</v>
      </c>
      <c r="W223" s="118">
        <v>25</v>
      </c>
      <c r="X223" s="50" t="s">
        <v>80</v>
      </c>
      <c r="Y223" s="119">
        <v>14</v>
      </c>
      <c r="Z223" s="120">
        <v>25</v>
      </c>
      <c r="AA223" s="50" t="s">
        <v>80</v>
      </c>
      <c r="AB223" s="119">
        <v>16</v>
      </c>
      <c r="AC223" s="120">
        <v>25</v>
      </c>
      <c r="AD223" s="50" t="s">
        <v>80</v>
      </c>
      <c r="AE223" s="121">
        <v>5</v>
      </c>
      <c r="AF223" s="504">
        <f>IF(AND(OR(AC222&gt;0,AE222&gt;0),AND(1&lt;=AC218,AC218&lt;=4),AND(1&lt;=AE218,AE218&lt;=4)),IF(AC222&gt;AE222,AC218,IF(AE222&gt;AC222,AE218,"")),"")</f>
        <v>1</v>
      </c>
      <c r="AG223" s="506"/>
      <c r="AH223" s="102"/>
      <c r="AI223" s="102"/>
      <c r="AJ223" s="102"/>
      <c r="AZ223" s="55"/>
      <c r="BA223" s="55"/>
    </row>
    <row r="224" spans="1:53" ht="12.75" customHeight="1" x14ac:dyDescent="0.2">
      <c r="A224" s="5" t="s">
        <v>164</v>
      </c>
      <c r="B224" s="118">
        <v>25</v>
      </c>
      <c r="C224" s="50" t="s">
        <v>80</v>
      </c>
      <c r="D224" s="119">
        <v>18</v>
      </c>
      <c r="E224" s="120">
        <v>23</v>
      </c>
      <c r="F224" s="50" t="s">
        <v>80</v>
      </c>
      <c r="G224" s="119">
        <v>25</v>
      </c>
      <c r="H224" s="120">
        <v>19</v>
      </c>
      <c r="I224" s="50" t="s">
        <v>80</v>
      </c>
      <c r="J224" s="121">
        <v>25</v>
      </c>
      <c r="K224" s="507"/>
      <c r="L224" s="508"/>
      <c r="M224" s="508"/>
      <c r="N224" s="509"/>
      <c r="R224" s="102"/>
      <c r="S224" s="102"/>
      <c r="T224" s="122"/>
      <c r="U224" s="122"/>
      <c r="V224" s="5" t="s">
        <v>164</v>
      </c>
      <c r="W224" s="118">
        <v>25</v>
      </c>
      <c r="X224" s="50" t="s">
        <v>80</v>
      </c>
      <c r="Y224" s="119">
        <v>15</v>
      </c>
      <c r="Z224" s="120">
        <v>25</v>
      </c>
      <c r="AA224" s="50" t="s">
        <v>80</v>
      </c>
      <c r="AB224" s="119">
        <v>18</v>
      </c>
      <c r="AC224" s="120">
        <v>25</v>
      </c>
      <c r="AD224" s="50" t="s">
        <v>80</v>
      </c>
      <c r="AE224" s="121">
        <v>15</v>
      </c>
      <c r="AF224" s="507"/>
      <c r="AG224" s="509"/>
      <c r="AH224" s="102"/>
      <c r="AI224" s="102"/>
      <c r="AJ224" s="102"/>
      <c r="AZ224" s="55"/>
      <c r="BA224" s="55"/>
    </row>
    <row r="225" spans="1:77" ht="13.5" customHeight="1" thickBot="1" x14ac:dyDescent="0.25">
      <c r="A225" s="5" t="s">
        <v>165</v>
      </c>
      <c r="B225" s="123"/>
      <c r="C225" s="124" t="s">
        <v>80</v>
      </c>
      <c r="D225" s="125"/>
      <c r="E225" s="126"/>
      <c r="F225" s="124" t="s">
        <v>80</v>
      </c>
      <c r="G225" s="125"/>
      <c r="H225" s="126"/>
      <c r="I225" s="124" t="s">
        <v>80</v>
      </c>
      <c r="J225" s="127"/>
      <c r="K225" s="510"/>
      <c r="L225" s="511"/>
      <c r="M225" s="511"/>
      <c r="N225" s="512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/>
      <c r="AA225" s="124" t="s">
        <v>80</v>
      </c>
      <c r="AB225" s="125"/>
      <c r="AC225" s="126"/>
      <c r="AD225" s="124" t="s">
        <v>80</v>
      </c>
      <c r="AE225" s="127"/>
      <c r="AF225" s="510"/>
      <c r="AG225" s="512"/>
      <c r="AH225" s="102"/>
      <c r="AI225" s="102"/>
      <c r="AJ225" s="102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Carolina Express 15</v>
      </c>
      <c r="AU226" s="4">
        <f>J227</f>
        <v>2200.7724588064239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Carolina Express 15</v>
      </c>
      <c r="C227" s="4">
        <f>VLOOKUP(B227,AU$2:AY$22,4,FALSE)</f>
        <v>2199.479861205919</v>
      </c>
      <c r="D227" s="4">
        <f>IF(A227=B218,B233,IF(A227=D218,D233,C227))</f>
        <v>2215.4365341933426</v>
      </c>
      <c r="G227" s="4">
        <f>IF(A227=E218,E233,IF(A227=G218,G233,D227))</f>
        <v>2215.4365341933426</v>
      </c>
      <c r="J227" s="4">
        <f>IF(A227=H218,H233,IF(A227=J218,J233,G227))</f>
        <v>2200.7724588064239</v>
      </c>
      <c r="U227" s="129"/>
      <c r="V227" s="129">
        <v>1</v>
      </c>
      <c r="W227" s="4" t="str">
        <f>X210</f>
        <v>Upward Stars 15 Erin</v>
      </c>
      <c r="X227" s="4">
        <f>VLOOKUP(W227,AU$2:AY$22,4,FALSE)</f>
        <v>2174.7832696995929</v>
      </c>
      <c r="Y227" s="4">
        <f>IF(V227=W218,W233,IF(V227=Y218,Y233,X227))</f>
        <v>2181.0936509631451</v>
      </c>
      <c r="AB227" s="4">
        <f>IF(V227=Z218,Z233,IF(V227=AB218,AB233,Y227))</f>
        <v>2181.0936509631451</v>
      </c>
      <c r="AE227" s="4">
        <f>IF(V227=AC218,AC233,IF(V227=AE218,AE233,AB227))</f>
        <v>2189.6243126686718</v>
      </c>
      <c r="AT227" s="4" t="str">
        <f>B228</f>
        <v>Upward Stars 15 Brittni</v>
      </c>
      <c r="AU227" s="4">
        <f>J228</f>
        <v>2242.6136983678898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Upward Stars 15 Brittni</v>
      </c>
      <c r="C228" s="4">
        <f>VLOOKUP(B228,AU$2:AY$22,4,FALSE)</f>
        <v>2260.1354067312764</v>
      </c>
      <c r="D228" s="4">
        <f>IF(A228=B218,B233,IF(A228=D218,D233,C228))</f>
        <v>2260.1354067312764</v>
      </c>
      <c r="G228" s="4">
        <f>IF(A228=E218,E233,IF(A228=G218,G233,D228))</f>
        <v>2242.6136983678898</v>
      </c>
      <c r="J228" s="4">
        <f>IF(A228=H218,H233,IF(A228=J218,J233,G228))</f>
        <v>2242.6136983678898</v>
      </c>
      <c r="U228" s="129"/>
      <c r="V228" s="129">
        <v>2</v>
      </c>
      <c r="W228" s="4" t="str">
        <f>X211</f>
        <v>Upstate 15-2 Club</v>
      </c>
      <c r="X228" s="4">
        <f>VLOOKUP(W228,AU$2:AY$22,4,FALSE)</f>
        <v>1994.0183521730664</v>
      </c>
      <c r="Y228" s="4">
        <f>IF(V228=W218,W233,IF(V228=Y218,Y233,X228))</f>
        <v>1994.0183521730664</v>
      </c>
      <c r="AB228" s="4">
        <f>IF(V228=Z218,Z233,IF(V228=AB218,AB233,Y228))</f>
        <v>2005.2864008498368</v>
      </c>
      <c r="AE228" s="4">
        <f>IF(V228=AC218,AC233,IF(V228=AE218,AE233,AB228))</f>
        <v>1996.7557391443099</v>
      </c>
      <c r="AT228" s="4" t="str">
        <f>B229</f>
        <v>MBVC 14 Black Randy</v>
      </c>
      <c r="AU228" s="4">
        <f>J229</f>
        <v>2259.1775396240569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MBVC 14 Black Randy</v>
      </c>
      <c r="C229" s="4">
        <f>VLOOKUP(B229,AU$2:AY$22,4,FALSE)</f>
        <v>2226.9917558737516</v>
      </c>
      <c r="D229" s="4">
        <f>IF(A229=B218,B233,IF(A229=D218,D233,C229))</f>
        <v>2226.9917558737516</v>
      </c>
      <c r="G229" s="4">
        <f>IF(A229=E218,E233,IF(A229=G218,G233,D229))</f>
        <v>2244.5134642371381</v>
      </c>
      <c r="J229" s="4">
        <f>IF(A229=H218,H233,IF(A229=J218,J233,G229))</f>
        <v>2259.1775396240569</v>
      </c>
      <c r="U229" s="129"/>
      <c r="V229" s="129">
        <v>3</v>
      </c>
      <c r="W229" s="4" t="str">
        <f>X212</f>
        <v>SC Midlands 15 Black</v>
      </c>
      <c r="X229" s="4">
        <f>VLOOKUP(W229,AU$2:AY$22,4,FALSE)</f>
        <v>1888.1017657489374</v>
      </c>
      <c r="Y229" s="4">
        <f>IF(V229=W218,W233,IF(V229=Y218,Y233,X229))</f>
        <v>1888.1017657489374</v>
      </c>
      <c r="AB229" s="4">
        <f>IF(V229=Z218,Z233,IF(V229=AB218,AB233,Y229))</f>
        <v>1876.833717072167</v>
      </c>
      <c r="AE229" s="4">
        <f>IF(V229=AC218,AC233,IF(V229=AE218,AE233,AB229))</f>
        <v>1876.833717072167</v>
      </c>
      <c r="AT229" s="4" t="str">
        <f>B230</f>
        <v>MBVC 15 Black Brittany</v>
      </c>
      <c r="AU229" s="4">
        <f>J230</f>
        <v>2182.5823517948334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MBVC 15 Black Brittany</v>
      </c>
      <c r="C230" s="4">
        <f>VLOOKUP(B230,AU$2:AY$22,4,FALSE)</f>
        <v>2198.539024782257</v>
      </c>
      <c r="D230" s="4">
        <f>IF(A230=B218,B233,IF(A230=D218,D233,C230))</f>
        <v>2182.5823517948334</v>
      </c>
      <c r="G230" s="4">
        <f>IF(A230=E218,E233,IF(A230=G218,G233,D230))</f>
        <v>2182.5823517948334</v>
      </c>
      <c r="J230" s="4">
        <f>IF(A230=H218,H233,IF(A230=J218,J233,G230))</f>
        <v>2182.5823517948334</v>
      </c>
      <c r="U230" s="129"/>
      <c r="V230" s="129">
        <v>4</v>
      </c>
      <c r="W230" s="4" t="str">
        <f>X213</f>
        <v>Lake Murray 15 Black</v>
      </c>
      <c r="X230" s="4">
        <f>VLOOKUP(W230,AU$2:AY$22,4,FALSE)</f>
        <v>1930.9024459233858</v>
      </c>
      <c r="Y230" s="4">
        <f>IF(V230=W218,W233,IF(V230=Y218,Y233,X230))</f>
        <v>1924.5920646598336</v>
      </c>
      <c r="AB230" s="4">
        <f>IF(V230=Z218,Z233,IF(V230=AB218,AB233,Y230))</f>
        <v>1924.5920646598336</v>
      </c>
      <c r="AE230" s="4">
        <f>IF(V230=AC218,AC233,IF(V230=AE218,AE233,AB230))</f>
        <v>1924.5920646598336</v>
      </c>
      <c r="AT230" s="4" t="str">
        <f>W227</f>
        <v>Upward Stars 15 Erin</v>
      </c>
      <c r="AU230" s="4">
        <f>AE227</f>
        <v>2189.6243126686718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2199.479861205919</v>
      </c>
      <c r="D231" s="4">
        <f>VLOOKUP(D218,$A227:$J230,3,FALSE)</f>
        <v>2198.539024782257</v>
      </c>
      <c r="E231" s="4">
        <f>VLOOKUP(E218,$A227:$J230,4,FALSE)</f>
        <v>2260.1354067312764</v>
      </c>
      <c r="G231" s="4">
        <f>VLOOKUP(G218,$A227:$J230,4,FALSE)</f>
        <v>2226.9917558737516</v>
      </c>
      <c r="H231" s="4">
        <f>VLOOKUP(H218,$A227:$J230,7,FALSE)</f>
        <v>2215.4365341933426</v>
      </c>
      <c r="J231" s="4">
        <f>VLOOKUP(J218,$A227:$J230,7,FALSE)</f>
        <v>2244.5134642371381</v>
      </c>
      <c r="T231" s="513" t="s">
        <v>116</v>
      </c>
      <c r="U231" s="513"/>
      <c r="V231" s="513"/>
      <c r="W231" s="4">
        <f>VLOOKUP(W218,$V227:$AE230,3,FALSE)</f>
        <v>2174.7832696995929</v>
      </c>
      <c r="Y231" s="4">
        <f>VLOOKUP(Y218,$V227:$AE230,3,FALSE)</f>
        <v>1930.9024459233858</v>
      </c>
      <c r="Z231" s="4">
        <f>VLOOKUP(Z218,$V227:$AE230,4,FALSE)</f>
        <v>1994.0183521730664</v>
      </c>
      <c r="AB231" s="4">
        <f>VLOOKUP(AB218,$V227:$AE230,4,FALSE)</f>
        <v>1888.1017657489374</v>
      </c>
      <c r="AC231" s="4">
        <f>VLOOKUP(AC218,$V227:$AE230,7,FALSE)</f>
        <v>2181.0936509631451</v>
      </c>
      <c r="AE231" s="4">
        <f>VLOOKUP(AE218,$V227:$AE230,7,FALSE)</f>
        <v>2005.2864008498368</v>
      </c>
      <c r="AT231" s="4" t="str">
        <f>W228</f>
        <v>Upstate 15-2 Club</v>
      </c>
      <c r="AU231" s="4">
        <f>AE228</f>
        <v>1996.7557391443099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IF(OR(B222&gt;0,D222&gt;0),1/(1+(10^-((B231-D231)/400)))*(B222+D222),0)</f>
        <v>1.0027079382860178</v>
      </c>
      <c r="C232" s="69"/>
      <c r="D232" s="69">
        <f>IF(OR(B22&gt;0, D22&gt;0),1/(1+(10^-((D231-B231)/400)))*(B222+D222),0)</f>
        <v>0.99729206171398221</v>
      </c>
      <c r="E232" s="69">
        <f>IF(OR(E222&gt;0,G222&gt;0),1/(1+(10^-((E231-G231)/400)))*(E222+G222),0)</f>
        <v>1.0951067727116688</v>
      </c>
      <c r="F232" s="69"/>
      <c r="G232" s="69">
        <f>IF(OR(E22&gt;0, G22&gt;0),1/(1+(10^-((G231-E231)/400)))*(E222+G222),0)</f>
        <v>0.9048932272883311</v>
      </c>
      <c r="H232" s="69">
        <f>IF(OR(H222&gt;0,J222&gt;0),1/(1+(10^-((H231-J231)/400)))*(H222+J222),0)</f>
        <v>0.9165047116824323</v>
      </c>
      <c r="I232" s="69"/>
      <c r="J232" s="69">
        <f>IF(OR(H22&gt;0, J22&gt;0),1/(1+(10^-((J231-H231)/400)))*(H222+J222),0)</f>
        <v>1.0834952883175677</v>
      </c>
      <c r="T232" s="514" t="s">
        <v>117</v>
      </c>
      <c r="U232" s="514"/>
      <c r="V232" s="514"/>
      <c r="W232" s="69">
        <f>IF(OR(W222&gt;0,Y222&gt;0),1/(1+(10^-((W231-Y231)/400)))*(W222+Y222),0)</f>
        <v>1.6056011710279918</v>
      </c>
      <c r="X232" s="69"/>
      <c r="Y232" s="69">
        <f>IF(OR(W22&gt;0, Y22&gt;0),1/(1+(10^-((Y231-W231)/400)))*(W222+Y222),0)</f>
        <v>0.39439882897200823</v>
      </c>
      <c r="Z232" s="69">
        <f>IF(OR(Z222&gt;0,AB222&gt;0),1/(1+(10^-((Z231-AB231)/400)))*(Z222+AB222),0)</f>
        <v>1.2957469577018481</v>
      </c>
      <c r="AA232" s="69"/>
      <c r="AB232" s="69">
        <f>IF(OR(Z22&gt;0, AB22&gt;0),1/(1+(10^-((AB231-Z231)/400)))*(Z222+AB222),0)</f>
        <v>0.70425304229815211</v>
      </c>
      <c r="AC232" s="69">
        <f>IF(OR(AC222&gt;0,AE222&gt;0),1/(1+(10^-((AC231-AE231)/400)))*(AC222+AE222),0)</f>
        <v>1.4668336434045759</v>
      </c>
      <c r="AD232" s="69"/>
      <c r="AE232" s="69">
        <f>IF(OR(AC22&gt;0, AE22&gt;0),1/(1+(10^-((AE231-AC231)/400)))*(AC222+AE222),0)</f>
        <v>0.53316635659542411</v>
      </c>
      <c r="AT232" s="4" t="str">
        <f>W229</f>
        <v>SC Midlands 15 Black</v>
      </c>
      <c r="AU232" s="4">
        <f>AE229</f>
        <v>1876.833717072167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2215.4365341933426</v>
      </c>
      <c r="C233" s="75"/>
      <c r="D233" s="75">
        <f>D231+(D222-D232)*$BA$2</f>
        <v>2182.5823517948334</v>
      </c>
      <c r="E233" s="75">
        <f>E231+(E222-E232)*$BA$2</f>
        <v>2242.6136983678898</v>
      </c>
      <c r="G233" s="75">
        <f>G231+(G222-G232)*$BA$2</f>
        <v>2244.5134642371381</v>
      </c>
      <c r="H233" s="75">
        <f>H231+(H222-H232)*$BA$2</f>
        <v>2200.7724588064239</v>
      </c>
      <c r="J233" s="75">
        <f>J231+(J222-J232)*$BA$2</f>
        <v>2259.1775396240569</v>
      </c>
      <c r="T233" s="502" t="s">
        <v>118</v>
      </c>
      <c r="U233" s="502"/>
      <c r="V233" s="502"/>
      <c r="W233" s="75">
        <f>W231+(W222-W232)*$BA$2</f>
        <v>2181.0936509631451</v>
      </c>
      <c r="X233" s="75"/>
      <c r="Y233" s="75">
        <f>Y231+(Y222-Y232)*$BA$2</f>
        <v>1924.5920646598336</v>
      </c>
      <c r="Z233" s="75">
        <f>Z231+(Z222-Z232)*$BA$2</f>
        <v>2005.2864008498368</v>
      </c>
      <c r="AB233" s="75">
        <f>AB231+(AB222-AB232)*$BA$2</f>
        <v>1876.833717072167</v>
      </c>
      <c r="AC233" s="75">
        <f>AC231+(AC222-AC232)*$BA$2</f>
        <v>2189.6243126686718</v>
      </c>
      <c r="AE233" s="75">
        <f>AE231+(AE222-AE232)*$BA$2</f>
        <v>1996.7557391443099</v>
      </c>
      <c r="AT233" s="4" t="str">
        <f>W230</f>
        <v>Lake Murray 15 Black</v>
      </c>
      <c r="AU233" s="4">
        <f>AE230</f>
        <v>1924.5920646598336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503" t="s">
        <v>169</v>
      </c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R234" s="102"/>
      <c r="S234" s="102"/>
      <c r="T234" s="122"/>
      <c r="U234" s="122"/>
      <c r="V234" s="503" t="s">
        <v>169</v>
      </c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02"/>
      <c r="AI234" s="102"/>
      <c r="AJ234" s="102"/>
      <c r="AZ234" s="55"/>
      <c r="BA234" s="55"/>
    </row>
    <row r="235" spans="1:77" x14ac:dyDescent="0.2">
      <c r="AS235" s="55"/>
      <c r="AT235" s="55"/>
      <c r="AU235" s="55"/>
      <c r="AZ235" s="55"/>
      <c r="BA235" s="55"/>
    </row>
    <row r="236" spans="1:77" x14ac:dyDescent="0.2">
      <c r="AS236" s="55"/>
      <c r="AT236" s="55"/>
      <c r="AU236" s="55"/>
      <c r="AZ236" s="55"/>
      <c r="BA236" s="55"/>
    </row>
    <row r="237" spans="1:77" x14ac:dyDescent="0.2">
      <c r="AS237" s="55"/>
      <c r="AT237" s="55"/>
      <c r="AU237" s="55"/>
      <c r="AZ237" s="55"/>
      <c r="BA237" s="55"/>
    </row>
    <row r="238" spans="1:77" x14ac:dyDescent="0.2">
      <c r="AS238" s="55"/>
      <c r="AT238" s="55"/>
      <c r="AU238" s="55"/>
      <c r="AZ238" s="55"/>
      <c r="BA238" s="55"/>
    </row>
    <row r="239" spans="1:77" x14ac:dyDescent="0.2">
      <c r="AS239" s="55"/>
      <c r="AT239" s="55"/>
      <c r="AU239" s="55"/>
      <c r="AZ239" s="55"/>
      <c r="BA239" s="55"/>
    </row>
    <row r="240" spans="1:77" x14ac:dyDescent="0.2">
      <c r="AS240" s="55"/>
      <c r="AT240" s="55"/>
      <c r="AU240" s="55"/>
      <c r="AZ240" s="55"/>
      <c r="BA240" s="55"/>
    </row>
    <row r="241" spans="45:53" x14ac:dyDescent="0.2">
      <c r="AS241" s="55"/>
      <c r="AT241" s="55"/>
      <c r="AU241" s="55"/>
      <c r="AZ241" s="55"/>
      <c r="BA241" s="55"/>
    </row>
    <row r="242" spans="45:53" x14ac:dyDescent="0.2">
      <c r="AS242" s="55"/>
      <c r="AT242" s="55"/>
      <c r="AU242" s="55"/>
      <c r="AZ242" s="55"/>
      <c r="BA242" s="55"/>
    </row>
    <row r="243" spans="45:53" x14ac:dyDescent="0.2">
      <c r="AS243" s="55"/>
      <c r="AT243" s="55"/>
      <c r="AU243" s="55"/>
      <c r="AZ243" s="55"/>
      <c r="BA243" s="55"/>
    </row>
    <row r="244" spans="45:53" x14ac:dyDescent="0.2">
      <c r="AS244" s="55"/>
      <c r="AT244" s="55"/>
      <c r="AU244" s="55"/>
      <c r="AZ244" s="55"/>
      <c r="BA244" s="55"/>
    </row>
    <row r="245" spans="45:53" x14ac:dyDescent="0.2">
      <c r="AS245" s="55"/>
      <c r="AT245" s="55"/>
      <c r="AU245" s="55"/>
      <c r="AZ245" s="55"/>
      <c r="BA245" s="55"/>
    </row>
    <row r="246" spans="45:53" x14ac:dyDescent="0.2">
      <c r="AS246" s="55"/>
      <c r="AT246" s="55"/>
      <c r="AU246" s="55"/>
      <c r="AZ246" s="55"/>
      <c r="BA246" s="55"/>
    </row>
    <row r="247" spans="45:53" x14ac:dyDescent="0.2">
      <c r="AS247" s="55"/>
      <c r="AT247" s="55"/>
      <c r="AU247" s="55"/>
    </row>
    <row r="248" spans="45:53" x14ac:dyDescent="0.2">
      <c r="AS248" s="55"/>
      <c r="AT248" s="55"/>
      <c r="AU248" s="55"/>
      <c r="AZ248" s="63"/>
      <c r="BA248" s="63"/>
    </row>
    <row r="249" spans="45:53" x14ac:dyDescent="0.2">
      <c r="AS249" s="55"/>
      <c r="AT249" s="55"/>
      <c r="AU249" s="55"/>
      <c r="AZ249" s="63"/>
      <c r="BA249" s="63"/>
    </row>
    <row r="250" spans="45:53" x14ac:dyDescent="0.2">
      <c r="AS250" s="55"/>
      <c r="AT250" s="55"/>
      <c r="AU250" s="55"/>
      <c r="AZ250" s="63"/>
      <c r="BA250" s="63"/>
    </row>
    <row r="251" spans="45:53" x14ac:dyDescent="0.2">
      <c r="AS251" s="55"/>
      <c r="AT251" s="55"/>
      <c r="AU251" s="55"/>
      <c r="AZ251" s="63"/>
      <c r="BA251" s="63"/>
    </row>
    <row r="252" spans="45:53" x14ac:dyDescent="0.2">
      <c r="AS252" s="55"/>
      <c r="AT252" s="55"/>
      <c r="AU252" s="55"/>
      <c r="AZ252" s="63"/>
      <c r="BA252" s="63"/>
    </row>
    <row r="253" spans="45:53" x14ac:dyDescent="0.2">
      <c r="AS253" s="55"/>
      <c r="AT253" s="55"/>
      <c r="AU253" s="55"/>
      <c r="AZ253" s="63"/>
      <c r="BA253" s="63"/>
    </row>
    <row r="254" spans="45:53" x14ac:dyDescent="0.2">
      <c r="AS254" s="55"/>
      <c r="AT254" s="55"/>
      <c r="AU254" s="55"/>
      <c r="AZ254" s="63"/>
      <c r="BA254" s="63"/>
    </row>
    <row r="255" spans="45:53" x14ac:dyDescent="0.2">
      <c r="AS255" s="55"/>
      <c r="AT255" s="55"/>
      <c r="AU255" s="55"/>
      <c r="AZ255" s="63"/>
      <c r="BA255" s="63"/>
    </row>
    <row r="256" spans="45:53" x14ac:dyDescent="0.2">
      <c r="AS256" s="55"/>
      <c r="AT256" s="55"/>
      <c r="AU256" s="55"/>
      <c r="AZ256" s="72"/>
      <c r="BA256" s="72"/>
    </row>
    <row r="257" spans="45:53" x14ac:dyDescent="0.2">
      <c r="AS257" s="55"/>
      <c r="AT257" s="55"/>
      <c r="AU257" s="55"/>
      <c r="AZ257" s="78"/>
      <c r="BA257" s="78"/>
    </row>
    <row r="258" spans="45:53" x14ac:dyDescent="0.2">
      <c r="AS258" s="55"/>
      <c r="AT258" s="55"/>
      <c r="AU258" s="55"/>
      <c r="AZ258" s="78"/>
      <c r="BA258" s="78"/>
    </row>
    <row r="259" spans="45:53" x14ac:dyDescent="0.2">
      <c r="AS259" s="55"/>
      <c r="AT259" s="55"/>
      <c r="AU259" s="55"/>
      <c r="AZ259" s="63"/>
      <c r="BA259" s="63"/>
    </row>
    <row r="260" spans="45:53" x14ac:dyDescent="0.2">
      <c r="AS260" s="63"/>
      <c r="AT260" s="63"/>
      <c r="AU260" s="63"/>
      <c r="AZ260" s="63"/>
      <c r="BA260" s="63"/>
    </row>
    <row r="261" spans="45:53" x14ac:dyDescent="0.2">
      <c r="AS261" s="63"/>
      <c r="AT261" s="63"/>
      <c r="AU261" s="63"/>
    </row>
    <row r="286" spans="45:53" x14ac:dyDescent="0.2">
      <c r="AS286" s="55"/>
      <c r="AT286" s="55"/>
      <c r="AU286" s="55"/>
      <c r="AZ286" s="55"/>
      <c r="BA286" s="55"/>
    </row>
    <row r="287" spans="45:53" x14ac:dyDescent="0.2">
      <c r="AS287" s="55"/>
      <c r="AT287" s="55"/>
      <c r="AU287" s="55"/>
      <c r="AZ287" s="55"/>
      <c r="BA287" s="55"/>
    </row>
    <row r="288" spans="45:53" x14ac:dyDescent="0.2">
      <c r="AS288" s="55"/>
      <c r="AT288" s="55"/>
      <c r="AU288" s="55"/>
      <c r="AZ288" s="55"/>
      <c r="BA288" s="55"/>
    </row>
    <row r="289" spans="45:53" x14ac:dyDescent="0.2">
      <c r="AS289" s="55"/>
      <c r="AT289" s="55"/>
      <c r="AU289" s="55"/>
      <c r="AZ289" s="55"/>
      <c r="BA289" s="55"/>
    </row>
    <row r="290" spans="45:53" x14ac:dyDescent="0.2">
      <c r="AS290" s="55"/>
      <c r="AT290" s="55"/>
      <c r="AU290" s="55"/>
      <c r="AZ290" s="55"/>
      <c r="BA290" s="55"/>
    </row>
    <row r="291" spans="45:53" x14ac:dyDescent="0.2">
      <c r="AS291" s="55"/>
      <c r="AT291" s="55"/>
      <c r="AU291" s="55"/>
      <c r="AZ291" s="55"/>
      <c r="BA291" s="55"/>
    </row>
    <row r="292" spans="45:53" x14ac:dyDescent="0.2">
      <c r="AS292" s="55"/>
      <c r="AT292" s="55"/>
      <c r="AU292" s="55"/>
      <c r="AZ292" s="55"/>
      <c r="BA292" s="55"/>
    </row>
    <row r="293" spans="45:53" x14ac:dyDescent="0.2">
      <c r="AS293" s="55"/>
      <c r="AT293" s="55"/>
      <c r="AU293" s="55"/>
      <c r="AZ293" s="55"/>
      <c r="BA293" s="55"/>
    </row>
    <row r="294" spans="45:53" x14ac:dyDescent="0.2">
      <c r="AS294" s="55"/>
      <c r="AT294" s="55"/>
      <c r="AU294" s="55"/>
      <c r="AZ294" s="55"/>
      <c r="BA294" s="55"/>
    </row>
    <row r="295" spans="45:53" x14ac:dyDescent="0.2">
      <c r="AS295" s="55"/>
      <c r="AT295" s="55"/>
      <c r="AU295" s="55"/>
      <c r="AZ295" s="55"/>
      <c r="BA295" s="55"/>
    </row>
    <row r="296" spans="45:53" x14ac:dyDescent="0.2">
      <c r="AS296" s="55"/>
      <c r="AT296" s="55"/>
      <c r="AU296" s="55"/>
      <c r="AZ296" s="55"/>
      <c r="BA296" s="55"/>
    </row>
    <row r="297" spans="45:53" x14ac:dyDescent="0.2">
      <c r="AS297" s="55"/>
      <c r="AT297" s="55"/>
      <c r="AU297" s="55"/>
      <c r="AZ297" s="55"/>
      <c r="BA297" s="55"/>
    </row>
    <row r="298" spans="45:53" x14ac:dyDescent="0.2">
      <c r="AS298" s="55"/>
      <c r="AT298" s="55"/>
      <c r="AU298" s="55"/>
      <c r="AZ298" s="55"/>
      <c r="BA298" s="55"/>
    </row>
    <row r="299" spans="45:53" x14ac:dyDescent="0.2">
      <c r="AS299" s="55"/>
      <c r="AT299" s="55"/>
      <c r="AU299" s="55"/>
      <c r="AZ299" s="55"/>
      <c r="BA299" s="55"/>
    </row>
    <row r="300" spans="45:53" x14ac:dyDescent="0.2">
      <c r="AS300" s="55"/>
      <c r="AT300" s="55"/>
      <c r="AU300" s="55"/>
      <c r="AZ300" s="55"/>
      <c r="BA300" s="55"/>
    </row>
    <row r="301" spans="45:53" x14ac:dyDescent="0.2">
      <c r="AS301" s="55"/>
      <c r="AT301" s="55"/>
      <c r="AU301" s="55"/>
      <c r="AZ301" s="55"/>
      <c r="BA301" s="55"/>
    </row>
    <row r="302" spans="45:53" x14ac:dyDescent="0.2">
      <c r="AS302" s="55"/>
      <c r="AT302" s="55"/>
      <c r="AU302" s="55"/>
      <c r="AZ302" s="55"/>
      <c r="BA302" s="55"/>
    </row>
    <row r="303" spans="45:53" x14ac:dyDescent="0.2">
      <c r="AS303" s="55"/>
      <c r="AT303" s="55"/>
      <c r="AU303" s="55"/>
      <c r="AZ303" s="55"/>
      <c r="BA303" s="55"/>
    </row>
    <row r="304" spans="45:53" x14ac:dyDescent="0.2">
      <c r="AS304" s="55"/>
      <c r="AT304" s="55"/>
      <c r="AU304" s="55"/>
      <c r="AZ304" s="55"/>
      <c r="BA304" s="55"/>
    </row>
    <row r="305" spans="45:53" x14ac:dyDescent="0.2">
      <c r="AS305" s="55"/>
      <c r="AT305" s="55"/>
      <c r="AU305" s="55"/>
      <c r="AZ305" s="55"/>
      <c r="BA305" s="55"/>
    </row>
    <row r="306" spans="45:53" x14ac:dyDescent="0.2">
      <c r="AS306" s="55"/>
      <c r="AT306" s="55"/>
      <c r="AU306" s="55"/>
      <c r="AZ306" s="55"/>
      <c r="BA306" s="55"/>
    </row>
    <row r="307" spans="45:53" x14ac:dyDescent="0.2">
      <c r="AS307" s="55"/>
      <c r="AT307" s="55"/>
      <c r="AU307" s="55"/>
      <c r="AZ307" s="55"/>
      <c r="BA307" s="55"/>
    </row>
    <row r="308" spans="45:53" x14ac:dyDescent="0.2">
      <c r="AS308" s="55"/>
      <c r="AT308" s="55"/>
      <c r="AU308" s="55"/>
      <c r="AZ308" s="55"/>
      <c r="BA308" s="55"/>
    </row>
    <row r="309" spans="45:53" x14ac:dyDescent="0.2">
      <c r="AS309" s="55"/>
      <c r="AT309" s="55"/>
      <c r="AU309" s="55"/>
      <c r="AZ309" s="55"/>
      <c r="BA309" s="55"/>
    </row>
    <row r="310" spans="45:53" x14ac:dyDescent="0.2">
      <c r="AS310" s="55"/>
      <c r="AT310" s="55"/>
      <c r="AU310" s="55"/>
      <c r="AZ310" s="55"/>
      <c r="BA310" s="55"/>
    </row>
    <row r="311" spans="45:53" x14ac:dyDescent="0.2">
      <c r="AS311" s="55"/>
      <c r="AT311" s="55"/>
      <c r="AU311" s="55"/>
      <c r="AZ311" s="55"/>
      <c r="BA311" s="55"/>
    </row>
    <row r="312" spans="45:53" x14ac:dyDescent="0.2">
      <c r="AS312" s="55"/>
      <c r="AT312" s="55"/>
      <c r="AU312" s="55"/>
      <c r="AZ312" s="55"/>
      <c r="BA312" s="55"/>
    </row>
    <row r="313" spans="45:53" x14ac:dyDescent="0.2">
      <c r="AS313" s="55"/>
      <c r="AT313" s="55"/>
      <c r="AU313" s="55"/>
      <c r="AZ313" s="55"/>
      <c r="BA313" s="55"/>
    </row>
    <row r="314" spans="45:53" x14ac:dyDescent="0.2">
      <c r="AS314" s="55"/>
      <c r="AT314" s="55"/>
      <c r="AU314" s="55"/>
      <c r="AZ314" s="55"/>
      <c r="BA314" s="55"/>
    </row>
    <row r="315" spans="45:53" x14ac:dyDescent="0.2">
      <c r="AS315" s="55"/>
      <c r="AT315" s="55"/>
      <c r="AU315" s="55"/>
      <c r="AZ315" s="55"/>
      <c r="BA315" s="55"/>
    </row>
    <row r="316" spans="45:53" x14ac:dyDescent="0.2">
      <c r="AS316" s="55"/>
      <c r="AT316" s="55"/>
      <c r="AU316" s="55"/>
      <c r="AZ316" s="55"/>
      <c r="BA316" s="55"/>
    </row>
    <row r="317" spans="45:53" x14ac:dyDescent="0.2">
      <c r="AS317" s="55"/>
      <c r="AT317" s="55"/>
      <c r="AU317" s="55"/>
      <c r="AZ317" s="55"/>
      <c r="BA317" s="55"/>
    </row>
    <row r="318" spans="45:53" x14ac:dyDescent="0.2">
      <c r="AS318" s="55"/>
      <c r="AT318" s="55"/>
      <c r="AU318" s="55"/>
      <c r="AZ318" s="55"/>
      <c r="BA318" s="55"/>
    </row>
    <row r="319" spans="45:53" x14ac:dyDescent="0.2">
      <c r="AS319" s="55"/>
      <c r="AT319" s="55"/>
      <c r="AU319" s="55"/>
      <c r="AZ319" s="55"/>
      <c r="BA319" s="55"/>
    </row>
    <row r="320" spans="45:53" x14ac:dyDescent="0.2">
      <c r="AS320" s="55"/>
      <c r="AT320" s="55"/>
      <c r="AU320" s="55"/>
      <c r="AZ320" s="55"/>
      <c r="BA320" s="55"/>
    </row>
    <row r="321" spans="45:53" x14ac:dyDescent="0.2">
      <c r="AS321" s="55"/>
      <c r="AT321" s="55"/>
      <c r="AU321" s="55"/>
      <c r="AZ321" s="55"/>
      <c r="BA321" s="55"/>
    </row>
    <row r="322" spans="45:53" x14ac:dyDescent="0.2">
      <c r="AS322" s="55"/>
      <c r="AT322" s="55"/>
      <c r="AU322" s="55"/>
      <c r="AZ322" s="55"/>
      <c r="BA322" s="55"/>
    </row>
    <row r="323" spans="45:53" x14ac:dyDescent="0.2">
      <c r="AS323" s="55"/>
      <c r="AT323" s="55"/>
      <c r="AU323" s="55"/>
      <c r="AZ323" s="55"/>
      <c r="BA323" s="55"/>
    </row>
    <row r="324" spans="45:53" x14ac:dyDescent="0.2">
      <c r="AS324" s="55"/>
      <c r="AT324" s="55"/>
      <c r="AU324" s="55"/>
      <c r="AZ324" s="55"/>
      <c r="BA324" s="55"/>
    </row>
    <row r="325" spans="45:53" x14ac:dyDescent="0.2">
      <c r="AS325" s="55"/>
      <c r="AT325" s="55"/>
      <c r="AU325" s="55"/>
      <c r="AZ325" s="55"/>
      <c r="BA325" s="55"/>
    </row>
    <row r="326" spans="45:53" x14ac:dyDescent="0.2">
      <c r="AS326" s="55"/>
      <c r="AT326" s="55"/>
      <c r="AU326" s="55"/>
      <c r="AZ326" s="55"/>
      <c r="BA326" s="55"/>
    </row>
    <row r="327" spans="45:53" x14ac:dyDescent="0.2">
      <c r="AS327" s="55"/>
      <c r="AT327" s="55"/>
      <c r="AU327" s="55"/>
      <c r="AZ327" s="55"/>
      <c r="BA327" s="55"/>
    </row>
    <row r="328" spans="45:53" x14ac:dyDescent="0.2">
      <c r="AS328" s="55"/>
      <c r="AT328" s="55"/>
      <c r="AU328" s="55"/>
      <c r="AZ328" s="55"/>
      <c r="BA328" s="55"/>
    </row>
    <row r="329" spans="45:53" x14ac:dyDescent="0.2">
      <c r="AS329" s="55"/>
      <c r="AT329" s="55"/>
      <c r="AU329" s="55"/>
      <c r="AZ329" s="55"/>
      <c r="BA329" s="55"/>
    </row>
    <row r="330" spans="45:53" x14ac:dyDescent="0.2">
      <c r="AS330" s="55"/>
      <c r="AT330" s="55"/>
      <c r="AU330" s="55"/>
      <c r="AZ330" s="55"/>
      <c r="BA330" s="55"/>
    </row>
    <row r="331" spans="45:53" x14ac:dyDescent="0.2">
      <c r="AS331" s="55"/>
      <c r="AT331" s="55"/>
      <c r="AU331" s="55"/>
      <c r="AZ331" s="55"/>
      <c r="BA331" s="55"/>
    </row>
    <row r="332" spans="45:53" x14ac:dyDescent="0.2">
      <c r="AS332" s="63"/>
      <c r="AT332" s="63"/>
      <c r="AU332" s="63"/>
    </row>
    <row r="333" spans="45:53" x14ac:dyDescent="0.2">
      <c r="AS333" s="63"/>
      <c r="AT333" s="63"/>
      <c r="AU333" s="63"/>
      <c r="AZ333" s="63"/>
      <c r="BA333" s="63"/>
    </row>
    <row r="334" spans="45:53" x14ac:dyDescent="0.2">
      <c r="AZ334" s="63"/>
      <c r="BA334" s="63"/>
    </row>
    <row r="335" spans="45:53" x14ac:dyDescent="0.2">
      <c r="AZ335" s="63"/>
      <c r="BA335" s="63"/>
    </row>
    <row r="336" spans="45:53" x14ac:dyDescent="0.2">
      <c r="AZ336" s="63"/>
      <c r="BA336" s="63"/>
    </row>
    <row r="337" spans="45:53" x14ac:dyDescent="0.2">
      <c r="AZ337" s="63"/>
      <c r="BA337" s="63"/>
    </row>
    <row r="338" spans="45:53" x14ac:dyDescent="0.2">
      <c r="AZ338" s="63"/>
      <c r="BA338" s="63"/>
    </row>
    <row r="339" spans="45:53" x14ac:dyDescent="0.2">
      <c r="AZ339" s="63"/>
      <c r="BA339" s="63"/>
    </row>
    <row r="340" spans="45:53" x14ac:dyDescent="0.2">
      <c r="AZ340" s="63"/>
      <c r="BA340" s="63"/>
    </row>
    <row r="341" spans="45:53" x14ac:dyDescent="0.2">
      <c r="AZ341" s="72"/>
      <c r="BA341" s="72"/>
    </row>
    <row r="342" spans="45:53" x14ac:dyDescent="0.2">
      <c r="AZ342" s="78"/>
      <c r="BA342" s="78"/>
    </row>
    <row r="343" spans="45:53" x14ac:dyDescent="0.2">
      <c r="AZ343" s="78"/>
      <c r="BA343" s="78"/>
    </row>
    <row r="344" spans="45:53" x14ac:dyDescent="0.2">
      <c r="AZ344" s="63"/>
      <c r="BA344" s="63"/>
    </row>
    <row r="345" spans="45:53" x14ac:dyDescent="0.2">
      <c r="AZ345" s="63"/>
      <c r="BA345" s="63"/>
    </row>
    <row r="348" spans="45:53" x14ac:dyDescent="0.2">
      <c r="AS348" s="96"/>
      <c r="AT348" s="96"/>
    </row>
    <row r="371" spans="45:53" x14ac:dyDescent="0.2">
      <c r="AZ371" s="55"/>
      <c r="BA371" s="55"/>
    </row>
    <row r="372" spans="45:53" x14ac:dyDescent="0.2">
      <c r="AZ372" s="55"/>
      <c r="BA372" s="55"/>
    </row>
    <row r="373" spans="45:53" x14ac:dyDescent="0.2">
      <c r="AZ373" s="55"/>
      <c r="BA373" s="55"/>
    </row>
    <row r="374" spans="45:53" x14ac:dyDescent="0.2">
      <c r="AZ374" s="55"/>
      <c r="BA374" s="55"/>
    </row>
    <row r="375" spans="45:53" x14ac:dyDescent="0.2">
      <c r="AZ375" s="55"/>
      <c r="BA375" s="55"/>
    </row>
    <row r="376" spans="45:53" x14ac:dyDescent="0.2">
      <c r="AZ376" s="55"/>
      <c r="BA376" s="55"/>
    </row>
    <row r="377" spans="45:53" x14ac:dyDescent="0.2">
      <c r="AZ377" s="55"/>
      <c r="BA377" s="55"/>
    </row>
    <row r="378" spans="45:53" x14ac:dyDescent="0.2">
      <c r="AZ378" s="55"/>
      <c r="BA378" s="55"/>
    </row>
    <row r="379" spans="45:53" x14ac:dyDescent="0.2">
      <c r="AZ379" s="55"/>
      <c r="BA379" s="55"/>
    </row>
    <row r="380" spans="45:53" x14ac:dyDescent="0.2">
      <c r="AZ380" s="55"/>
      <c r="BA380" s="55"/>
    </row>
    <row r="381" spans="45:53" x14ac:dyDescent="0.2">
      <c r="AZ381" s="55"/>
      <c r="BA381" s="55"/>
    </row>
    <row r="382" spans="45:53" x14ac:dyDescent="0.2">
      <c r="AZ382" s="55"/>
      <c r="BA382" s="55"/>
    </row>
    <row r="383" spans="45:53" x14ac:dyDescent="0.2">
      <c r="AZ383" s="55"/>
      <c r="BA383" s="55"/>
    </row>
    <row r="384" spans="45:53" x14ac:dyDescent="0.2">
      <c r="AS384" s="96"/>
      <c r="AT384" s="96"/>
      <c r="AZ384" s="55"/>
      <c r="BA384" s="55"/>
    </row>
    <row r="385" spans="52:53" x14ac:dyDescent="0.2">
      <c r="AZ385" s="55"/>
      <c r="BA385" s="55"/>
    </row>
    <row r="386" spans="52:53" x14ac:dyDescent="0.2">
      <c r="AZ386" s="55"/>
      <c r="BA386" s="55"/>
    </row>
    <row r="387" spans="52:53" x14ac:dyDescent="0.2">
      <c r="AZ387" s="55"/>
      <c r="BA387" s="55"/>
    </row>
    <row r="388" spans="52:53" x14ac:dyDescent="0.2">
      <c r="AZ388" s="55"/>
      <c r="BA388" s="55"/>
    </row>
    <row r="389" spans="52:53" x14ac:dyDescent="0.2">
      <c r="AZ389" s="55"/>
      <c r="BA389" s="55"/>
    </row>
    <row r="390" spans="52:53" x14ac:dyDescent="0.2">
      <c r="AZ390" s="55"/>
      <c r="BA390" s="55"/>
    </row>
    <row r="391" spans="52:53" x14ac:dyDescent="0.2">
      <c r="AZ391" s="55"/>
      <c r="BA391" s="55"/>
    </row>
    <row r="392" spans="52:53" x14ac:dyDescent="0.2">
      <c r="AZ392" s="55"/>
      <c r="BA392" s="55"/>
    </row>
    <row r="393" spans="52:53" x14ac:dyDescent="0.2">
      <c r="AZ393" s="55"/>
      <c r="BA393" s="55"/>
    </row>
    <row r="394" spans="52:53" x14ac:dyDescent="0.2">
      <c r="AZ394" s="55"/>
      <c r="BA394" s="55"/>
    </row>
    <row r="395" spans="52:53" x14ac:dyDescent="0.2">
      <c r="AZ395" s="55"/>
      <c r="BA395" s="55"/>
    </row>
    <row r="396" spans="52:53" x14ac:dyDescent="0.2">
      <c r="AZ396" s="55"/>
      <c r="BA396" s="55"/>
    </row>
    <row r="397" spans="52:53" x14ac:dyDescent="0.2">
      <c r="AZ397" s="55"/>
      <c r="BA397" s="55"/>
    </row>
    <row r="398" spans="52:53" x14ac:dyDescent="0.2">
      <c r="AZ398" s="55"/>
      <c r="BA398" s="55"/>
    </row>
    <row r="399" spans="52:53" x14ac:dyDescent="0.2">
      <c r="AZ399" s="55"/>
      <c r="BA399" s="55"/>
    </row>
    <row r="400" spans="52:53" x14ac:dyDescent="0.2">
      <c r="AZ400" s="55"/>
      <c r="BA400" s="55"/>
    </row>
    <row r="401" spans="52:53" x14ac:dyDescent="0.2">
      <c r="AZ401" s="55"/>
      <c r="BA401" s="55"/>
    </row>
    <row r="402" spans="52:53" x14ac:dyDescent="0.2">
      <c r="AZ402" s="55"/>
      <c r="BA402" s="55"/>
    </row>
    <row r="403" spans="52:53" x14ac:dyDescent="0.2">
      <c r="AZ403" s="55"/>
      <c r="BA403" s="55"/>
    </row>
    <row r="404" spans="52:53" x14ac:dyDescent="0.2">
      <c r="AZ404" s="55"/>
      <c r="BA404" s="55"/>
    </row>
    <row r="405" spans="52:53" x14ac:dyDescent="0.2">
      <c r="AZ405" s="55"/>
      <c r="BA405" s="55"/>
    </row>
    <row r="406" spans="52:53" x14ac:dyDescent="0.2">
      <c r="AZ406" s="55"/>
      <c r="BA406" s="55"/>
    </row>
    <row r="407" spans="52:53" x14ac:dyDescent="0.2">
      <c r="AZ407" s="55"/>
      <c r="BA407" s="55"/>
    </row>
    <row r="408" spans="52:53" x14ac:dyDescent="0.2">
      <c r="AZ408" s="55"/>
      <c r="BA408" s="55"/>
    </row>
    <row r="409" spans="52:53" x14ac:dyDescent="0.2">
      <c r="AZ409" s="55"/>
      <c r="BA409" s="55"/>
    </row>
    <row r="410" spans="52:53" x14ac:dyDescent="0.2">
      <c r="AZ410" s="55"/>
      <c r="BA410" s="55"/>
    </row>
    <row r="411" spans="52:53" x14ac:dyDescent="0.2">
      <c r="AZ411" s="55"/>
      <c r="BA411" s="55"/>
    </row>
    <row r="412" spans="52:53" x14ac:dyDescent="0.2">
      <c r="AZ412" s="55"/>
      <c r="BA412" s="55"/>
    </row>
    <row r="413" spans="52:53" x14ac:dyDescent="0.2">
      <c r="AZ413" s="55"/>
      <c r="BA413" s="55"/>
    </row>
    <row r="414" spans="52:53" x14ac:dyDescent="0.2">
      <c r="AZ414" s="55"/>
      <c r="BA414" s="55"/>
    </row>
    <row r="415" spans="52:53" x14ac:dyDescent="0.2">
      <c r="AZ415" s="55"/>
      <c r="BA415" s="55"/>
    </row>
    <row r="416" spans="52:53" x14ac:dyDescent="0.2">
      <c r="AZ416" s="55"/>
      <c r="BA416" s="55"/>
    </row>
    <row r="418" spans="52:53" x14ac:dyDescent="0.2">
      <c r="AZ418" s="63"/>
      <c r="BA418" s="63"/>
    </row>
    <row r="419" spans="52:53" x14ac:dyDescent="0.2">
      <c r="AZ419" s="63"/>
      <c r="BA419" s="63"/>
    </row>
    <row r="420" spans="52:53" x14ac:dyDescent="0.2">
      <c r="AZ420" s="63"/>
      <c r="BA420" s="63"/>
    </row>
    <row r="421" spans="52:53" x14ac:dyDescent="0.2">
      <c r="AZ421" s="63"/>
      <c r="BA421" s="63"/>
    </row>
    <row r="422" spans="52:53" x14ac:dyDescent="0.2">
      <c r="AZ422" s="63"/>
      <c r="BA422" s="63"/>
    </row>
    <row r="423" spans="52:53" x14ac:dyDescent="0.2">
      <c r="AZ423" s="63"/>
      <c r="BA423" s="63"/>
    </row>
    <row r="424" spans="52:53" x14ac:dyDescent="0.2">
      <c r="AZ424" s="63"/>
      <c r="BA424" s="63"/>
    </row>
    <row r="425" spans="52:53" x14ac:dyDescent="0.2">
      <c r="AZ425" s="63"/>
      <c r="BA425" s="63"/>
    </row>
    <row r="426" spans="52:53" x14ac:dyDescent="0.2">
      <c r="AZ426" s="72"/>
      <c r="BA426" s="72"/>
    </row>
    <row r="427" spans="52:53" x14ac:dyDescent="0.2">
      <c r="AZ427" s="78"/>
      <c r="BA427" s="78"/>
    </row>
    <row r="428" spans="52:53" x14ac:dyDescent="0.2">
      <c r="AZ428" s="78"/>
      <c r="BA428" s="78"/>
    </row>
    <row r="429" spans="52:53" x14ac:dyDescent="0.2">
      <c r="AZ429" s="63"/>
      <c r="BA429" s="63"/>
    </row>
    <row r="430" spans="52:53" x14ac:dyDescent="0.2">
      <c r="AZ430" s="63"/>
      <c r="BA430" s="63"/>
    </row>
  </sheetData>
  <sheetProtection formatCells="0" selectLockedCells="1"/>
  <mergeCells count="431"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AC23:AE23"/>
    <mergeCell ref="AG57:AK57"/>
    <mergeCell ref="A89:AL89"/>
    <mergeCell ref="AM89:AP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</mergeCells>
  <conditionalFormatting sqref="A8 A93">
    <cfRule type="expression" dxfId="3773" priority="4" stopIfTrue="1">
      <formula>IF(AK9&gt;0,0,1)</formula>
    </cfRule>
  </conditionalFormatting>
  <conditionalFormatting sqref="A10:A11 A95:A96">
    <cfRule type="expression" dxfId="3772" priority="5" stopIfTrue="1">
      <formula>IF(AK9&gt;1,0,1)</formula>
    </cfRule>
  </conditionalFormatting>
  <conditionalFormatting sqref="A12:A13 A97:A98">
    <cfRule type="expression" dxfId="3771" priority="6" stopIfTrue="1">
      <formula>IF(AK9&gt;2,0,1)</formula>
    </cfRule>
  </conditionalFormatting>
  <conditionalFormatting sqref="A14:A15 A99:A100">
    <cfRule type="expression" dxfId="3770" priority="7" stopIfTrue="1">
      <formula>IF(AK9&gt;3,0,1)</formula>
    </cfRule>
  </conditionalFormatting>
  <conditionalFormatting sqref="A16:A17 A101:A102">
    <cfRule type="expression" dxfId="3769" priority="8" stopIfTrue="1">
      <formula>IF(AK9&gt;4,0,1)</formula>
    </cfRule>
  </conditionalFormatting>
  <conditionalFormatting sqref="B8 B93">
    <cfRule type="expression" dxfId="3768" priority="9" stopIfTrue="1">
      <formula>IF(AK9&gt;0,0,1)</formula>
    </cfRule>
  </conditionalFormatting>
  <conditionalFormatting sqref="B9 B94">
    <cfRule type="expression" dxfId="3767" priority="10" stopIfTrue="1">
      <formula>IF(AK9&gt;0,0,1)</formula>
    </cfRule>
  </conditionalFormatting>
  <conditionalFormatting sqref="B10 B95">
    <cfRule type="expression" dxfId="3766" priority="11" stopIfTrue="1">
      <formula>IF(AK9&gt;1,0,1)</formula>
    </cfRule>
  </conditionalFormatting>
  <conditionalFormatting sqref="B11:D11 B96:D96">
    <cfRule type="expression" dxfId="3765" priority="12" stopIfTrue="1">
      <formula>IF(AK9&gt;1,0,1)</formula>
    </cfRule>
  </conditionalFormatting>
  <conditionalFormatting sqref="B12:D12 B97:D97">
    <cfRule type="expression" dxfId="3764" priority="13" stopIfTrue="1">
      <formula>IF(AK9&gt;2,0,1)</formula>
    </cfRule>
  </conditionalFormatting>
  <conditionalFormatting sqref="B13:D13 B98:D98">
    <cfRule type="expression" dxfId="3763" priority="14" stopIfTrue="1">
      <formula>IF(AK9&gt;2,0,1)</formula>
    </cfRule>
  </conditionalFormatting>
  <conditionalFormatting sqref="B14:D14 B99:D99">
    <cfRule type="expression" dxfId="3762" priority="15" stopIfTrue="1">
      <formula>IF(AK9&gt;3,0,1)</formula>
    </cfRule>
  </conditionalFormatting>
  <conditionalFormatting sqref="B15:D15 B100:D100">
    <cfRule type="expression" dxfId="3761" priority="16" stopIfTrue="1">
      <formula>IF(AK9&gt;3,0,1)</formula>
    </cfRule>
  </conditionalFormatting>
  <conditionalFormatting sqref="B16:D16 B101:D101">
    <cfRule type="expression" dxfId="3760" priority="17" stopIfTrue="1">
      <formula>IF(AK9&gt;4,0,1)</formula>
    </cfRule>
  </conditionalFormatting>
  <conditionalFormatting sqref="B17:D17 B102:D102">
    <cfRule type="expression" dxfId="3759" priority="18" stopIfTrue="1">
      <formula>IF(AK9&gt;4,0,1)</formula>
    </cfRule>
  </conditionalFormatting>
  <conditionalFormatting sqref="E8 E93">
    <cfRule type="expression" dxfId="3758" priority="19" stopIfTrue="1">
      <formula>IF(AK9&gt;0,0,1)</formula>
    </cfRule>
  </conditionalFormatting>
  <conditionalFormatting sqref="E9 E94">
    <cfRule type="expression" dxfId="3757" priority="20" stopIfTrue="1">
      <formula>IF(AK9&gt;0,0,1)</formula>
    </cfRule>
  </conditionalFormatting>
  <conditionalFormatting sqref="E10 E95">
    <cfRule type="expression" dxfId="3756" priority="21" stopIfTrue="1">
      <formula>IF(AK9&gt;1,0,1)</formula>
    </cfRule>
  </conditionalFormatting>
  <conditionalFormatting sqref="E11 E96">
    <cfRule type="expression" dxfId="3755" priority="22" stopIfTrue="1">
      <formula>IF(AK9&gt;1,0,1)</formula>
    </cfRule>
  </conditionalFormatting>
  <conditionalFormatting sqref="E12 E97">
    <cfRule type="expression" dxfId="3754" priority="23" stopIfTrue="1">
      <formula>IF(AK9&gt;2,0,1)</formula>
    </cfRule>
  </conditionalFormatting>
  <conditionalFormatting sqref="E13 E98">
    <cfRule type="expression" dxfId="3753" priority="24" stopIfTrue="1">
      <formula>IF(AK9&gt;2,0,1)</formula>
    </cfRule>
  </conditionalFormatting>
  <conditionalFormatting sqref="E14 E99">
    <cfRule type="expression" dxfId="3752" priority="25" stopIfTrue="1">
      <formula>IF(AK9&gt;3,0,1)</formula>
    </cfRule>
  </conditionalFormatting>
  <conditionalFormatting sqref="E15 E100">
    <cfRule type="expression" dxfId="3751" priority="26" stopIfTrue="1">
      <formula>IF(AK9&gt;3,0,1)</formula>
    </cfRule>
  </conditionalFormatting>
  <conditionalFormatting sqref="E16 E101">
    <cfRule type="expression" dxfId="3750" priority="27" stopIfTrue="1">
      <formula>IF(AK9&gt;4,0,1)</formula>
    </cfRule>
  </conditionalFormatting>
  <conditionalFormatting sqref="E17 E102">
    <cfRule type="expression" dxfId="3749" priority="28" stopIfTrue="1">
      <formula>IF(AK9&gt;4,0,1)</formula>
    </cfRule>
  </conditionalFormatting>
  <conditionalFormatting sqref="AC8 AC93">
    <cfRule type="expression" dxfId="3748" priority="29" stopIfTrue="1">
      <formula>IF(AK11=1,IF(AK9&gt;0,0,1),1)</formula>
    </cfRule>
  </conditionalFormatting>
  <conditionalFormatting sqref="AC10:AE11 AC95:AE96">
    <cfRule type="expression" dxfId="3747" priority="30" stopIfTrue="1">
      <formula>IF(AK11=1,IF(AK9&gt;1,0,1),1)</formula>
    </cfRule>
  </conditionalFormatting>
  <conditionalFormatting sqref="AC12:AE13 AC97:AE98">
    <cfRule type="expression" dxfId="3746" priority="31" stopIfTrue="1">
      <formula>IF(AK11=1,IF(AK9&gt;2,0,1),1)</formula>
    </cfRule>
  </conditionalFormatting>
  <conditionalFormatting sqref="AC14:AE15 AC99:AE100">
    <cfRule type="expression" dxfId="3745" priority="32" stopIfTrue="1">
      <formula>IF(AK11=1,IF(AK9&gt;3,0,1),1)</formula>
    </cfRule>
  </conditionalFormatting>
  <conditionalFormatting sqref="AC16:AE17 AC101:AE102">
    <cfRule type="expression" dxfId="3744" priority="33" stopIfTrue="1">
      <formula>IF(AK11=1,IF(AK9&gt;4,0,1),1)</formula>
    </cfRule>
  </conditionalFormatting>
  <conditionalFormatting sqref="AH8 AH93">
    <cfRule type="expression" dxfId="3743" priority="34" stopIfTrue="1">
      <formula>IF(AK9&gt;0,0,1)</formula>
    </cfRule>
  </conditionalFormatting>
  <conditionalFormatting sqref="AH10:AI11 AH95:AI96">
    <cfRule type="expression" dxfId="3742" priority="35" stopIfTrue="1">
      <formula>IF(AK9&gt;1,0,1)</formula>
    </cfRule>
  </conditionalFormatting>
  <conditionalFormatting sqref="AH12:AI13 AH97:AI98">
    <cfRule type="expression" dxfId="3741" priority="36" stopIfTrue="1">
      <formula>IF(AK9&gt;2,0,1)</formula>
    </cfRule>
  </conditionalFormatting>
  <conditionalFormatting sqref="AH14:AI15 AH99:AI100">
    <cfRule type="expression" dxfId="3740" priority="37" stopIfTrue="1">
      <formula>IF(AK9&gt;3,0,1)</formula>
    </cfRule>
  </conditionalFormatting>
  <conditionalFormatting sqref="AH16:AI17 AH101:AI102">
    <cfRule type="expression" dxfId="3739" priority="38" stopIfTrue="1">
      <formula>IF(AK9&gt;4,0,1)</formula>
    </cfRule>
  </conditionalFormatting>
  <conditionalFormatting sqref="B19:D19 B104:D104">
    <cfRule type="expression" dxfId="3738" priority="39" stopIfTrue="1">
      <formula>IF(AK8&gt;0,0,1)</formula>
    </cfRule>
  </conditionalFormatting>
  <conditionalFormatting sqref="E19:G19 E104:G104">
    <cfRule type="expression" dxfId="3737" priority="40" stopIfTrue="1">
      <formula>IF(AK8&gt;1,0,1)</formula>
    </cfRule>
  </conditionalFormatting>
  <conditionalFormatting sqref="H19:J19 H104:J104">
    <cfRule type="expression" dxfId="3736" priority="41" stopIfTrue="1">
      <formula>IF(AK8&gt;2,0,1)</formula>
    </cfRule>
  </conditionalFormatting>
  <conditionalFormatting sqref="K19:M19 K104:M104">
    <cfRule type="expression" dxfId="3735" priority="42" stopIfTrue="1">
      <formula>IF(AK8&gt;3,0,1)</formula>
    </cfRule>
  </conditionalFormatting>
  <conditionalFormatting sqref="N19:P19 N104:P104">
    <cfRule type="expression" dxfId="3734" priority="43" stopIfTrue="1">
      <formula>IF(AK8&gt;4,0,1)</formula>
    </cfRule>
  </conditionalFormatting>
  <conditionalFormatting sqref="Q19:S19 Q104:S104">
    <cfRule type="expression" dxfId="3733" priority="44" stopIfTrue="1">
      <formula>IF(AK8&gt;5,0,1)</formula>
    </cfRule>
  </conditionalFormatting>
  <conditionalFormatting sqref="T19:V19 T104:V104">
    <cfRule type="expression" dxfId="3732" priority="45" stopIfTrue="1">
      <formula>IF(AK8&gt;6,0,1)</formula>
    </cfRule>
  </conditionalFormatting>
  <conditionalFormatting sqref="W19:Y19 W104:Y104">
    <cfRule type="expression" dxfId="3731" priority="46" stopIfTrue="1">
      <formula>IF(AK8&gt;7,0,1)</formula>
    </cfRule>
  </conditionalFormatting>
  <conditionalFormatting sqref="Z19:AB19 Z104:AB104">
    <cfRule type="expression" dxfId="3730" priority="47" stopIfTrue="1">
      <formula>IF(AK8&gt;8,0,1)</formula>
    </cfRule>
  </conditionalFormatting>
  <conditionalFormatting sqref="AC19:AE19 AC104:AE104">
    <cfRule type="expression" dxfId="3729" priority="48" stopIfTrue="1">
      <formula>IF(AK8&gt;9,0,1)</formula>
    </cfRule>
  </conditionalFormatting>
  <conditionalFormatting sqref="B20:D20 B105:D105">
    <cfRule type="expression" dxfId="3728" priority="49" stopIfTrue="1">
      <formula>IF(AK8&gt;0,0,1)</formula>
    </cfRule>
  </conditionalFormatting>
  <conditionalFormatting sqref="E20:G20 E105:G105">
    <cfRule type="expression" dxfId="3727" priority="50" stopIfTrue="1">
      <formula>IF(AK8&gt;1,0,1)</formula>
    </cfRule>
  </conditionalFormatting>
  <conditionalFormatting sqref="H20:J20 H105:J105">
    <cfRule type="expression" dxfId="3726" priority="51" stopIfTrue="1">
      <formula>IF(AK8&gt;2,0,1)</formula>
    </cfRule>
  </conditionalFormatting>
  <conditionalFormatting sqref="K20:M20 K105:M105">
    <cfRule type="expression" dxfId="3725" priority="52" stopIfTrue="1">
      <formula>IF(AK8&gt;3,0,1)</formula>
    </cfRule>
  </conditionalFormatting>
  <conditionalFormatting sqref="N20:P20 N105:P105">
    <cfRule type="expression" dxfId="3724" priority="53" stopIfTrue="1">
      <formula>IF(AK8&gt;4,0,1)</formula>
    </cfRule>
  </conditionalFormatting>
  <conditionalFormatting sqref="Q20:S20 Q105:S105">
    <cfRule type="expression" dxfId="3723" priority="54" stopIfTrue="1">
      <formula>IF(AK8&gt;5,0,1)</formula>
    </cfRule>
  </conditionalFormatting>
  <conditionalFormatting sqref="T20:V20 T105:V105">
    <cfRule type="expression" dxfId="3722" priority="55" stopIfTrue="1">
      <formula>IF(AK8&gt;6,0,1)</formula>
    </cfRule>
  </conditionalFormatting>
  <conditionalFormatting sqref="W20:Y20 W105:Y105">
    <cfRule type="expression" dxfId="3721" priority="56" stopIfTrue="1">
      <formula>IF(AK8&gt;7,0,1)</formula>
    </cfRule>
  </conditionalFormatting>
  <conditionalFormatting sqref="Z20:AB20 Z105:AB105">
    <cfRule type="expression" dxfId="3720" priority="57" stopIfTrue="1">
      <formula>IF(AK8&gt;8,0,1)</formula>
    </cfRule>
  </conditionalFormatting>
  <conditionalFormatting sqref="AC20:AE20 AC105:AE105">
    <cfRule type="expression" dxfId="3719" priority="58" stopIfTrue="1">
      <formula>IF(AK8&gt;9,0,1)</formula>
    </cfRule>
  </conditionalFormatting>
  <conditionalFormatting sqref="E22:G22 E107:G107">
    <cfRule type="expression" dxfId="3718" priority="59" stopIfTrue="1">
      <formula>IF(AK8&gt;1,0,1)</formula>
    </cfRule>
  </conditionalFormatting>
  <conditionalFormatting sqref="H22:J22 H107:J107">
    <cfRule type="expression" dxfId="3717" priority="60" stopIfTrue="1">
      <formula>IF(AK8&gt;2,0,1)</formula>
    </cfRule>
  </conditionalFormatting>
  <conditionalFormatting sqref="K22:M22 K107:M107">
    <cfRule type="expression" dxfId="3716" priority="61" stopIfTrue="1">
      <formula>IF(AK8&gt;3,0,1)</formula>
    </cfRule>
  </conditionalFormatting>
  <conditionalFormatting sqref="N22:P22 N107:P107">
    <cfRule type="expression" dxfId="3715" priority="62" stopIfTrue="1">
      <formula>IF(AK8&gt;4,0,1)</formula>
    </cfRule>
  </conditionalFormatting>
  <conditionalFormatting sqref="Q22:S22 Q107:S107">
    <cfRule type="expression" dxfId="3714" priority="63" stopIfTrue="1">
      <formula>IF(AK8&gt;5,0,1)</formula>
    </cfRule>
  </conditionalFormatting>
  <conditionalFormatting sqref="T22:V22 T107:V107">
    <cfRule type="expression" dxfId="3713" priority="64" stopIfTrue="1">
      <formula>IF(AK8&gt;6,0,1)</formula>
    </cfRule>
  </conditionalFormatting>
  <conditionalFormatting sqref="W22:Y22 W107:Y107">
    <cfRule type="expression" dxfId="3712" priority="65" stopIfTrue="1">
      <formula>IF(AK8&gt;7,0,1)</formula>
    </cfRule>
  </conditionalFormatting>
  <conditionalFormatting sqref="Z22:AB22 Z107:AB107">
    <cfRule type="expression" dxfId="3711" priority="66" stopIfTrue="1">
      <formula>IF(AK8&gt;8,0,1)</formula>
    </cfRule>
  </conditionalFormatting>
  <conditionalFormatting sqref="AC22:AE22 AC107:AE107">
    <cfRule type="expression" dxfId="3710" priority="67" stopIfTrue="1">
      <formula>IF(AK8&gt;9,0,1)</formula>
    </cfRule>
  </conditionalFormatting>
  <conditionalFormatting sqref="B24 B109">
    <cfRule type="expression" dxfId="3709" priority="68" stopIfTrue="1">
      <formula>IF(AK8&gt;0,0,1)</formula>
    </cfRule>
  </conditionalFormatting>
  <conditionalFormatting sqref="C24 C109">
    <cfRule type="expression" dxfId="3708" priority="69" stopIfTrue="1">
      <formula>IF(AK8&gt;0,0,1)</formula>
    </cfRule>
  </conditionalFormatting>
  <conditionalFormatting sqref="D24 D109">
    <cfRule type="expression" dxfId="3707" priority="70" stopIfTrue="1">
      <formula>IF(AK8&gt;0,0,1)</formula>
    </cfRule>
  </conditionalFormatting>
  <conditionalFormatting sqref="E23:G23 E108:G108">
    <cfRule type="expression" dxfId="3706" priority="71" stopIfTrue="1">
      <formula>IF(AK8&gt;1,0,1)</formula>
    </cfRule>
  </conditionalFormatting>
  <conditionalFormatting sqref="F24 F109">
    <cfRule type="expression" dxfId="3705" priority="72" stopIfTrue="1">
      <formula>IF(AK8&gt;1,0,1)</formula>
    </cfRule>
  </conditionalFormatting>
  <conditionalFormatting sqref="G24 G109">
    <cfRule type="expression" dxfId="3704" priority="73" stopIfTrue="1">
      <formula>IF(AK8&gt;1,0,1)</formula>
    </cfRule>
  </conditionalFormatting>
  <conditionalFormatting sqref="H23:J23 H108:J108">
    <cfRule type="expression" dxfId="3703" priority="74" stopIfTrue="1">
      <formula>IF(AK8&gt;2,0,1)</formula>
    </cfRule>
  </conditionalFormatting>
  <conditionalFormatting sqref="I24 I109">
    <cfRule type="expression" dxfId="3702" priority="75" stopIfTrue="1">
      <formula>IF(AK8&gt;2,0,1)</formula>
    </cfRule>
  </conditionalFormatting>
  <conditionalFormatting sqref="J24 J109">
    <cfRule type="expression" dxfId="3701" priority="76" stopIfTrue="1">
      <formula>IF(AK8&gt;2,0,1)</formula>
    </cfRule>
  </conditionalFormatting>
  <conditionalFormatting sqref="K23:M23 K108:M108">
    <cfRule type="expression" dxfId="3700" priority="77" stopIfTrue="1">
      <formula>IF(AK8&gt;3,0,1)</formula>
    </cfRule>
  </conditionalFormatting>
  <conditionalFormatting sqref="L24 L109">
    <cfRule type="expression" dxfId="3699" priority="78" stopIfTrue="1">
      <formula>IF(AK8&gt;3,0,1)</formula>
    </cfRule>
  </conditionalFormatting>
  <conditionalFormatting sqref="M24 M109">
    <cfRule type="expression" dxfId="3698" priority="79" stopIfTrue="1">
      <formula>IF(AK8&gt;3,0,1)</formula>
    </cfRule>
  </conditionalFormatting>
  <conditionalFormatting sqref="N23:P23 N108:P108">
    <cfRule type="expression" dxfId="3697" priority="80" stopIfTrue="1">
      <formula>IF(AK8&gt;4,0,1)</formula>
    </cfRule>
  </conditionalFormatting>
  <conditionalFormatting sqref="O24 O109">
    <cfRule type="expression" dxfId="3696" priority="81" stopIfTrue="1">
      <formula>IF(AK8&gt;4,0,1)</formula>
    </cfRule>
  </conditionalFormatting>
  <conditionalFormatting sqref="P24 P109">
    <cfRule type="expression" dxfId="3695" priority="82" stopIfTrue="1">
      <formula>IF(AK8&gt;4,0,1)</formula>
    </cfRule>
  </conditionalFormatting>
  <conditionalFormatting sqref="Q23:S23 Q108:S108">
    <cfRule type="expression" dxfId="3694" priority="83" stopIfTrue="1">
      <formula>IF(AK8&gt;5,0,1)</formula>
    </cfRule>
  </conditionalFormatting>
  <conditionalFormatting sqref="R24 R109">
    <cfRule type="expression" dxfId="3693" priority="84" stopIfTrue="1">
      <formula>IF(AK8&gt;5,0,1)</formula>
    </cfRule>
  </conditionalFormatting>
  <conditionalFormatting sqref="S24 S109">
    <cfRule type="expression" dxfId="3692" priority="85" stopIfTrue="1">
      <formula>IF(AK8&gt;5,0,1)</formula>
    </cfRule>
  </conditionalFormatting>
  <conditionalFormatting sqref="T23:V23 T108:V108">
    <cfRule type="expression" dxfId="3691" priority="86" stopIfTrue="1">
      <formula>IF(AK8&gt;6,0,1)</formula>
    </cfRule>
  </conditionalFormatting>
  <conditionalFormatting sqref="U24 U109">
    <cfRule type="expression" dxfId="3690" priority="87" stopIfTrue="1">
      <formula>IF(AK8&gt;6,0,1)</formula>
    </cfRule>
  </conditionalFormatting>
  <conditionalFormatting sqref="V24 V109">
    <cfRule type="expression" dxfId="3689" priority="88" stopIfTrue="1">
      <formula>IF(AK8&gt;6,0,1)</formula>
    </cfRule>
  </conditionalFormatting>
  <conditionalFormatting sqref="W23:Y23 W108:Y108">
    <cfRule type="expression" dxfId="3688" priority="89" stopIfTrue="1">
      <formula>IF(AK8&gt;7,0,1)</formula>
    </cfRule>
  </conditionalFormatting>
  <conditionalFormatting sqref="X24 X109">
    <cfRule type="expression" dxfId="3687" priority="90" stopIfTrue="1">
      <formula>IF(AK8&gt;7,0,1)</formula>
    </cfRule>
  </conditionalFormatting>
  <conditionalFormatting sqref="Y24 Y109">
    <cfRule type="expression" dxfId="3686" priority="91" stopIfTrue="1">
      <formula>IF(AK8&gt;7,0,1)</formula>
    </cfRule>
  </conditionalFormatting>
  <conditionalFormatting sqref="Z23:AB23 Z108:AB108">
    <cfRule type="expression" dxfId="3685" priority="92" stopIfTrue="1">
      <formula>IF(AK8&gt;8,0,1)</formula>
    </cfRule>
  </conditionalFormatting>
  <conditionalFormatting sqref="AA24 AA109">
    <cfRule type="expression" dxfId="3684" priority="93" stopIfTrue="1">
      <formula>IF(AK8&gt;8,0,1)</formula>
    </cfRule>
  </conditionalFormatting>
  <conditionalFormatting sqref="AB24 AB109">
    <cfRule type="expression" dxfId="3683" priority="94" stopIfTrue="1">
      <formula>IF(AK8&gt;8,0,1)</formula>
    </cfRule>
  </conditionalFormatting>
  <conditionalFormatting sqref="AC23:AE23 AC108:AE108">
    <cfRule type="expression" dxfId="3682" priority="95" stopIfTrue="1">
      <formula>IF(AK8&gt;9,0,1)</formula>
    </cfRule>
  </conditionalFormatting>
  <conditionalFormatting sqref="AD24 AD109">
    <cfRule type="expression" dxfId="3681" priority="96" stopIfTrue="1">
      <formula>IF(AK8&gt;9,0,1)</formula>
    </cfRule>
  </conditionalFormatting>
  <conditionalFormatting sqref="AE24 AE109">
    <cfRule type="expression" dxfId="3680" priority="97" stopIfTrue="1">
      <formula>IF(AK8&gt;9,0,1)</formula>
    </cfRule>
  </conditionalFormatting>
  <conditionalFormatting sqref="A26 A111">
    <cfRule type="expression" dxfId="3679" priority="98" stopIfTrue="1">
      <formula>IF(AK7&gt;1,0,1)</formula>
    </cfRule>
  </conditionalFormatting>
  <conditionalFormatting sqref="A27 A112">
    <cfRule type="expression" dxfId="3678" priority="99" stopIfTrue="1">
      <formula>IF(AK7&gt;2,0,1)</formula>
    </cfRule>
  </conditionalFormatting>
  <conditionalFormatting sqref="A28 A113">
    <cfRule type="expression" dxfId="3677" priority="100" stopIfTrue="1">
      <formula>IF(AK7&gt;3,0,1)</formula>
    </cfRule>
  </conditionalFormatting>
  <conditionalFormatting sqref="A29 A114">
    <cfRule type="expression" dxfId="3676" priority="101" stopIfTrue="1">
      <formula>IF(AK7&gt;4,0,1)</formula>
    </cfRule>
  </conditionalFormatting>
  <conditionalFormatting sqref="B25:D25 B110:D110">
    <cfRule type="expression" dxfId="3675" priority="102" stopIfTrue="1">
      <formula>IF($AK8&gt;0,0,1)</formula>
    </cfRule>
  </conditionalFormatting>
  <conditionalFormatting sqref="B26:D26 B111:D111">
    <cfRule type="expression" dxfId="3674" priority="103" stopIfTrue="1">
      <formula>IF($AK8&lt;1,1,IF($AK7&lt;2,1,0))</formula>
    </cfRule>
  </conditionalFormatting>
  <conditionalFormatting sqref="B27:D27 B112:D112">
    <cfRule type="expression" dxfId="3673" priority="104" stopIfTrue="1">
      <formula>IF($AK8&lt;1,1,IF($AK7&lt;3,1,0))</formula>
    </cfRule>
  </conditionalFormatting>
  <conditionalFormatting sqref="B28:D28 B113:D113">
    <cfRule type="expression" dxfId="3672" priority="105" stopIfTrue="1">
      <formula>IF($AK8&lt;1,1,IF($AK7&lt;4,1,0))</formula>
    </cfRule>
  </conditionalFormatting>
  <conditionalFormatting sqref="B29:D29 B114:D114">
    <cfRule type="expression" dxfId="3671" priority="106" stopIfTrue="1">
      <formula>IF($AK8&lt;1,1,IF($AK7&lt;5,1,0))</formula>
    </cfRule>
  </conditionalFormatting>
  <conditionalFormatting sqref="AG23 AG108">
    <cfRule type="expression" dxfId="3670" priority="107" stopIfTrue="1">
      <formula>IF($AK8&lt;1,1,0)</formula>
    </cfRule>
  </conditionalFormatting>
  <conditionalFormatting sqref="AH23 AH108">
    <cfRule type="expression" dxfId="3669" priority="108" stopIfTrue="1">
      <formula>IF($AK8&lt;2,1,0)</formula>
    </cfRule>
  </conditionalFormatting>
  <conditionalFormatting sqref="AI23 AI108">
    <cfRule type="expression" dxfId="3668" priority="109" stopIfTrue="1">
      <formula>IF($AK8&lt;3,1,0)</formula>
    </cfRule>
  </conditionalFormatting>
  <conditionalFormatting sqref="AJ23 AJ108">
    <cfRule type="expression" dxfId="3667" priority="110" stopIfTrue="1">
      <formula>IF($AK8&lt;4,1,0)</formula>
    </cfRule>
  </conditionalFormatting>
  <conditionalFormatting sqref="AK23 AK108">
    <cfRule type="expression" dxfId="3666" priority="111" stopIfTrue="1">
      <formula>IF($AK8&lt;5,1,0)</formula>
    </cfRule>
  </conditionalFormatting>
  <conditionalFormatting sqref="AL23 AL108">
    <cfRule type="expression" dxfId="3665" priority="112" stopIfTrue="1">
      <formula>IF($AK8&lt;6,1,0)</formula>
    </cfRule>
  </conditionalFormatting>
  <conditionalFormatting sqref="AM23 AM108">
    <cfRule type="expression" dxfId="3664" priority="113" stopIfTrue="1">
      <formula>IF($AK8&lt;7,1,0)</formula>
    </cfRule>
  </conditionalFormatting>
  <conditionalFormatting sqref="AN23 AN108">
    <cfRule type="expression" dxfId="3663" priority="114" stopIfTrue="1">
      <formula>IF($AK8&lt;8,1,0)</formula>
    </cfRule>
  </conditionalFormatting>
  <conditionalFormatting sqref="AO23 AO108">
    <cfRule type="expression" dxfId="3662" priority="115" stopIfTrue="1">
      <formula>IF($AK8&lt;9,1,0)</formula>
    </cfRule>
  </conditionalFormatting>
  <conditionalFormatting sqref="AP23 AP108">
    <cfRule type="expression" dxfId="3661" priority="116" stopIfTrue="1">
      <formula>IF($AK8&lt;10,1,0)</formula>
    </cfRule>
  </conditionalFormatting>
  <conditionalFormatting sqref="AQ24 AQ109">
    <cfRule type="expression" dxfId="3660" priority="117" stopIfTrue="1">
      <formula>IF($AK9&gt;0,0,1)</formula>
    </cfRule>
  </conditionalFormatting>
  <conditionalFormatting sqref="AQ25 AQ110">
    <cfRule type="expression" dxfId="3659" priority="118" stopIfTrue="1">
      <formula>IF($AK9&gt;1,0,1)</formula>
    </cfRule>
  </conditionalFormatting>
  <conditionalFormatting sqref="AQ26 H25:J25 AQ111 H110:J110">
    <cfRule type="expression" dxfId="3658" priority="119" stopIfTrue="1">
      <formula>IF($AK8&gt;2,0,1)</formula>
    </cfRule>
  </conditionalFormatting>
  <conditionalFormatting sqref="K25:M25 K110:M110">
    <cfRule type="expression" dxfId="3657" priority="120" stopIfTrue="1">
      <formula>IF($AK8&gt;3,0,1)</formula>
    </cfRule>
  </conditionalFormatting>
  <conditionalFormatting sqref="AQ28 AQ113">
    <cfRule type="expression" dxfId="3656" priority="121" stopIfTrue="1">
      <formula>IF($AK9&gt;4,0,1)</formula>
    </cfRule>
  </conditionalFormatting>
  <conditionalFormatting sqref="E26:G26 E111:G111">
    <cfRule type="expression" dxfId="3655" priority="122" stopIfTrue="1">
      <formula>IF($AK8&lt;2,1,IF($AK7&lt;2,1,0))</formula>
    </cfRule>
  </conditionalFormatting>
  <conditionalFormatting sqref="E27:G27 E112:G112">
    <cfRule type="expression" dxfId="3654" priority="123" stopIfTrue="1">
      <formula>IF($AK8&lt;2,1,IF($AK7&lt;3,1,0))</formula>
    </cfRule>
  </conditionalFormatting>
  <conditionalFormatting sqref="E28:G28 E113:G113">
    <cfRule type="expression" dxfId="3653" priority="124" stopIfTrue="1">
      <formula>IF($AK8&lt;2,1,IF($AK7&lt;4,1,0))</formula>
    </cfRule>
  </conditionalFormatting>
  <conditionalFormatting sqref="E29:G29 E114:G114">
    <cfRule type="expression" dxfId="3652" priority="125" stopIfTrue="1">
      <formula>IF($AK8&lt;2,1,IF($AK7&lt;5,1,0))</formula>
    </cfRule>
  </conditionalFormatting>
  <conditionalFormatting sqref="N25:P25 N110:P110">
    <cfRule type="expression" dxfId="3651" priority="126" stopIfTrue="1">
      <formula>IF($AK8&gt;4,0,1)</formula>
    </cfRule>
  </conditionalFormatting>
  <conditionalFormatting sqref="Q25:S25 Q110:S110">
    <cfRule type="expression" dxfId="3650" priority="127" stopIfTrue="1">
      <formula>IF($AK8&gt;5,0,1)</formula>
    </cfRule>
  </conditionalFormatting>
  <conditionalFormatting sqref="T25:V25 T110:V110">
    <cfRule type="expression" dxfId="3649" priority="128" stopIfTrue="1">
      <formula>IF($AK8&gt;6,0,1)</formula>
    </cfRule>
  </conditionalFormatting>
  <conditionalFormatting sqref="W25:Y25 W110:Y110">
    <cfRule type="expression" dxfId="3648" priority="129" stopIfTrue="1">
      <formula>IF($AK8&gt;7,0,1)</formula>
    </cfRule>
  </conditionalFormatting>
  <conditionalFormatting sqref="Z25:AB25 Z110:AB110">
    <cfRule type="expression" dxfId="3647" priority="130" stopIfTrue="1">
      <formula>IF($AK8&gt;8,0,1)</formula>
    </cfRule>
  </conditionalFormatting>
  <conditionalFormatting sqref="AC25:AE25 AC110:AE110">
    <cfRule type="expression" dxfId="3646" priority="131" stopIfTrue="1">
      <formula>IF($AK8&gt;9,0,1)</formula>
    </cfRule>
  </conditionalFormatting>
  <conditionalFormatting sqref="H26:J26 H111:J111">
    <cfRule type="expression" dxfId="3645" priority="132" stopIfTrue="1">
      <formula>IF($AK8&lt;3,1,IF($AK7&lt;2,1,0))</formula>
    </cfRule>
  </conditionalFormatting>
  <conditionalFormatting sqref="K26:M26 K111:M111">
    <cfRule type="expression" dxfId="3644" priority="133" stopIfTrue="1">
      <formula>IF($AK8&lt;4,1,IF($AK7&lt;2,1,0))</formula>
    </cfRule>
  </conditionalFormatting>
  <conditionalFormatting sqref="N26:P26 N111:P111">
    <cfRule type="expression" dxfId="3643" priority="134" stopIfTrue="1">
      <formula>IF($AK8&lt;5,1,IF($AK7&lt;2,1,0))</formula>
    </cfRule>
  </conditionalFormatting>
  <conditionalFormatting sqref="Q26:S26 Q111:S111">
    <cfRule type="expression" dxfId="3642" priority="135" stopIfTrue="1">
      <formula>IF($AK8&lt;6,1,IF($AK7&lt;2,1,0))</formula>
    </cfRule>
  </conditionalFormatting>
  <conditionalFormatting sqref="T26:V26 T111:V111">
    <cfRule type="expression" dxfId="3641" priority="136" stopIfTrue="1">
      <formula>IF($AK8&lt;7,1,IF($AK7&lt;2,1,0))</formula>
    </cfRule>
  </conditionalFormatting>
  <conditionalFormatting sqref="W26:Y26 W111:Y111">
    <cfRule type="expression" dxfId="3640" priority="137" stopIfTrue="1">
      <formula>IF($AK8&lt;8,1,IF($AK7&lt;2,1,0))</formula>
    </cfRule>
  </conditionalFormatting>
  <conditionalFormatting sqref="Z26:AB26 Z111:AB111">
    <cfRule type="expression" dxfId="3639" priority="138" stopIfTrue="1">
      <formula>IF($AK8&lt;9,1,IF($AK7&lt;2,1,0))</formula>
    </cfRule>
  </conditionalFormatting>
  <conditionalFormatting sqref="AC26:AE26 AC111:AE111">
    <cfRule type="expression" dxfId="3638" priority="139" stopIfTrue="1">
      <formula>IF($AK8&lt;10,1,IF($AK7&lt;2,1,0))</formula>
    </cfRule>
  </conditionalFormatting>
  <conditionalFormatting sqref="H27:J27 H112:J112">
    <cfRule type="expression" dxfId="3637" priority="140" stopIfTrue="1">
      <formula>IF($AK8&lt;3,1,IF($AK7&lt;3,1,0))</formula>
    </cfRule>
  </conditionalFormatting>
  <conditionalFormatting sqref="K27:M27 K112:M112">
    <cfRule type="expression" dxfId="3636" priority="141" stopIfTrue="1">
      <formula>IF($AK8&lt;4,1,IF($AK7&lt;3,1,0))</formula>
    </cfRule>
  </conditionalFormatting>
  <conditionalFormatting sqref="N27:P27 N112:P112">
    <cfRule type="expression" dxfId="3635" priority="142" stopIfTrue="1">
      <formula>IF($AK8&lt;5,1,IF($AK7&lt;3,1,0))</formula>
    </cfRule>
  </conditionalFormatting>
  <conditionalFormatting sqref="Q27:S27 Q112:S112">
    <cfRule type="expression" dxfId="3634" priority="143" stopIfTrue="1">
      <formula>IF($AK8&lt;6,1,IF($AK7&lt;3,1,0))</formula>
    </cfRule>
  </conditionalFormatting>
  <conditionalFormatting sqref="T27:V27 T112:V112">
    <cfRule type="expression" dxfId="3633" priority="144" stopIfTrue="1">
      <formula>IF($AK8&lt;7,1,IF($AK7&lt;3,1,0))</formula>
    </cfRule>
  </conditionalFormatting>
  <conditionalFormatting sqref="W27:Y27 W112:Y112">
    <cfRule type="expression" dxfId="3632" priority="145" stopIfTrue="1">
      <formula>IF($AK8&lt;8,1,IF($AK7&lt;3,1,0))</formula>
    </cfRule>
  </conditionalFormatting>
  <conditionalFormatting sqref="Z27:AB27 Z112:AB112">
    <cfRule type="expression" dxfId="3631" priority="146" stopIfTrue="1">
      <formula>IF($AK8&lt;9,1,IF($AK7&lt;3,1,0))</formula>
    </cfRule>
  </conditionalFormatting>
  <conditionalFormatting sqref="AC27:AE27 AC112:AE112">
    <cfRule type="expression" dxfId="3630" priority="147" stopIfTrue="1">
      <formula>IF($AK8&lt;10,1,IF($AK7&lt;3,1,0))</formula>
    </cfRule>
  </conditionalFormatting>
  <conditionalFormatting sqref="H28:J28 H113:J113">
    <cfRule type="expression" dxfId="3629" priority="148" stopIfTrue="1">
      <formula>IF($AK8&lt;3,1,IF($AK7&lt;4,1,0))</formula>
    </cfRule>
  </conditionalFormatting>
  <conditionalFormatting sqref="K28:M28 K113:M113">
    <cfRule type="expression" dxfId="3628" priority="149" stopIfTrue="1">
      <formula>IF($AK8&lt;4,1,IF($AK7&lt;4,1,0))</formula>
    </cfRule>
  </conditionalFormatting>
  <conditionalFormatting sqref="N28:P28 N113:P113">
    <cfRule type="expression" dxfId="3627" priority="150" stopIfTrue="1">
      <formula>IF($AK8&lt;5,1,IF($AK7&lt;4,1,0))</formula>
    </cfRule>
  </conditionalFormatting>
  <conditionalFormatting sqref="Q28:S28 Q113:S113">
    <cfRule type="expression" dxfId="3626" priority="151" stopIfTrue="1">
      <formula>IF($AK8&lt;6,1,IF($AK7&lt;4,1,0))</formula>
    </cfRule>
  </conditionalFormatting>
  <conditionalFormatting sqref="T28:V28 T113:V113">
    <cfRule type="expression" dxfId="3625" priority="152" stopIfTrue="1">
      <formula>IF($AK8&lt;7,1,IF($AK7&lt;4,1,0))</formula>
    </cfRule>
  </conditionalFormatting>
  <conditionalFormatting sqref="W28:Y28 W113:Y113">
    <cfRule type="expression" dxfId="3624" priority="153" stopIfTrue="1">
      <formula>IF($AK8&lt;8,1,IF($AK7&lt;4,1,0))</formula>
    </cfRule>
  </conditionalFormatting>
  <conditionalFormatting sqref="Z28:AB28 Z113:AB113">
    <cfRule type="expression" dxfId="3623" priority="154" stopIfTrue="1">
      <formula>IF($AK8&lt;9,1,IF($AK7&lt;4,1,0))</formula>
    </cfRule>
  </conditionalFormatting>
  <conditionalFormatting sqref="AC28:AE28 AC113:AE113">
    <cfRule type="expression" dxfId="3622" priority="155" stopIfTrue="1">
      <formula>IF($AK8&lt;10,1,IF($AK7&lt;4,1,0))</formula>
    </cfRule>
  </conditionalFormatting>
  <conditionalFormatting sqref="H29:J29 H114:J114">
    <cfRule type="expression" dxfId="3621" priority="156" stopIfTrue="1">
      <formula>IF($AK8&lt;3,1,IF($AK7&lt;5,1,0))</formula>
    </cfRule>
  </conditionalFormatting>
  <conditionalFormatting sqref="K29:M29 K114:M114">
    <cfRule type="expression" dxfId="3620" priority="157" stopIfTrue="1">
      <formula>IF($AK8&lt;4,1,IF($AK7&lt;5,1,0))</formula>
    </cfRule>
  </conditionalFormatting>
  <conditionalFormatting sqref="N29:P29 N114:P114">
    <cfRule type="expression" dxfId="3619" priority="158" stopIfTrue="1">
      <formula>IF($AK8&lt;5,1,IF($AK7&lt;5,1,0))</formula>
    </cfRule>
  </conditionalFormatting>
  <conditionalFormatting sqref="Q29:S29 Q114:S114">
    <cfRule type="expression" dxfId="3618" priority="159" stopIfTrue="1">
      <formula>IF($AK8&lt;6,1,IF($AK7&lt;5,1,0))</formula>
    </cfRule>
  </conditionalFormatting>
  <conditionalFormatting sqref="T29:V29 T114:V114">
    <cfRule type="expression" dxfId="3617" priority="160" stopIfTrue="1">
      <formula>IF($AK8&lt;7,1,IF($AK7&lt;5,1,0))</formula>
    </cfRule>
  </conditionalFormatting>
  <conditionalFormatting sqref="W29:Y29 W114:Y114">
    <cfRule type="expression" dxfId="3616" priority="161" stopIfTrue="1">
      <formula>IF($AK8&lt;8,1,IF($AK7&lt;5,1,0))</formula>
    </cfRule>
  </conditionalFormatting>
  <conditionalFormatting sqref="Z29:AB29 Z114:AB114">
    <cfRule type="expression" dxfId="3615" priority="162" stopIfTrue="1">
      <formula>IF($AK8&lt;9,1,IF($AK7&lt;5,1,0))</formula>
    </cfRule>
  </conditionalFormatting>
  <conditionalFormatting sqref="AC29:AE29 AC114:AE114">
    <cfRule type="expression" dxfId="3614" priority="163" stopIfTrue="1">
      <formula>IF($AK8&lt;10,1,IF($AK7&lt;5,1,0))</formula>
    </cfRule>
  </conditionalFormatting>
  <conditionalFormatting sqref="R14:AB15 AF14:AF15 L14:P15 R99:AB100 AF99:AF100 L99:P100 AG14 AG99">
    <cfRule type="expression" dxfId="3613" priority="164" stopIfTrue="1">
      <formula>IF($AK9&gt;3,0,1)</formula>
    </cfRule>
  </conditionalFormatting>
  <conditionalFormatting sqref="R16:AB17 AF16:AF17 L16:P17 R101:AB102 AF101:AF102 L101:P102 AG16 AG101">
    <cfRule type="expression" dxfId="3612" priority="165" stopIfTrue="1">
      <formula>IF($AK9&gt;4,0,1)</formula>
    </cfRule>
  </conditionalFormatting>
  <conditionalFormatting sqref="R8:AB9 AF8:AF9 L8:P9 R93:AB94 AF93:AF94 L93:P94 AG8 AG93">
    <cfRule type="expression" dxfId="3611" priority="166" stopIfTrue="1">
      <formula>IF($AK9&gt;0,0,1)</formula>
    </cfRule>
  </conditionalFormatting>
  <conditionalFormatting sqref="R10:AB11 AF10:AF11 L10:P11 R95:AB96 AF95:AF96 L95:P96 AG10 AG95">
    <cfRule type="expression" dxfId="3610" priority="167" stopIfTrue="1">
      <formula>IF($AK9&gt;1,0,1)</formula>
    </cfRule>
  </conditionalFormatting>
  <conditionalFormatting sqref="R12:AB13 AF12:AF13 L12:P13 R97:AB98 AF97:AF98 L97:P98 AG12 AG97">
    <cfRule type="expression" dxfId="3609" priority="168" stopIfTrue="1">
      <formula>IF($AK9&gt;2,0,1)</formula>
    </cfRule>
  </conditionalFormatting>
  <conditionalFormatting sqref="E24 E109">
    <cfRule type="expression" dxfId="3608" priority="169" stopIfTrue="1">
      <formula>IF(AK8&gt;1,0,1)</formula>
    </cfRule>
  </conditionalFormatting>
  <conditionalFormatting sqref="H24 H109">
    <cfRule type="expression" dxfId="3607" priority="170" stopIfTrue="1">
      <formula>IF(AK8&gt;2,0,1)</formula>
    </cfRule>
  </conditionalFormatting>
  <conditionalFormatting sqref="K24 K109">
    <cfRule type="expression" dxfId="3606" priority="171" stopIfTrue="1">
      <formula>IF(AK8&gt;3,0,1)</formula>
    </cfRule>
  </conditionalFormatting>
  <conditionalFormatting sqref="N24 N109">
    <cfRule type="expression" dxfId="3605" priority="172" stopIfTrue="1">
      <formula>IF(AK8&gt;4,0,1)</formula>
    </cfRule>
  </conditionalFormatting>
  <conditionalFormatting sqref="Q24 Q109">
    <cfRule type="expression" dxfId="3604" priority="173" stopIfTrue="1">
      <formula>IF(AK8&gt;5,0,1)</formula>
    </cfRule>
  </conditionalFormatting>
  <conditionalFormatting sqref="T24 T109">
    <cfRule type="expression" dxfId="3603" priority="174" stopIfTrue="1">
      <formula>IF(AK8&gt;6,0,1)</formula>
    </cfRule>
  </conditionalFormatting>
  <conditionalFormatting sqref="W24 W109">
    <cfRule type="expression" dxfId="3602" priority="175" stopIfTrue="1">
      <formula>IF(AK8&gt;7,0,1)</formula>
    </cfRule>
  </conditionalFormatting>
  <conditionalFormatting sqref="Z24 Z109">
    <cfRule type="expression" dxfId="3601" priority="176" stopIfTrue="1">
      <formula>IF(AK8&gt;8,0,1)</formula>
    </cfRule>
  </conditionalFormatting>
  <conditionalFormatting sqref="AC24 AC109">
    <cfRule type="expression" dxfId="3600" priority="177" stopIfTrue="1">
      <formula>IF(AK8&gt;9,0,1)</formula>
    </cfRule>
  </conditionalFormatting>
  <conditionalFormatting sqref="AQ27 AQ112">
    <cfRule type="expression" dxfId="3599" priority="178" stopIfTrue="1">
      <formula>IF($AK9&gt;3,0,1)</formula>
    </cfRule>
  </conditionalFormatting>
  <conditionalFormatting sqref="E25:G25 E110:G110">
    <cfRule type="expression" dxfId="3598" priority="179" stopIfTrue="1">
      <formula>IF($AK8&gt;1,0,1)</formula>
    </cfRule>
  </conditionalFormatting>
  <conditionalFormatting sqref="B21:D21 B106:D106">
    <cfRule type="expression" dxfId="3597" priority="180" stopIfTrue="1">
      <formula>IF(AK8&gt;0,0,1)</formula>
    </cfRule>
  </conditionalFormatting>
  <conditionalFormatting sqref="E21:G21 E106:G106">
    <cfRule type="expression" dxfId="3596" priority="181" stopIfTrue="1">
      <formula>IF(AK8&gt;1,0,1)</formula>
    </cfRule>
  </conditionalFormatting>
  <conditionalFormatting sqref="H21:J21 H106:J106">
    <cfRule type="expression" dxfId="3595" priority="182" stopIfTrue="1">
      <formula>IF(AK8&gt;2,0,1)</formula>
    </cfRule>
  </conditionalFormatting>
  <conditionalFormatting sqref="K21:M21 K106:M106">
    <cfRule type="expression" dxfId="3594" priority="183" stopIfTrue="1">
      <formula>IF(AK8&gt;3,0,1)</formula>
    </cfRule>
  </conditionalFormatting>
  <conditionalFormatting sqref="N21:P21 N106:P106">
    <cfRule type="expression" dxfId="3593" priority="184" stopIfTrue="1">
      <formula>IF(AK8&gt;4,0,1)</formula>
    </cfRule>
  </conditionalFormatting>
  <conditionalFormatting sqref="Q21:S21 Q106:S106">
    <cfRule type="expression" dxfId="3592" priority="185" stopIfTrue="1">
      <formula>IF(AK8&gt;5,0,1)</formula>
    </cfRule>
  </conditionalFormatting>
  <conditionalFormatting sqref="T21:V21 T106:V106">
    <cfRule type="expression" dxfId="3591" priority="186" stopIfTrue="1">
      <formula>IF(AK8&gt;6,0,1)</formula>
    </cfRule>
  </conditionalFormatting>
  <conditionalFormatting sqref="W21:Y21 W106:Y106">
    <cfRule type="expression" dxfId="3590" priority="187" stopIfTrue="1">
      <formula>IF(AK8&gt;7,0,1)</formula>
    </cfRule>
  </conditionalFormatting>
  <conditionalFormatting sqref="Z21:AB21 Z106:AB106">
    <cfRule type="expression" dxfId="3589" priority="188" stopIfTrue="1">
      <formula>IF(AK8&gt;8,0,1)</formula>
    </cfRule>
  </conditionalFormatting>
  <conditionalFormatting sqref="AC21:AE21 AC106:AE106">
    <cfRule type="expression" dxfId="3588" priority="189" stopIfTrue="1">
      <formula>IF(AK8&gt;9,0,1)</formula>
    </cfRule>
  </conditionalFormatting>
  <conditionalFormatting sqref="X224:X225 W215:W216 X215:Y215 W218:Y223 Z219:AE222 AA223:AA225 F223:F225 B215:B216 C215:D215 B218:D223 C224:C225 I223:I225 E219:J222 AD223:AD225">
    <cfRule type="expression" dxfId="3587" priority="190" stopIfTrue="1">
      <formula>IF(#REF!&gt;0,0,1)</formula>
    </cfRule>
  </conditionalFormatting>
  <conditionalFormatting sqref="AA215:AB215 AB223 AA218:AB218 Z223 Z215:Z218 G223 F218:G218 E223 E215:E218 F215:G215">
    <cfRule type="expression" dxfId="3586" priority="191" stopIfTrue="1">
      <formula>IF(#REF!&gt;1,0,1)</formula>
    </cfRule>
  </conditionalFormatting>
  <conditionalFormatting sqref="AC215:AC218 AD215:AE215 AE223 AD218:AE218 AC223 H223 H215:H218 I215:J215 I218:J218 J223">
    <cfRule type="expression" dxfId="3585" priority="192" stopIfTrue="1">
      <formula>IF(#REF!&gt;2,0,1)</formula>
    </cfRule>
  </conditionalFormatting>
  <conditionalFormatting sqref="W224 Y224 B224 D224">
    <cfRule type="expression" dxfId="3584" priority="193" stopIfTrue="1">
      <formula>IF(#REF!&lt;1,1,IF(#REF!&lt;2,1,0))</formula>
    </cfRule>
  </conditionalFormatting>
  <conditionalFormatting sqref="Z224 AB224 E224 G224">
    <cfRule type="expression" dxfId="3583" priority="194" stopIfTrue="1">
      <formula>IF(#REF!&lt;2,1,IF(#REF!&lt;2,1,0))</formula>
    </cfRule>
  </conditionalFormatting>
  <conditionalFormatting sqref="AC224 AE224 H224 J224">
    <cfRule type="expression" dxfId="3582" priority="195" stopIfTrue="1">
      <formula>IF(#REF!&lt;3,1,IF(#REF!&lt;2,1,0))</formula>
    </cfRule>
  </conditionalFormatting>
  <conditionalFormatting sqref="Y225 B225 D225 W225">
    <cfRule type="expression" dxfId="3581" priority="196" stopIfTrue="1">
      <formula>IF(#REF!&lt;1,1,IF(#REF!&lt;3,1,0))</formula>
    </cfRule>
  </conditionalFormatting>
  <conditionalFormatting sqref="AB225 E225 G225 Z225">
    <cfRule type="expression" dxfId="3580" priority="197" stopIfTrue="1">
      <formula>IF(#REF!&lt;2,1,IF(#REF!&lt;3,1,0))</formula>
    </cfRule>
  </conditionalFormatting>
  <conditionalFormatting sqref="AE225 H225 J225 AC225">
    <cfRule type="expression" dxfId="3579" priority="198" stopIfTrue="1">
      <formula>IF(#REF!&lt;3,1,IF(#REF!&lt;3,1,0))</formula>
    </cfRule>
  </conditionalFormatting>
  <conditionalFormatting sqref="AG24:AP28 AG109:AP113">
    <cfRule type="cellIs" dxfId="3578" priority="199" stopIfTrue="1" operator="notBetween">
      <formula>-9999</formula>
      <formula>9999</formula>
    </cfRule>
  </conditionalFormatting>
  <conditionalFormatting sqref="AC7 AC92">
    <cfRule type="expression" dxfId="3577" priority="200" stopIfTrue="1">
      <formula>IF($AK$11=0,1,0)</formula>
    </cfRule>
  </conditionalFormatting>
  <conditionalFormatting sqref="B18 B103">
    <cfRule type="expression" dxfId="3576" priority="201" stopIfTrue="1">
      <formula>IF($AK$9&gt;0,0,1)</formula>
    </cfRule>
  </conditionalFormatting>
  <conditionalFormatting sqref="B22:D23 B107:D108">
    <cfRule type="cellIs" dxfId="3575" priority="202" stopIfTrue="1" operator="equal">
      <formula>99</formula>
    </cfRule>
  </conditionalFormatting>
  <conditionalFormatting sqref="X226 AA226 C226 F226">
    <cfRule type="expression" dxfId="3574" priority="203" stopIfTrue="1">
      <formula>IF(#REF!&gt;0,0,1)</formula>
    </cfRule>
  </conditionalFormatting>
  <conditionalFormatting sqref="K215">
    <cfRule type="expression" dxfId="3573" priority="3" stopIfTrue="1">
      <formula>IF(#REF!&gt;2,0,1)</formula>
    </cfRule>
  </conditionalFormatting>
  <conditionalFormatting sqref="K215">
    <cfRule type="expression" dxfId="3572" priority="2" stopIfTrue="1">
      <formula>IF(ISNUMBER(K223),0,1)</formula>
    </cfRule>
  </conditionalFormatting>
  <conditionalFormatting sqref="AF215">
    <cfRule type="expression" dxfId="3571" priority="1" stopIfTrue="1">
      <formula>IF(ISNUMBER(AF223),0,1)</formula>
    </cfRule>
  </conditionalFormatting>
  <pageMargins left="0.25" right="0.25" top="0.25" bottom="0.25" header="0" footer="0"/>
  <pageSetup scale="78" fitToHeight="4" orientation="landscape" r:id="rId1"/>
  <headerFooter alignWithMargins="0"/>
  <rowBreaks count="2" manualBreakCount="2">
    <brk id="90" max="43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2049" r:id="rId4" name="Pool1RecalcFinish">
          <controlPr defaultSize="0" autoLine="0" r:id="rId5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2049" r:id="rId4" name="Pool1RecalcFinish"/>
      </mc:Fallback>
    </mc:AlternateContent>
    <mc:AlternateContent xmlns:mc="http://schemas.openxmlformats.org/markup-compatibility/2006">
      <mc:Choice Requires="x14">
        <control shapeId="2050" r:id="rId6" name="Pool2RecalcFinish">
          <controlPr defaultSize="0" autoLine="0" r:id="rId7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2050" r:id="rId6" name="Pool2RecalcFinish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indexed="11"/>
  </sheetPr>
  <dimension ref="A1:BY430"/>
  <sheetViews>
    <sheetView topLeftCell="K1" zoomScale="70" zoomScaleNormal="70" workbookViewId="0">
      <selection activeCell="AU17" sqref="AU17:AV19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6" width="13.42578125" style="4" customWidth="1"/>
    <col min="47" max="47" width="24.42578125" style="4" customWidth="1"/>
    <col min="48" max="48" width="16.28515625" style="4" customWidth="1"/>
    <col min="49" max="49" width="14.28515625" style="4" customWidth="1"/>
    <col min="50" max="51" width="10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1" width="8.85546875" style="4"/>
    <col min="302" max="302" width="13.42578125" style="4" customWidth="1"/>
    <col min="303" max="303" width="24.42578125" style="4" customWidth="1"/>
    <col min="304" max="304" width="16.28515625" style="4" customWidth="1"/>
    <col min="305" max="305" width="14.28515625" style="4" customWidth="1"/>
    <col min="306" max="307" width="10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7" width="8.85546875" style="4"/>
    <col min="558" max="558" width="13.42578125" style="4" customWidth="1"/>
    <col min="559" max="559" width="24.42578125" style="4" customWidth="1"/>
    <col min="560" max="560" width="16.28515625" style="4" customWidth="1"/>
    <col min="561" max="561" width="14.28515625" style="4" customWidth="1"/>
    <col min="562" max="563" width="10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3" width="8.85546875" style="4"/>
    <col min="814" max="814" width="13.42578125" style="4" customWidth="1"/>
    <col min="815" max="815" width="24.42578125" style="4" customWidth="1"/>
    <col min="816" max="816" width="16.28515625" style="4" customWidth="1"/>
    <col min="817" max="817" width="14.28515625" style="4" customWidth="1"/>
    <col min="818" max="819" width="10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69" width="8.85546875" style="4"/>
    <col min="1070" max="1070" width="13.42578125" style="4" customWidth="1"/>
    <col min="1071" max="1071" width="24.42578125" style="4" customWidth="1"/>
    <col min="1072" max="1072" width="16.28515625" style="4" customWidth="1"/>
    <col min="1073" max="1073" width="14.28515625" style="4" customWidth="1"/>
    <col min="1074" max="1075" width="10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5" width="8.85546875" style="4"/>
    <col min="1326" max="1326" width="13.42578125" style="4" customWidth="1"/>
    <col min="1327" max="1327" width="24.42578125" style="4" customWidth="1"/>
    <col min="1328" max="1328" width="16.28515625" style="4" customWidth="1"/>
    <col min="1329" max="1329" width="14.28515625" style="4" customWidth="1"/>
    <col min="1330" max="1331" width="10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1" width="8.85546875" style="4"/>
    <col min="1582" max="1582" width="13.42578125" style="4" customWidth="1"/>
    <col min="1583" max="1583" width="24.42578125" style="4" customWidth="1"/>
    <col min="1584" max="1584" width="16.28515625" style="4" customWidth="1"/>
    <col min="1585" max="1585" width="14.28515625" style="4" customWidth="1"/>
    <col min="1586" max="1587" width="10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7" width="8.85546875" style="4"/>
    <col min="1838" max="1838" width="13.42578125" style="4" customWidth="1"/>
    <col min="1839" max="1839" width="24.42578125" style="4" customWidth="1"/>
    <col min="1840" max="1840" width="16.28515625" style="4" customWidth="1"/>
    <col min="1841" max="1841" width="14.28515625" style="4" customWidth="1"/>
    <col min="1842" max="1843" width="10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3" width="8.85546875" style="4"/>
    <col min="2094" max="2094" width="13.42578125" style="4" customWidth="1"/>
    <col min="2095" max="2095" width="24.42578125" style="4" customWidth="1"/>
    <col min="2096" max="2096" width="16.28515625" style="4" customWidth="1"/>
    <col min="2097" max="2097" width="14.28515625" style="4" customWidth="1"/>
    <col min="2098" max="2099" width="10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49" width="8.85546875" style="4"/>
    <col min="2350" max="2350" width="13.42578125" style="4" customWidth="1"/>
    <col min="2351" max="2351" width="24.42578125" style="4" customWidth="1"/>
    <col min="2352" max="2352" width="16.28515625" style="4" customWidth="1"/>
    <col min="2353" max="2353" width="14.28515625" style="4" customWidth="1"/>
    <col min="2354" max="2355" width="10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5" width="8.85546875" style="4"/>
    <col min="2606" max="2606" width="13.42578125" style="4" customWidth="1"/>
    <col min="2607" max="2607" width="24.42578125" style="4" customWidth="1"/>
    <col min="2608" max="2608" width="16.28515625" style="4" customWidth="1"/>
    <col min="2609" max="2609" width="14.28515625" style="4" customWidth="1"/>
    <col min="2610" max="2611" width="10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1" width="8.85546875" style="4"/>
    <col min="2862" max="2862" width="13.42578125" style="4" customWidth="1"/>
    <col min="2863" max="2863" width="24.42578125" style="4" customWidth="1"/>
    <col min="2864" max="2864" width="16.28515625" style="4" customWidth="1"/>
    <col min="2865" max="2865" width="14.28515625" style="4" customWidth="1"/>
    <col min="2866" max="2867" width="10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7" width="8.85546875" style="4"/>
    <col min="3118" max="3118" width="13.42578125" style="4" customWidth="1"/>
    <col min="3119" max="3119" width="24.42578125" style="4" customWidth="1"/>
    <col min="3120" max="3120" width="16.28515625" style="4" customWidth="1"/>
    <col min="3121" max="3121" width="14.28515625" style="4" customWidth="1"/>
    <col min="3122" max="3123" width="10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3" width="8.85546875" style="4"/>
    <col min="3374" max="3374" width="13.42578125" style="4" customWidth="1"/>
    <col min="3375" max="3375" width="24.42578125" style="4" customWidth="1"/>
    <col min="3376" max="3376" width="16.28515625" style="4" customWidth="1"/>
    <col min="3377" max="3377" width="14.28515625" style="4" customWidth="1"/>
    <col min="3378" max="3379" width="10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29" width="8.85546875" style="4"/>
    <col min="3630" max="3630" width="13.42578125" style="4" customWidth="1"/>
    <col min="3631" max="3631" width="24.42578125" style="4" customWidth="1"/>
    <col min="3632" max="3632" width="16.28515625" style="4" customWidth="1"/>
    <col min="3633" max="3633" width="14.28515625" style="4" customWidth="1"/>
    <col min="3634" max="3635" width="10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5" width="8.85546875" style="4"/>
    <col min="3886" max="3886" width="13.42578125" style="4" customWidth="1"/>
    <col min="3887" max="3887" width="24.42578125" style="4" customWidth="1"/>
    <col min="3888" max="3888" width="16.28515625" style="4" customWidth="1"/>
    <col min="3889" max="3889" width="14.28515625" style="4" customWidth="1"/>
    <col min="3890" max="3891" width="10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1" width="8.85546875" style="4"/>
    <col min="4142" max="4142" width="13.42578125" style="4" customWidth="1"/>
    <col min="4143" max="4143" width="24.42578125" style="4" customWidth="1"/>
    <col min="4144" max="4144" width="16.28515625" style="4" customWidth="1"/>
    <col min="4145" max="4145" width="14.28515625" style="4" customWidth="1"/>
    <col min="4146" max="4147" width="10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7" width="8.85546875" style="4"/>
    <col min="4398" max="4398" width="13.42578125" style="4" customWidth="1"/>
    <col min="4399" max="4399" width="24.42578125" style="4" customWidth="1"/>
    <col min="4400" max="4400" width="16.28515625" style="4" customWidth="1"/>
    <col min="4401" max="4401" width="14.28515625" style="4" customWidth="1"/>
    <col min="4402" max="4403" width="10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3" width="8.85546875" style="4"/>
    <col min="4654" max="4654" width="13.42578125" style="4" customWidth="1"/>
    <col min="4655" max="4655" width="24.42578125" style="4" customWidth="1"/>
    <col min="4656" max="4656" width="16.28515625" style="4" customWidth="1"/>
    <col min="4657" max="4657" width="14.28515625" style="4" customWidth="1"/>
    <col min="4658" max="4659" width="10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09" width="8.85546875" style="4"/>
    <col min="4910" max="4910" width="13.42578125" style="4" customWidth="1"/>
    <col min="4911" max="4911" width="24.42578125" style="4" customWidth="1"/>
    <col min="4912" max="4912" width="16.28515625" style="4" customWidth="1"/>
    <col min="4913" max="4913" width="14.28515625" style="4" customWidth="1"/>
    <col min="4914" max="4915" width="10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5" width="8.85546875" style="4"/>
    <col min="5166" max="5166" width="13.42578125" style="4" customWidth="1"/>
    <col min="5167" max="5167" width="24.42578125" style="4" customWidth="1"/>
    <col min="5168" max="5168" width="16.28515625" style="4" customWidth="1"/>
    <col min="5169" max="5169" width="14.28515625" style="4" customWidth="1"/>
    <col min="5170" max="5171" width="10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1" width="8.85546875" style="4"/>
    <col min="5422" max="5422" width="13.42578125" style="4" customWidth="1"/>
    <col min="5423" max="5423" width="24.42578125" style="4" customWidth="1"/>
    <col min="5424" max="5424" width="16.28515625" style="4" customWidth="1"/>
    <col min="5425" max="5425" width="14.28515625" style="4" customWidth="1"/>
    <col min="5426" max="5427" width="10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7" width="8.85546875" style="4"/>
    <col min="5678" max="5678" width="13.42578125" style="4" customWidth="1"/>
    <col min="5679" max="5679" width="24.42578125" style="4" customWidth="1"/>
    <col min="5680" max="5680" width="16.28515625" style="4" customWidth="1"/>
    <col min="5681" max="5681" width="14.28515625" style="4" customWidth="1"/>
    <col min="5682" max="5683" width="10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3" width="8.85546875" style="4"/>
    <col min="5934" max="5934" width="13.42578125" style="4" customWidth="1"/>
    <col min="5935" max="5935" width="24.42578125" style="4" customWidth="1"/>
    <col min="5936" max="5936" width="16.28515625" style="4" customWidth="1"/>
    <col min="5937" max="5937" width="14.28515625" style="4" customWidth="1"/>
    <col min="5938" max="5939" width="10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89" width="8.85546875" style="4"/>
    <col min="6190" max="6190" width="13.42578125" style="4" customWidth="1"/>
    <col min="6191" max="6191" width="24.42578125" style="4" customWidth="1"/>
    <col min="6192" max="6192" width="16.28515625" style="4" customWidth="1"/>
    <col min="6193" max="6193" width="14.28515625" style="4" customWidth="1"/>
    <col min="6194" max="6195" width="10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5" width="8.85546875" style="4"/>
    <col min="6446" max="6446" width="13.42578125" style="4" customWidth="1"/>
    <col min="6447" max="6447" width="24.42578125" style="4" customWidth="1"/>
    <col min="6448" max="6448" width="16.28515625" style="4" customWidth="1"/>
    <col min="6449" max="6449" width="14.28515625" style="4" customWidth="1"/>
    <col min="6450" max="6451" width="10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1" width="8.85546875" style="4"/>
    <col min="6702" max="6702" width="13.42578125" style="4" customWidth="1"/>
    <col min="6703" max="6703" width="24.42578125" style="4" customWidth="1"/>
    <col min="6704" max="6704" width="16.28515625" style="4" customWidth="1"/>
    <col min="6705" max="6705" width="14.28515625" style="4" customWidth="1"/>
    <col min="6706" max="6707" width="10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7" width="8.85546875" style="4"/>
    <col min="6958" max="6958" width="13.42578125" style="4" customWidth="1"/>
    <col min="6959" max="6959" width="24.42578125" style="4" customWidth="1"/>
    <col min="6960" max="6960" width="16.28515625" style="4" customWidth="1"/>
    <col min="6961" max="6961" width="14.28515625" style="4" customWidth="1"/>
    <col min="6962" max="6963" width="10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3" width="8.85546875" style="4"/>
    <col min="7214" max="7214" width="13.42578125" style="4" customWidth="1"/>
    <col min="7215" max="7215" width="24.42578125" style="4" customWidth="1"/>
    <col min="7216" max="7216" width="16.28515625" style="4" customWidth="1"/>
    <col min="7217" max="7217" width="14.28515625" style="4" customWidth="1"/>
    <col min="7218" max="7219" width="10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69" width="8.85546875" style="4"/>
    <col min="7470" max="7470" width="13.42578125" style="4" customWidth="1"/>
    <col min="7471" max="7471" width="24.42578125" style="4" customWidth="1"/>
    <col min="7472" max="7472" width="16.28515625" style="4" customWidth="1"/>
    <col min="7473" max="7473" width="14.28515625" style="4" customWidth="1"/>
    <col min="7474" max="7475" width="10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5" width="8.85546875" style="4"/>
    <col min="7726" max="7726" width="13.42578125" style="4" customWidth="1"/>
    <col min="7727" max="7727" width="24.42578125" style="4" customWidth="1"/>
    <col min="7728" max="7728" width="16.28515625" style="4" customWidth="1"/>
    <col min="7729" max="7729" width="14.28515625" style="4" customWidth="1"/>
    <col min="7730" max="7731" width="10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1" width="8.85546875" style="4"/>
    <col min="7982" max="7982" width="13.42578125" style="4" customWidth="1"/>
    <col min="7983" max="7983" width="24.42578125" style="4" customWidth="1"/>
    <col min="7984" max="7984" width="16.28515625" style="4" customWidth="1"/>
    <col min="7985" max="7985" width="14.28515625" style="4" customWidth="1"/>
    <col min="7986" max="7987" width="10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7" width="8.85546875" style="4"/>
    <col min="8238" max="8238" width="13.42578125" style="4" customWidth="1"/>
    <col min="8239" max="8239" width="24.42578125" style="4" customWidth="1"/>
    <col min="8240" max="8240" width="16.28515625" style="4" customWidth="1"/>
    <col min="8241" max="8241" width="14.28515625" style="4" customWidth="1"/>
    <col min="8242" max="8243" width="10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3" width="8.85546875" style="4"/>
    <col min="8494" max="8494" width="13.42578125" style="4" customWidth="1"/>
    <col min="8495" max="8495" width="24.42578125" style="4" customWidth="1"/>
    <col min="8496" max="8496" width="16.28515625" style="4" customWidth="1"/>
    <col min="8497" max="8497" width="14.28515625" style="4" customWidth="1"/>
    <col min="8498" max="8499" width="10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49" width="8.85546875" style="4"/>
    <col min="8750" max="8750" width="13.42578125" style="4" customWidth="1"/>
    <col min="8751" max="8751" width="24.42578125" style="4" customWidth="1"/>
    <col min="8752" max="8752" width="16.28515625" style="4" customWidth="1"/>
    <col min="8753" max="8753" width="14.28515625" style="4" customWidth="1"/>
    <col min="8754" max="8755" width="10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5" width="8.85546875" style="4"/>
    <col min="9006" max="9006" width="13.42578125" style="4" customWidth="1"/>
    <col min="9007" max="9007" width="24.42578125" style="4" customWidth="1"/>
    <col min="9008" max="9008" width="16.28515625" style="4" customWidth="1"/>
    <col min="9009" max="9009" width="14.28515625" style="4" customWidth="1"/>
    <col min="9010" max="9011" width="10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1" width="8.85546875" style="4"/>
    <col min="9262" max="9262" width="13.42578125" style="4" customWidth="1"/>
    <col min="9263" max="9263" width="24.42578125" style="4" customWidth="1"/>
    <col min="9264" max="9264" width="16.28515625" style="4" customWidth="1"/>
    <col min="9265" max="9265" width="14.28515625" style="4" customWidth="1"/>
    <col min="9266" max="9267" width="10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7" width="8.85546875" style="4"/>
    <col min="9518" max="9518" width="13.42578125" style="4" customWidth="1"/>
    <col min="9519" max="9519" width="24.42578125" style="4" customWidth="1"/>
    <col min="9520" max="9520" width="16.28515625" style="4" customWidth="1"/>
    <col min="9521" max="9521" width="14.28515625" style="4" customWidth="1"/>
    <col min="9522" max="9523" width="10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3" width="8.85546875" style="4"/>
    <col min="9774" max="9774" width="13.42578125" style="4" customWidth="1"/>
    <col min="9775" max="9775" width="24.42578125" style="4" customWidth="1"/>
    <col min="9776" max="9776" width="16.28515625" style="4" customWidth="1"/>
    <col min="9777" max="9777" width="14.28515625" style="4" customWidth="1"/>
    <col min="9778" max="9779" width="10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29" width="8.85546875" style="4"/>
    <col min="10030" max="10030" width="13.42578125" style="4" customWidth="1"/>
    <col min="10031" max="10031" width="24.42578125" style="4" customWidth="1"/>
    <col min="10032" max="10032" width="16.28515625" style="4" customWidth="1"/>
    <col min="10033" max="10033" width="14.28515625" style="4" customWidth="1"/>
    <col min="10034" max="10035" width="10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5" width="8.85546875" style="4"/>
    <col min="10286" max="10286" width="13.42578125" style="4" customWidth="1"/>
    <col min="10287" max="10287" width="24.42578125" style="4" customWidth="1"/>
    <col min="10288" max="10288" width="16.28515625" style="4" customWidth="1"/>
    <col min="10289" max="10289" width="14.28515625" style="4" customWidth="1"/>
    <col min="10290" max="10291" width="10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1" width="8.85546875" style="4"/>
    <col min="10542" max="10542" width="13.42578125" style="4" customWidth="1"/>
    <col min="10543" max="10543" width="24.42578125" style="4" customWidth="1"/>
    <col min="10544" max="10544" width="16.28515625" style="4" customWidth="1"/>
    <col min="10545" max="10545" width="14.28515625" style="4" customWidth="1"/>
    <col min="10546" max="10547" width="10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7" width="8.85546875" style="4"/>
    <col min="10798" max="10798" width="13.42578125" style="4" customWidth="1"/>
    <col min="10799" max="10799" width="24.42578125" style="4" customWidth="1"/>
    <col min="10800" max="10800" width="16.28515625" style="4" customWidth="1"/>
    <col min="10801" max="10801" width="14.28515625" style="4" customWidth="1"/>
    <col min="10802" max="10803" width="10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3" width="8.85546875" style="4"/>
    <col min="11054" max="11054" width="13.42578125" style="4" customWidth="1"/>
    <col min="11055" max="11055" width="24.42578125" style="4" customWidth="1"/>
    <col min="11056" max="11056" width="16.28515625" style="4" customWidth="1"/>
    <col min="11057" max="11057" width="14.28515625" style="4" customWidth="1"/>
    <col min="11058" max="11059" width="10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09" width="8.85546875" style="4"/>
    <col min="11310" max="11310" width="13.42578125" style="4" customWidth="1"/>
    <col min="11311" max="11311" width="24.42578125" style="4" customWidth="1"/>
    <col min="11312" max="11312" width="16.28515625" style="4" customWidth="1"/>
    <col min="11313" max="11313" width="14.28515625" style="4" customWidth="1"/>
    <col min="11314" max="11315" width="10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5" width="8.85546875" style="4"/>
    <col min="11566" max="11566" width="13.42578125" style="4" customWidth="1"/>
    <col min="11567" max="11567" width="24.42578125" style="4" customWidth="1"/>
    <col min="11568" max="11568" width="16.28515625" style="4" customWidth="1"/>
    <col min="11569" max="11569" width="14.28515625" style="4" customWidth="1"/>
    <col min="11570" max="11571" width="10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1" width="8.85546875" style="4"/>
    <col min="11822" max="11822" width="13.42578125" style="4" customWidth="1"/>
    <col min="11823" max="11823" width="24.42578125" style="4" customWidth="1"/>
    <col min="11824" max="11824" width="16.28515625" style="4" customWidth="1"/>
    <col min="11825" max="11825" width="14.28515625" style="4" customWidth="1"/>
    <col min="11826" max="11827" width="10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7" width="8.85546875" style="4"/>
    <col min="12078" max="12078" width="13.42578125" style="4" customWidth="1"/>
    <col min="12079" max="12079" width="24.42578125" style="4" customWidth="1"/>
    <col min="12080" max="12080" width="16.28515625" style="4" customWidth="1"/>
    <col min="12081" max="12081" width="14.28515625" style="4" customWidth="1"/>
    <col min="12082" max="12083" width="10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3" width="8.85546875" style="4"/>
    <col min="12334" max="12334" width="13.42578125" style="4" customWidth="1"/>
    <col min="12335" max="12335" width="24.42578125" style="4" customWidth="1"/>
    <col min="12336" max="12336" width="16.28515625" style="4" customWidth="1"/>
    <col min="12337" max="12337" width="14.28515625" style="4" customWidth="1"/>
    <col min="12338" max="12339" width="10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89" width="8.85546875" style="4"/>
    <col min="12590" max="12590" width="13.42578125" style="4" customWidth="1"/>
    <col min="12591" max="12591" width="24.42578125" style="4" customWidth="1"/>
    <col min="12592" max="12592" width="16.28515625" style="4" customWidth="1"/>
    <col min="12593" max="12593" width="14.28515625" style="4" customWidth="1"/>
    <col min="12594" max="12595" width="10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5" width="8.85546875" style="4"/>
    <col min="12846" max="12846" width="13.42578125" style="4" customWidth="1"/>
    <col min="12847" max="12847" width="24.42578125" style="4" customWidth="1"/>
    <col min="12848" max="12848" width="16.28515625" style="4" customWidth="1"/>
    <col min="12849" max="12849" width="14.28515625" style="4" customWidth="1"/>
    <col min="12850" max="12851" width="10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1" width="8.85546875" style="4"/>
    <col min="13102" max="13102" width="13.42578125" style="4" customWidth="1"/>
    <col min="13103" max="13103" width="24.42578125" style="4" customWidth="1"/>
    <col min="13104" max="13104" width="16.28515625" style="4" customWidth="1"/>
    <col min="13105" max="13105" width="14.28515625" style="4" customWidth="1"/>
    <col min="13106" max="13107" width="10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7" width="8.85546875" style="4"/>
    <col min="13358" max="13358" width="13.42578125" style="4" customWidth="1"/>
    <col min="13359" max="13359" width="24.42578125" style="4" customWidth="1"/>
    <col min="13360" max="13360" width="16.28515625" style="4" customWidth="1"/>
    <col min="13361" max="13361" width="14.28515625" style="4" customWidth="1"/>
    <col min="13362" max="13363" width="10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3" width="8.85546875" style="4"/>
    <col min="13614" max="13614" width="13.42578125" style="4" customWidth="1"/>
    <col min="13615" max="13615" width="24.42578125" style="4" customWidth="1"/>
    <col min="13616" max="13616" width="16.28515625" style="4" customWidth="1"/>
    <col min="13617" max="13617" width="14.28515625" style="4" customWidth="1"/>
    <col min="13618" max="13619" width="10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69" width="8.85546875" style="4"/>
    <col min="13870" max="13870" width="13.42578125" style="4" customWidth="1"/>
    <col min="13871" max="13871" width="24.42578125" style="4" customWidth="1"/>
    <col min="13872" max="13872" width="16.28515625" style="4" customWidth="1"/>
    <col min="13873" max="13873" width="14.28515625" style="4" customWidth="1"/>
    <col min="13874" max="13875" width="10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5" width="8.85546875" style="4"/>
    <col min="14126" max="14126" width="13.42578125" style="4" customWidth="1"/>
    <col min="14127" max="14127" width="24.42578125" style="4" customWidth="1"/>
    <col min="14128" max="14128" width="16.28515625" style="4" customWidth="1"/>
    <col min="14129" max="14129" width="14.28515625" style="4" customWidth="1"/>
    <col min="14130" max="14131" width="10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1" width="8.85546875" style="4"/>
    <col min="14382" max="14382" width="13.42578125" style="4" customWidth="1"/>
    <col min="14383" max="14383" width="24.42578125" style="4" customWidth="1"/>
    <col min="14384" max="14384" width="16.28515625" style="4" customWidth="1"/>
    <col min="14385" max="14385" width="14.28515625" style="4" customWidth="1"/>
    <col min="14386" max="14387" width="10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7" width="8.85546875" style="4"/>
    <col min="14638" max="14638" width="13.42578125" style="4" customWidth="1"/>
    <col min="14639" max="14639" width="24.42578125" style="4" customWidth="1"/>
    <col min="14640" max="14640" width="16.28515625" style="4" customWidth="1"/>
    <col min="14641" max="14641" width="14.28515625" style="4" customWidth="1"/>
    <col min="14642" max="14643" width="10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3" width="8.85546875" style="4"/>
    <col min="14894" max="14894" width="13.42578125" style="4" customWidth="1"/>
    <col min="14895" max="14895" width="24.42578125" style="4" customWidth="1"/>
    <col min="14896" max="14896" width="16.28515625" style="4" customWidth="1"/>
    <col min="14897" max="14897" width="14.28515625" style="4" customWidth="1"/>
    <col min="14898" max="14899" width="10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49" width="8.85546875" style="4"/>
    <col min="15150" max="15150" width="13.42578125" style="4" customWidth="1"/>
    <col min="15151" max="15151" width="24.42578125" style="4" customWidth="1"/>
    <col min="15152" max="15152" width="16.28515625" style="4" customWidth="1"/>
    <col min="15153" max="15153" width="14.28515625" style="4" customWidth="1"/>
    <col min="15154" max="15155" width="10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5" width="8.85546875" style="4"/>
    <col min="15406" max="15406" width="13.42578125" style="4" customWidth="1"/>
    <col min="15407" max="15407" width="24.42578125" style="4" customWidth="1"/>
    <col min="15408" max="15408" width="16.28515625" style="4" customWidth="1"/>
    <col min="15409" max="15409" width="14.28515625" style="4" customWidth="1"/>
    <col min="15410" max="15411" width="10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1" width="8.85546875" style="4"/>
    <col min="15662" max="15662" width="13.42578125" style="4" customWidth="1"/>
    <col min="15663" max="15663" width="24.42578125" style="4" customWidth="1"/>
    <col min="15664" max="15664" width="16.28515625" style="4" customWidth="1"/>
    <col min="15665" max="15665" width="14.28515625" style="4" customWidth="1"/>
    <col min="15666" max="15667" width="10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7" width="8.85546875" style="4"/>
    <col min="15918" max="15918" width="13.42578125" style="4" customWidth="1"/>
    <col min="15919" max="15919" width="24.42578125" style="4" customWidth="1"/>
    <col min="15920" max="15920" width="16.28515625" style="4" customWidth="1"/>
    <col min="15921" max="15921" width="14.28515625" style="4" customWidth="1"/>
    <col min="15922" max="15923" width="10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3" width="8.85546875" style="4"/>
    <col min="16174" max="16174" width="13.42578125" style="4" customWidth="1"/>
    <col min="16175" max="16175" width="24.42578125" style="4" customWidth="1"/>
    <col min="16176" max="16176" width="16.28515625" style="4" customWidth="1"/>
    <col min="16177" max="16177" width="14.28515625" style="4" customWidth="1"/>
    <col min="16178" max="16179" width="10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3"/>
      <c r="AW1" s="194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287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 t="s">
        <v>288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289</v>
      </c>
      <c r="AV3" s="15" t="s">
        <v>290</v>
      </c>
      <c r="AW3" s="16">
        <f>VLOOKUP(AV3,Initial!G:K,5,FALSE)</f>
        <v>1957.3259502278074</v>
      </c>
      <c r="AX3" s="17">
        <f t="shared" ref="AX3:AX10" si="0">VLOOKUP(AU3,AT$79:AU$174,2,FALSE)</f>
        <v>1936.0960554101941</v>
      </c>
      <c r="AY3" s="18">
        <f t="shared" ref="AY3:AY10" si="1">IF(ISNA(VLOOKUP(AU3,AT$182:AU$234,2,FALSE)),AX3,VLOOKUP(AU3,AT$182:AU$234,2,FALSE))</f>
        <v>1968.7059582012987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174</v>
      </c>
      <c r="F4" s="210"/>
      <c r="G4" s="210"/>
      <c r="H4" s="210"/>
      <c r="I4" s="210"/>
      <c r="J4" s="210"/>
      <c r="K4" s="210"/>
      <c r="L4" s="210"/>
      <c r="M4" s="211"/>
      <c r="N4" s="206" t="s">
        <v>175</v>
      </c>
      <c r="O4" s="207"/>
      <c r="P4" s="207"/>
      <c r="Q4" s="208"/>
      <c r="R4" s="212" t="s">
        <v>176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177</v>
      </c>
      <c r="AC4" s="207"/>
      <c r="AD4" s="207"/>
      <c r="AE4" s="208"/>
      <c r="AF4" s="407">
        <v>42762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291</v>
      </c>
      <c r="AV4" s="15" t="s">
        <v>292</v>
      </c>
      <c r="AW4" s="16">
        <f>VLOOKUP(AV4,Initial!G:K,5,FALSE)</f>
        <v>1930.6477056485521</v>
      </c>
      <c r="AX4" s="20">
        <f t="shared" si="0"/>
        <v>2031.8497454633305</v>
      </c>
      <c r="AY4" s="21">
        <f t="shared" si="1"/>
        <v>2019.7195191341993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293</v>
      </c>
      <c r="AV5" s="15" t="s">
        <v>294</v>
      </c>
      <c r="AW5" s="16">
        <f>VLOOKUP(AV5,Initial!G:K,5,FALSE)</f>
        <v>1923.1880111835867</v>
      </c>
      <c r="AX5" s="20">
        <f t="shared" si="0"/>
        <v>1954.6709968609996</v>
      </c>
      <c r="AY5" s="21">
        <f t="shared" si="1"/>
        <v>1943.949964380706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295</v>
      </c>
      <c r="AV6" s="15" t="s">
        <v>296</v>
      </c>
      <c r="AW6" s="16">
        <f>VLOOKUP(AV6,Initial!G:K,5,FALSE)</f>
        <v>2000.3203057553364</v>
      </c>
      <c r="AX6" s="20">
        <f t="shared" si="0"/>
        <v>2073.7565728262616</v>
      </c>
      <c r="AY6" s="21">
        <f t="shared" si="1"/>
        <v>2102.5489256142664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Matches Won</v>
      </c>
      <c r="M7" s="255"/>
      <c r="N7" s="255"/>
      <c r="O7" s="255"/>
      <c r="P7" s="255"/>
      <c r="Q7" s="256"/>
      <c r="R7" s="254" t="str">
        <f>IF($AK10=0,"Games Lost","Matches Lost")</f>
        <v>Matches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3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193</v>
      </c>
      <c r="AV7" s="15" t="s">
        <v>194</v>
      </c>
      <c r="AW7" s="16">
        <f>VLOOKUP(AV7,Initial!G:K,5,FALSE)</f>
        <v>1825.171036313171</v>
      </c>
      <c r="AX7" s="20">
        <f t="shared" si="0"/>
        <v>1778.9256999946645</v>
      </c>
      <c r="AY7" s="21">
        <f t="shared" si="1"/>
        <v>1772.824914836184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Branchville Jrs 15 U Pink</v>
      </c>
      <c r="F8" s="233"/>
      <c r="G8" s="233"/>
      <c r="H8" s="233"/>
      <c r="I8" s="233"/>
      <c r="J8" s="233"/>
      <c r="K8" s="234"/>
      <c r="L8" s="235">
        <f>IF($AK10=0,AF64,AF46)</f>
        <v>1</v>
      </c>
      <c r="M8" s="236"/>
      <c r="N8" s="236"/>
      <c r="O8" s="236"/>
      <c r="P8" s="236"/>
      <c r="Q8" s="256"/>
      <c r="R8" s="235">
        <f>IF($AK10=0,AG64,AG46)</f>
        <v>2</v>
      </c>
      <c r="S8" s="236"/>
      <c r="T8" s="236"/>
      <c r="U8" s="236"/>
      <c r="V8" s="236"/>
      <c r="W8" s="235">
        <f>AQ24</f>
        <v>-18</v>
      </c>
      <c r="X8" s="236"/>
      <c r="Y8" s="236"/>
      <c r="Z8" s="239">
        <f>IF(AF58&gt;0,(AQ24/AF58),0)</f>
        <v>-0.12</v>
      </c>
      <c r="AA8" s="240"/>
      <c r="AB8" s="240"/>
      <c r="AC8" s="262">
        <f>IF(AF72=0,0,(AF64/AF72))</f>
        <v>0.33333333333333331</v>
      </c>
      <c r="AD8" s="263"/>
      <c r="AE8" s="264"/>
      <c r="AF8" s="268">
        <v>3</v>
      </c>
      <c r="AG8" s="268">
        <v>1</v>
      </c>
      <c r="AH8" s="270">
        <v>5</v>
      </c>
      <c r="AI8" s="271"/>
      <c r="AJ8" s="27"/>
      <c r="AK8" s="28">
        <v>6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297</v>
      </c>
      <c r="AV8" s="15" t="s">
        <v>298</v>
      </c>
      <c r="AW8" s="16">
        <f>VLOOKUP(AV8,Initial!G:K,5,FALSE)</f>
        <v>1909.4303022328752</v>
      </c>
      <c r="AX8" s="20">
        <f t="shared" si="0"/>
        <v>1862.6401854308592</v>
      </c>
      <c r="AY8" s="21">
        <f t="shared" si="1"/>
        <v>1849.9734355569628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fj5branc2pm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4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299</v>
      </c>
      <c r="AV9" s="15" t="s">
        <v>300</v>
      </c>
      <c r="AW9" s="16">
        <f>VLOOKUP(AV9,Initial!G:K,5,FALSE)</f>
        <v>2115.980955417655</v>
      </c>
      <c r="AX9" s="20">
        <f t="shared" si="0"/>
        <v>2030.0860467274795</v>
      </c>
      <c r="AY9" s="21">
        <f t="shared" si="1"/>
        <v>2016.2436789687517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Ignite 15</v>
      </c>
      <c r="F10" s="233"/>
      <c r="G10" s="233"/>
      <c r="H10" s="233"/>
      <c r="I10" s="233"/>
      <c r="J10" s="233"/>
      <c r="K10" s="234"/>
      <c r="L10" s="235">
        <f>IF($AK10=0,AF65,AF47)</f>
        <v>3</v>
      </c>
      <c r="M10" s="236"/>
      <c r="N10" s="236"/>
      <c r="O10" s="236"/>
      <c r="P10" s="236"/>
      <c r="Q10" s="256"/>
      <c r="R10" s="235">
        <f>IF($AK10=0,AG65,AG47)</f>
        <v>0</v>
      </c>
      <c r="S10" s="236"/>
      <c r="T10" s="236"/>
      <c r="U10" s="236"/>
      <c r="V10" s="236"/>
      <c r="W10" s="235">
        <f>AQ25</f>
        <v>26</v>
      </c>
      <c r="X10" s="236"/>
      <c r="Y10" s="236"/>
      <c r="Z10" s="239">
        <f>IF(AF59&gt;0,(AQ25/AF59),0)</f>
        <v>0.15757575757575756</v>
      </c>
      <c r="AA10" s="240"/>
      <c r="AB10" s="240"/>
      <c r="AC10" s="262">
        <f>IF(AF73=0,0,(AF65/AF73))</f>
        <v>0.8571428571428571</v>
      </c>
      <c r="AD10" s="263"/>
      <c r="AE10" s="264"/>
      <c r="AF10" s="268">
        <v>1</v>
      </c>
      <c r="AG10" s="268">
        <v>1</v>
      </c>
      <c r="AH10" s="270">
        <v>1</v>
      </c>
      <c r="AI10" s="271"/>
      <c r="AJ10" s="27"/>
      <c r="AK10" s="28">
        <v>1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195</v>
      </c>
      <c r="AV10" s="15" t="s">
        <v>196</v>
      </c>
      <c r="AW10" s="16">
        <f>VLOOKUP(AV10,Initial!G:K,5,FALSE)</f>
        <v>2123.540387847499</v>
      </c>
      <c r="AX10" s="20">
        <f t="shared" si="0"/>
        <v>2117.5793519126942</v>
      </c>
      <c r="AY10" s="21">
        <f t="shared" si="1"/>
        <v>2111.6382579341143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fj5ignte1pm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32"/>
      <c r="AU11" s="133"/>
      <c r="AV11" s="134"/>
      <c r="AW11" s="135"/>
      <c r="AX11" s="136"/>
      <c r="AY11" s="137"/>
    </row>
    <row r="12" spans="1:53" ht="18.75" customHeight="1" thickBot="1" x14ac:dyDescent="0.25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High Velocity 15's</v>
      </c>
      <c r="F12" s="233"/>
      <c r="G12" s="233"/>
      <c r="H12" s="233"/>
      <c r="I12" s="233"/>
      <c r="J12" s="233"/>
      <c r="K12" s="234"/>
      <c r="L12" s="235">
        <f>IF($AK10=0,AF66,AF48)</f>
        <v>0</v>
      </c>
      <c r="M12" s="236"/>
      <c r="N12" s="236"/>
      <c r="O12" s="236"/>
      <c r="P12" s="236"/>
      <c r="Q12" s="256"/>
      <c r="R12" s="235">
        <f>IF($AK10=0,AG66,AG48)</f>
        <v>3</v>
      </c>
      <c r="S12" s="236"/>
      <c r="T12" s="236"/>
      <c r="U12" s="236"/>
      <c r="V12" s="236"/>
      <c r="W12" s="235">
        <f>AQ26</f>
        <v>-60</v>
      </c>
      <c r="X12" s="236"/>
      <c r="Y12" s="236"/>
      <c r="Z12" s="239">
        <f>IF(AF60&gt;0,(AQ26/AF60),0)</f>
        <v>-0.4</v>
      </c>
      <c r="AA12" s="240"/>
      <c r="AB12" s="240"/>
      <c r="AC12" s="262">
        <f>IF(AF74=0,0,(AF66/AF74))</f>
        <v>0</v>
      </c>
      <c r="AD12" s="263"/>
      <c r="AE12" s="264"/>
      <c r="AF12" s="268">
        <v>4</v>
      </c>
      <c r="AG12" s="268">
        <v>1</v>
      </c>
      <c r="AH12" s="270">
        <v>7</v>
      </c>
      <c r="AI12" s="271"/>
      <c r="AJ12" s="31"/>
      <c r="AK12" s="28">
        <v>3</v>
      </c>
      <c r="AL12" s="32" t="s">
        <v>61</v>
      </c>
      <c r="AM12" s="29"/>
      <c r="AN12" s="29"/>
      <c r="AO12" s="29"/>
      <c r="AP12" s="29"/>
      <c r="AQ12" s="29"/>
      <c r="AR12" s="30"/>
      <c r="AT12" s="138"/>
      <c r="AU12" s="139"/>
      <c r="AV12" s="140"/>
      <c r="AW12" s="141"/>
      <c r="AX12" s="142"/>
      <c r="AY12" s="143"/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fj5hvelo1pm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39" t="s">
        <v>64</v>
      </c>
      <c r="AU13" s="340"/>
      <c r="AV13" s="340"/>
      <c r="AW13" s="340"/>
      <c r="AX13" s="340"/>
      <c r="AY13" s="341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Augusta Elite 16 Havoc</v>
      </c>
      <c r="F14" s="233"/>
      <c r="G14" s="233"/>
      <c r="H14" s="233"/>
      <c r="I14" s="233"/>
      <c r="J14" s="233"/>
      <c r="K14" s="234"/>
      <c r="L14" s="235">
        <f>IF($AK10=0,AF67,AF49)</f>
        <v>2</v>
      </c>
      <c r="M14" s="236"/>
      <c r="N14" s="236"/>
      <c r="O14" s="236"/>
      <c r="P14" s="236"/>
      <c r="Q14" s="256"/>
      <c r="R14" s="235">
        <f>IF($AK10=0,AG67,AG49)</f>
        <v>1</v>
      </c>
      <c r="S14" s="236"/>
      <c r="T14" s="236"/>
      <c r="U14" s="236"/>
      <c r="V14" s="236"/>
      <c r="W14" s="235">
        <f>AQ27</f>
        <v>52</v>
      </c>
      <c r="X14" s="236"/>
      <c r="Y14" s="236"/>
      <c r="Z14" s="239">
        <f>IF(AF61&gt;0,(AQ27/AF61),0)</f>
        <v>0.31515151515151513</v>
      </c>
      <c r="AA14" s="240"/>
      <c r="AB14" s="240"/>
      <c r="AC14" s="262">
        <f>IF(AF75=0,0,(AF67/AF75))</f>
        <v>0.7142857142857143</v>
      </c>
      <c r="AD14" s="263"/>
      <c r="AE14" s="264"/>
      <c r="AF14" s="268">
        <v>2</v>
      </c>
      <c r="AG14" s="268">
        <v>1</v>
      </c>
      <c r="AH14" s="270">
        <v>2</v>
      </c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42"/>
      <c r="AU14" s="343"/>
      <c r="AV14" s="343"/>
      <c r="AW14" s="343"/>
      <c r="AX14" s="343"/>
      <c r="AY14" s="344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fj6aelit2pm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</row>
    <row r="16" spans="1:53" ht="18.75" customHeight="1" thickBot="1" x14ac:dyDescent="0.25">
      <c r="A16" s="227" t="str">
        <f>IF($AK9&gt;4,"5","")</f>
        <v/>
      </c>
      <c r="B16" s="286" t="s">
        <v>10</v>
      </c>
      <c r="C16" s="287"/>
      <c r="D16" s="287"/>
      <c r="E16" s="232">
        <f>AU11</f>
        <v>0</v>
      </c>
      <c r="F16" s="233"/>
      <c r="G16" s="233"/>
      <c r="H16" s="233"/>
      <c r="I16" s="233"/>
      <c r="J16" s="233"/>
      <c r="K16" s="234"/>
      <c r="L16" s="235">
        <f>IF($AK10=0,AF68,AF50)</f>
        <v>0</v>
      </c>
      <c r="M16" s="236"/>
      <c r="N16" s="236"/>
      <c r="O16" s="236"/>
      <c r="P16" s="236"/>
      <c r="Q16" s="256"/>
      <c r="R16" s="235">
        <f>IF($AK10=0,AG68,AG50)</f>
        <v>0</v>
      </c>
      <c r="S16" s="236"/>
      <c r="T16" s="236"/>
      <c r="U16" s="236"/>
      <c r="V16" s="236"/>
      <c r="W16" s="235">
        <f>AQ28</f>
        <v>0</v>
      </c>
      <c r="X16" s="236"/>
      <c r="Y16" s="236"/>
      <c r="Z16" s="239">
        <f>IF(AF62&gt;0,(AQ28/AF62),0)</f>
        <v>0</v>
      </c>
      <c r="AA16" s="240"/>
      <c r="AB16" s="240"/>
      <c r="AC16" s="262">
        <f>IF(AF76=0,0,(AF68/AF76))</f>
        <v>0</v>
      </c>
      <c r="AD16" s="263"/>
      <c r="AE16" s="264"/>
      <c r="AF16" s="268"/>
      <c r="AG16" s="268"/>
      <c r="AH16" s="270"/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S16" s="39"/>
      <c r="AT16" s="97"/>
      <c r="AU16" s="97"/>
    </row>
    <row r="17" spans="1:48" ht="18.75" customHeight="1" thickBot="1" x14ac:dyDescent="0.25">
      <c r="A17" s="228"/>
      <c r="B17" s="296" t="s">
        <v>11</v>
      </c>
      <c r="C17" s="297"/>
      <c r="D17" s="297"/>
      <c r="E17" s="410">
        <f>AV11</f>
        <v>0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S17" s="39"/>
      <c r="AT17" s="97"/>
      <c r="AU17" s="15"/>
      <c r="AV17" s="15"/>
    </row>
    <row r="18" spans="1:48" ht="21" customHeight="1" thickTop="1" thickBot="1" x14ac:dyDescent="0.25">
      <c r="A18" s="40"/>
      <c r="B18" s="305" t="s">
        <v>192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S18" s="39"/>
      <c r="AT18" s="97"/>
      <c r="AU18" s="15"/>
      <c r="AV18" s="15"/>
    </row>
    <row r="19" spans="1:48" ht="13.5" customHeight="1" thickTop="1" thickBot="1" x14ac:dyDescent="0.25">
      <c r="A19" s="4" t="s">
        <v>66</v>
      </c>
      <c r="B19" s="308">
        <v>0.35416666666666669</v>
      </c>
      <c r="C19" s="309"/>
      <c r="D19" s="310"/>
      <c r="E19" s="308">
        <v>0.39583333333333331</v>
      </c>
      <c r="F19" s="309"/>
      <c r="G19" s="310"/>
      <c r="H19" s="308">
        <v>0.4375</v>
      </c>
      <c r="I19" s="309"/>
      <c r="J19" s="310"/>
      <c r="K19" s="308">
        <v>0.5</v>
      </c>
      <c r="L19" s="309"/>
      <c r="M19" s="310"/>
      <c r="N19" s="308">
        <v>4.1666666666666664E-2</v>
      </c>
      <c r="O19" s="309"/>
      <c r="P19" s="310"/>
      <c r="Q19" s="308">
        <v>8.3333333333333329E-2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S19" s="39"/>
      <c r="AT19" s="97"/>
      <c r="AU19" s="15"/>
      <c r="AV19" s="15"/>
    </row>
    <row r="20" spans="1:48" x14ac:dyDescent="0.2">
      <c r="A20" s="41" t="s">
        <v>68</v>
      </c>
      <c r="B20" s="319">
        <v>0.35416666666666669</v>
      </c>
      <c r="C20" s="320"/>
      <c r="D20" s="321"/>
      <c r="E20" s="319">
        <v>0.3923611111111111</v>
      </c>
      <c r="F20" s="320"/>
      <c r="G20" s="321"/>
      <c r="H20" s="319">
        <v>0.42430555555555555</v>
      </c>
      <c r="I20" s="320"/>
      <c r="J20" s="321"/>
      <c r="K20" s="319">
        <v>0.48125000000000001</v>
      </c>
      <c r="L20" s="320"/>
      <c r="M20" s="321"/>
      <c r="N20" s="319">
        <v>0.51041666666666663</v>
      </c>
      <c r="O20" s="320"/>
      <c r="P20" s="321"/>
      <c r="Q20" s="319">
        <v>4.8611111111111112E-2</v>
      </c>
      <c r="R20" s="320"/>
      <c r="S20" s="321"/>
      <c r="T20" s="319"/>
      <c r="U20" s="320"/>
      <c r="V20" s="321"/>
      <c r="W20" s="319"/>
      <c r="X20" s="320"/>
      <c r="Y20" s="321"/>
      <c r="Z20" s="319"/>
      <c r="AA20" s="320"/>
      <c r="AB20" s="321"/>
      <c r="AC20" s="319"/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S20" s="39"/>
      <c r="AT20" s="97"/>
      <c r="AU20" s="97"/>
    </row>
    <row r="21" spans="1:48" x14ac:dyDescent="0.2">
      <c r="A21" s="41" t="s">
        <v>69</v>
      </c>
      <c r="B21" s="319">
        <v>0.38194444444444442</v>
      </c>
      <c r="C21" s="320"/>
      <c r="D21" s="321"/>
      <c r="E21" s="319">
        <v>0.41666666666666669</v>
      </c>
      <c r="F21" s="320"/>
      <c r="G21" s="321"/>
      <c r="H21" s="319">
        <v>0.47222222222222227</v>
      </c>
      <c r="I21" s="320"/>
      <c r="J21" s="321"/>
      <c r="K21" s="319">
        <v>0.50347222222222221</v>
      </c>
      <c r="L21" s="320"/>
      <c r="M21" s="321"/>
      <c r="N21" s="319">
        <v>0.53888888888888886</v>
      </c>
      <c r="O21" s="320"/>
      <c r="P21" s="321"/>
      <c r="Q21" s="319">
        <v>7.3611111111111113E-2</v>
      </c>
      <c r="R21" s="320"/>
      <c r="S21" s="321"/>
      <c r="T21" s="319"/>
      <c r="U21" s="320"/>
      <c r="V21" s="321"/>
      <c r="W21" s="319"/>
      <c r="X21" s="320"/>
      <c r="Y21" s="321"/>
      <c r="Z21" s="319"/>
      <c r="AA21" s="320"/>
      <c r="AB21" s="321"/>
      <c r="AC21" s="319"/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S21" s="6"/>
      <c r="AT21" s="6"/>
      <c r="AU21" s="6"/>
    </row>
    <row r="22" spans="1:48" ht="13.5" thickBot="1" x14ac:dyDescent="0.25">
      <c r="A22" s="7"/>
      <c r="B22" s="322" t="s">
        <v>70</v>
      </c>
      <c r="C22" s="323"/>
      <c r="D22" s="324"/>
      <c r="E22" s="322" t="str">
        <f>IF(AK8&gt;1,"Match 2","")</f>
        <v>Match 2</v>
      </c>
      <c r="F22" s="323"/>
      <c r="G22" s="324"/>
      <c r="H22" s="322" t="str">
        <f>IF(AK8&gt;2,"Match 3","")</f>
        <v>Match 3</v>
      </c>
      <c r="I22" s="323"/>
      <c r="J22" s="324"/>
      <c r="K22" s="322" t="str">
        <f>IF(AK8&gt;3,"Match 4","")</f>
        <v>Match 4</v>
      </c>
      <c r="L22" s="323"/>
      <c r="M22" s="324"/>
      <c r="N22" s="322" t="str">
        <f>IF(AK8&gt;4,"Match 5","")</f>
        <v>Match 5</v>
      </c>
      <c r="O22" s="323"/>
      <c r="P22" s="324"/>
      <c r="Q22" s="322" t="str">
        <f>IF(AK8&gt;5,"Match 6","")</f>
        <v>Match 6</v>
      </c>
      <c r="R22" s="323"/>
      <c r="S22" s="324"/>
      <c r="T22" s="322" t="str">
        <f>IF(AK8&gt;6,"Match 7","")</f>
        <v/>
      </c>
      <c r="U22" s="323"/>
      <c r="V22" s="324"/>
      <c r="W22" s="322" t="str">
        <f>IF(AK8&gt;7,"Match 8","")</f>
        <v/>
      </c>
      <c r="X22" s="323"/>
      <c r="Y22" s="324"/>
      <c r="Z22" s="322" t="str">
        <f>IF(AK8&gt;8,"Match 9","")</f>
        <v/>
      </c>
      <c r="AA22" s="323"/>
      <c r="AB22" s="324"/>
      <c r="AC22" s="322" t="str">
        <f>IF(AK8&gt;9,"Match 10","")</f>
        <v/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S22" s="39"/>
      <c r="AT22" s="97"/>
      <c r="AU22" s="97"/>
    </row>
    <row r="23" spans="1:48" ht="15.75" x14ac:dyDescent="0.25">
      <c r="A23" s="7"/>
      <c r="B23" s="325" t="s">
        <v>73</v>
      </c>
      <c r="C23" s="326"/>
      <c r="D23" s="327"/>
      <c r="E23" s="325" t="s">
        <v>75</v>
      </c>
      <c r="F23" s="326"/>
      <c r="G23" s="327"/>
      <c r="H23" s="325" t="s">
        <v>72</v>
      </c>
      <c r="I23" s="326"/>
      <c r="J23" s="327"/>
      <c r="K23" s="325" t="s">
        <v>71</v>
      </c>
      <c r="L23" s="326"/>
      <c r="M23" s="327"/>
      <c r="N23" s="325" t="s">
        <v>75</v>
      </c>
      <c r="O23" s="326"/>
      <c r="P23" s="327"/>
      <c r="Q23" s="325" t="s">
        <v>72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197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S23" s="144"/>
      <c r="AT23" s="97"/>
      <c r="AU23" s="97"/>
    </row>
    <row r="24" spans="1:48" ht="15.75" x14ac:dyDescent="0.25">
      <c r="A24" s="7"/>
      <c r="B24" s="45">
        <v>2</v>
      </c>
      <c r="C24" s="46" t="s">
        <v>78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>
        <v>2</v>
      </c>
      <c r="U24" s="46" t="str">
        <f>IF(AK8&gt;6,"v","")</f>
        <v/>
      </c>
      <c r="V24" s="47">
        <v>3</v>
      </c>
      <c r="W24" s="45">
        <v>1</v>
      </c>
      <c r="X24" s="46" t="str">
        <f>IF(AK8&gt;7,"v","")</f>
        <v/>
      </c>
      <c r="Y24" s="47">
        <v>5</v>
      </c>
      <c r="Z24" s="45">
        <v>3</v>
      </c>
      <c r="AA24" s="46" t="str">
        <f>IF(AK8&gt;8,"v","")</f>
        <v/>
      </c>
      <c r="AB24" s="47">
        <v>4</v>
      </c>
      <c r="AC24" s="45">
        <v>1</v>
      </c>
      <c r="AD24" s="46" t="str">
        <f>IF(AK8&gt;9,"v","")</f>
        <v/>
      </c>
      <c r="AE24" s="47">
        <v>2</v>
      </c>
      <c r="AF24" s="42" t="str">
        <f>IF(AK9&gt;0,"Team 1","")</f>
        <v>Team 1</v>
      </c>
      <c r="AG24" s="48" t="str">
        <f>IF(AK9&lt;1,"",IF(AK8&lt;1,"",IF(B24=1,B30-D30,IF(D24=1,D30-B30,""))))</f>
        <v/>
      </c>
      <c r="AH24" s="48">
        <f>IF(AK9&lt;1,"",IF(AK8&lt;2,"",IF(E24=1,E30-G30,IF(G24=1,G30-E30,""))))</f>
        <v>-26</v>
      </c>
      <c r="AI24" s="48" t="str">
        <f>IF(AK9&lt;1,"",IF(AK8&lt;3,"",IF(H24=1,H30-J30,IF(J24=1,J30-H30,""))))</f>
        <v/>
      </c>
      <c r="AJ24" s="48">
        <f>IF(AK9&lt;1,"",IF(AK8&lt;4,"",IF(K24=1,K30-M30,IF(M24=1,M30-K30,""))))</f>
        <v>20</v>
      </c>
      <c r="AK24" s="48" t="str">
        <f>IF(AK9&lt;1,"",IF(AK8&lt;5,"",IF(N24=1,N30-P30,IF(P24=1,P30-N30,""))))</f>
        <v/>
      </c>
      <c r="AL24" s="48">
        <f>IF(AK9&lt;1,"",IF(AK8&lt;6,"",IF(Q24=1,Q30-S30,IF(S24=1,S30-Q30,""))))</f>
        <v>-12</v>
      </c>
      <c r="AM24" s="48" t="str">
        <f>IF(AK9&lt;1,"",IF(AK8&lt;7,"",IF(T24=1,T30-V30,IF(V24=1,V30-T30,""))))</f>
        <v/>
      </c>
      <c r="AN24" s="48" t="str">
        <f>IF(AK9&lt;1,"",IF(AK8&lt;8,"",IF(W24=1,W30-Y30,IF(Y24=1,Y30-W30,""))))</f>
        <v/>
      </c>
      <c r="AO24" s="48" t="str">
        <f>IF(AK9&lt;1,"",IF(AK8&lt;9,"",IF(Z24=1,Z30-AB30,IF(AB24=1,AB30-Z30,""))))</f>
        <v/>
      </c>
      <c r="AP24" s="48" t="str">
        <f>IF(AK9&lt;1,"",IF(AK8&lt;10,"",IF(AC24=1,AC30-AE30,IF(AE24=1,AE30-AC30,""))))</f>
        <v/>
      </c>
      <c r="AQ24" s="44">
        <f>SUM(AG24:AP24)</f>
        <v>-18</v>
      </c>
      <c r="AS24" s="144"/>
      <c r="AT24" s="97"/>
      <c r="AU24" s="97"/>
    </row>
    <row r="25" spans="1:48" ht="15" x14ac:dyDescent="0.2">
      <c r="A25" s="4" t="s">
        <v>79</v>
      </c>
      <c r="B25" s="49">
        <v>25</v>
      </c>
      <c r="C25" s="50" t="s">
        <v>80</v>
      </c>
      <c r="D25" s="51">
        <v>19</v>
      </c>
      <c r="E25" s="49">
        <v>15</v>
      </c>
      <c r="F25" s="50" t="str">
        <f>IF(AK8&gt;1,"/","")</f>
        <v>/</v>
      </c>
      <c r="G25" s="51">
        <v>25</v>
      </c>
      <c r="H25" s="49">
        <v>17</v>
      </c>
      <c r="I25" s="50" t="str">
        <f>IF(AK8&gt;2,"/","")</f>
        <v>/</v>
      </c>
      <c r="J25" s="51">
        <v>25</v>
      </c>
      <c r="K25" s="49">
        <v>25</v>
      </c>
      <c r="L25" s="50" t="str">
        <f>IF(AK8&gt;3,"/","")</f>
        <v>/</v>
      </c>
      <c r="M25" s="51">
        <v>19</v>
      </c>
      <c r="N25" s="49">
        <v>13</v>
      </c>
      <c r="O25" s="50" t="str">
        <f>IF(AK8&gt;4,"/","")</f>
        <v>/</v>
      </c>
      <c r="P25" s="51">
        <v>25</v>
      </c>
      <c r="Q25" s="49">
        <v>19</v>
      </c>
      <c r="R25" s="50" t="str">
        <f>IF(AK8&gt;5,"/","")</f>
        <v>/</v>
      </c>
      <c r="S25" s="51">
        <v>25</v>
      </c>
      <c r="T25" s="49"/>
      <c r="U25" s="50" t="str">
        <f>IF(AK8&gt;6,"/","")</f>
        <v/>
      </c>
      <c r="V25" s="51"/>
      <c r="W25" s="49"/>
      <c r="X25" s="50" t="str">
        <f>IF(AK8&gt;7,"/","")</f>
        <v/>
      </c>
      <c r="Y25" s="51"/>
      <c r="Z25" s="49"/>
      <c r="AA25" s="50" t="str">
        <f>IF(AK8&gt;8,"/","")</f>
        <v/>
      </c>
      <c r="AB25" s="51"/>
      <c r="AC25" s="49"/>
      <c r="AD25" s="50" t="str">
        <f>IF(AK8&gt;9,"/","")</f>
        <v/>
      </c>
      <c r="AE25" s="51"/>
      <c r="AF25" s="42" t="str">
        <f>IF(AK9&gt;1,"Team 2","")</f>
        <v>Team 2</v>
      </c>
      <c r="AG25" s="48">
        <f>IF(AK9&lt;2,"",IF(AK8&lt;1,"",IF(B24=2,B30-D30,IF(D24=2,D30-B30,""))))</f>
        <v>14</v>
      </c>
      <c r="AH25" s="48" t="str">
        <f>IF(AK9&lt;2,"",IF(AK8&lt;2,"",IF(E24=2,E30-G30,IF(G24=2,G30-E30,""))))</f>
        <v/>
      </c>
      <c r="AI25" s="48">
        <f>IF(AK9&lt;2,"",IF(AK8&lt;3,"",IF(H24=2,H30-J30,IF(J24=2,J30-H30,""))))</f>
        <v>0</v>
      </c>
      <c r="AJ25" s="48" t="str">
        <f>IF(AK9&lt;2,"",IF(AK8&lt;4,"",IF(K24=2,K30-M30,IF(M24=2,M30-K30,""))))</f>
        <v/>
      </c>
      <c r="AK25" s="48" t="str">
        <f>IF(AK9&lt;2,"",IF(AK8&lt;5,"",IF(N24=2,N30-P30,IF(P24=2,P30-N30,""))))</f>
        <v/>
      </c>
      <c r="AL25" s="48">
        <f>IF(AK9&lt;2,"",IF(AK8&lt;6,"",IF(Q24=2,Q30-S30,IF(S24=2,S30-Q30,""))))</f>
        <v>12</v>
      </c>
      <c r="AM25" s="48" t="str">
        <f>IF(AK9&lt;2,"",IF(AK8&lt;7,"",IF(T24=2,T30-V30,IF(V24=2,V30-T30,""))))</f>
        <v/>
      </c>
      <c r="AN25" s="48" t="str">
        <f>IF(AK9&lt;2,"",IF(AK8&lt;8,"",IF(W24=2,W30-Y30,IF(Y24=2,Y30-W30,""))))</f>
        <v/>
      </c>
      <c r="AO25" s="48" t="str">
        <f>IF(AK9&lt;2,"",IF(AK8&lt;9,"",IF(Z24=2,Z30-AB30,IF(AB24=2,AB30-Z30,""))))</f>
        <v/>
      </c>
      <c r="AP25" s="48" t="str">
        <f>IF(AK9&lt;2,"",IF(AK8&lt;10,"",IF(AC24=2,AC30-AE30,IF(AE24=2,AE30-AC30,""))))</f>
        <v/>
      </c>
      <c r="AQ25" s="44">
        <f>SUM(AG25:AP25)</f>
        <v>26</v>
      </c>
    </row>
    <row r="26" spans="1:48" ht="15" x14ac:dyDescent="0.2">
      <c r="A26" s="3" t="str">
        <f>IF(AK7&gt;1,"Game 2","")</f>
        <v>Game 2</v>
      </c>
      <c r="B26" s="49">
        <v>25</v>
      </c>
      <c r="C26" s="50" t="s">
        <v>80</v>
      </c>
      <c r="D26" s="51">
        <v>17</v>
      </c>
      <c r="E26" s="49">
        <v>9</v>
      </c>
      <c r="F26" s="50" t="str">
        <f>IF(AK8&gt;1,IF(AK7&gt;1,"/",""),"")</f>
        <v>/</v>
      </c>
      <c r="G26" s="51">
        <v>25</v>
      </c>
      <c r="H26" s="49">
        <v>25</v>
      </c>
      <c r="I26" s="50" t="str">
        <f>IF(AK8&gt;2,IF(AK7&gt;1,"/",""),"")</f>
        <v>/</v>
      </c>
      <c r="J26" s="51">
        <v>21</v>
      </c>
      <c r="K26" s="49">
        <v>25</v>
      </c>
      <c r="L26" s="50" t="str">
        <f>IF(AK8&gt;3,IF(AK7&gt;1,"/",""),"")</f>
        <v>/</v>
      </c>
      <c r="M26" s="51">
        <v>11</v>
      </c>
      <c r="N26" s="49">
        <v>11</v>
      </c>
      <c r="O26" s="50" t="str">
        <f>IF(AK8&gt;4,IF(AK7&gt;1,"/",""),"")</f>
        <v>/</v>
      </c>
      <c r="P26" s="51">
        <v>25</v>
      </c>
      <c r="Q26" s="49">
        <v>19</v>
      </c>
      <c r="R26" s="50" t="str">
        <f>IF(AK8&gt;5,IF(AK7&gt;1,"/",""),"")</f>
        <v>/</v>
      </c>
      <c r="S26" s="51">
        <v>25</v>
      </c>
      <c r="T26" s="49"/>
      <c r="U26" s="50" t="str">
        <f>IF(AK8&gt;6,IF(AK7&gt;1,"/",""),"")</f>
        <v/>
      </c>
      <c r="V26" s="51"/>
      <c r="W26" s="49"/>
      <c r="X26" s="50" t="str">
        <f>IF(AK8&gt;7,IF(AK7&gt;1,"/",""),"")</f>
        <v/>
      </c>
      <c r="Y26" s="51"/>
      <c r="Z26" s="49"/>
      <c r="AA26" s="50" t="str">
        <f>IF(AK8&gt;8,IF(AK7&gt;1,"/",""),"")</f>
        <v/>
      </c>
      <c r="AB26" s="51"/>
      <c r="AC26" s="49"/>
      <c r="AD26" s="50" t="str">
        <f>IF(AK8&gt;9,IF(AK7&gt;1,"/",""),"")</f>
        <v/>
      </c>
      <c r="AE26" s="51"/>
      <c r="AF26" s="42" t="str">
        <f>IF(AK9&gt;2,"Team 3","")</f>
        <v>Team 3</v>
      </c>
      <c r="AG26" s="48">
        <f>IF(AK9&lt;3,"",IF(AK8&lt;1,"",IF(B24=3,B30-D30,IF(D24=3,D30-B30,""))))</f>
        <v>-14</v>
      </c>
      <c r="AH26" s="48" t="str">
        <f>IF(AK9&lt;3,"",IF(AK8&lt;2,"",IF(E24=3,E30-G30,IF(G24=3,G30-E30,""))))</f>
        <v/>
      </c>
      <c r="AI26" s="48" t="str">
        <f>IF(AK9&lt;3,"",IF(AK8&lt;3,"",IF(H24=3,H30-J30,IF(J24=3,J30-H30,""))))</f>
        <v/>
      </c>
      <c r="AJ26" s="48">
        <f>IF(AK9&lt;3,"",IF(AK8&lt;4,"",IF(K24=3,K30-M30,IF(M24=3,M30-K30,""))))</f>
        <v>-20</v>
      </c>
      <c r="AK26" s="48">
        <f>IF(AK9&lt;3,"",IF(AK8&lt;5,"",IF(N24=3,N30-P30,IF(P24=3,P30-N30,""))))</f>
        <v>-26</v>
      </c>
      <c r="AL26" s="48" t="str">
        <f>IF(AK9&lt;3,"",IF(AK8&lt;6,"",IF(Q24=3,Q30-S30,IF(S24=3,S30-Q30,""))))</f>
        <v/>
      </c>
      <c r="AM26" s="48" t="str">
        <f>IF(AK9&lt;3,"",IF(AK8&lt;7,"",IF(T24=3,T30-V30,IF(V24=3,V30-T30,""))))</f>
        <v/>
      </c>
      <c r="AN26" s="48" t="str">
        <f>IF(AK9&lt;3,"",IF(AK8&lt;8,"",IF(W24=3,W30-Y30,IF(Y24=3,Y30-W30,""))))</f>
        <v/>
      </c>
      <c r="AO26" s="48" t="str">
        <f>IF(AK9&lt;3,"",IF(AK8&lt;9,"",IF(Z24=3,Z30-AB30,IF(AB24=3,AB30-Z30,""))))</f>
        <v/>
      </c>
      <c r="AP26" s="48" t="str">
        <f>IF(AK9&lt;3,"",IF(AK8&lt;9,"",IF(AC24=3,AC30-AE30,IF(AE24=3,AE30-AC30,""))))</f>
        <v/>
      </c>
      <c r="AQ26" s="44">
        <f>SUM(AG26:AP26)</f>
        <v>-60</v>
      </c>
    </row>
    <row r="27" spans="1:48" ht="15" x14ac:dyDescent="0.2">
      <c r="A27" s="3" t="str">
        <f>IF(AK7&gt;2,"Game 3","")</f>
        <v>Game 3</v>
      </c>
      <c r="B27" s="49"/>
      <c r="C27" s="50" t="s">
        <v>80</v>
      </c>
      <c r="D27" s="51"/>
      <c r="E27" s="49"/>
      <c r="F27" s="50" t="str">
        <f>IF(AK8&gt;1,IF(AK7&gt;2,"/",""),"")</f>
        <v>/</v>
      </c>
      <c r="G27" s="51"/>
      <c r="H27" s="49">
        <v>15</v>
      </c>
      <c r="I27" s="50" t="str">
        <f>IF(AK8&gt;2,IF(AK7&gt;2,"/",""),"")</f>
        <v>/</v>
      </c>
      <c r="J27" s="51">
        <v>11</v>
      </c>
      <c r="K27" s="49"/>
      <c r="L27" s="50" t="str">
        <f>IF(AK8&gt;3,IF(AK7&gt;2,"/",""),"")</f>
        <v>/</v>
      </c>
      <c r="M27" s="51"/>
      <c r="N27" s="49"/>
      <c r="O27" s="50" t="str">
        <f>IF(AK8&gt;4,IF(AK7&gt;2,"/",""),"")</f>
        <v>/</v>
      </c>
      <c r="P27" s="51"/>
      <c r="Q27" s="49"/>
      <c r="R27" s="50" t="str">
        <f>IF(AK8&gt;5,IF(AK7&gt;2,"/",""),"")</f>
        <v>/</v>
      </c>
      <c r="S27" s="51"/>
      <c r="T27" s="49"/>
      <c r="U27" s="50" t="str">
        <f>IF(AK8&gt;6,IF(AK7&gt;2,"/",""),"")</f>
        <v/>
      </c>
      <c r="V27" s="51"/>
      <c r="W27" s="49"/>
      <c r="X27" s="50" t="str">
        <f>IF(AK8&gt;7,IF(AK7&gt;2,"/",""),"")</f>
        <v/>
      </c>
      <c r="Y27" s="51"/>
      <c r="Z27" s="49"/>
      <c r="AA27" s="50" t="str">
        <f>IF(AK8&gt;8,IF(AK7&gt;2,"/",""),"")</f>
        <v/>
      </c>
      <c r="AB27" s="51"/>
      <c r="AC27" s="49"/>
      <c r="AD27" s="50" t="str">
        <f>IF(AK8&gt;9,IF(AK7&gt;2,"/",""),"")</f>
        <v/>
      </c>
      <c r="AE27" s="51"/>
      <c r="AF27" s="42" t="str">
        <f>IF(AK9&gt;3,"Team 4","")</f>
        <v>Team 4</v>
      </c>
      <c r="AG27" s="48" t="str">
        <f>IF(AK9&lt;4,"",IF(AK8&lt;1,"",IF(B24=4,B30-D30,IF(D24=4,D30-B30,""))))</f>
        <v/>
      </c>
      <c r="AH27" s="48">
        <f>IF(AK9&lt;4,"",IF(AK8&lt;2,"",IF(E24=4,E30-G30,IF(G24=4,G30-E30,""))))</f>
        <v>26</v>
      </c>
      <c r="AI27" s="48">
        <f>IF(AK9&lt;4,"",IF(AK8&lt;3,"",IF(H24=4,H30-J30,IF(J24=4,J30-H30,""))))</f>
        <v>0</v>
      </c>
      <c r="AJ27" s="48" t="str">
        <f>IF(AK9&lt;4,"",IF(AK8&lt;4,"",IF(K24=4,K30-M30,IF(M24=4,M30-K30,""))))</f>
        <v/>
      </c>
      <c r="AK27" s="48">
        <f>IF(AK9&lt;4,"",IF(AK8&lt;5,"",IF(N24=4,N30-P30,IF(P24=4,P30-N30,""))))</f>
        <v>26</v>
      </c>
      <c r="AL27" s="48" t="str">
        <f>IF(AK9&lt;4,"",IF(AK8&lt;6,"",IF(Q24=4,Q30-S30,IF(S24=4,S30-Q30,""))))</f>
        <v/>
      </c>
      <c r="AM27" s="48" t="str">
        <f>IF(AK9&lt;4,"",IF(AK8&lt;7,"",IF(T24=4,T30-V30,IF(V24=4,V30-T30,""))))</f>
        <v/>
      </c>
      <c r="AN27" s="48" t="str">
        <f>IF(AK9&lt;4,"",IF(AK8&lt;8,"",IF(W24=4,W30-Y30,IF(Y24=4,Y30-W30,""))))</f>
        <v/>
      </c>
      <c r="AO27" s="48" t="str">
        <f>IF(AK9&lt;4,"",IF(AK8&lt;9,"",IF(Z24=4,Z30-AB30,IF(AB24=4,AB30-Z30,""))))</f>
        <v/>
      </c>
      <c r="AP27" s="48" t="str">
        <f>IF(AK9&lt;4,"",IF(AK8&lt;10,"",IF(AC24=4,AC30-AE30,IF(AE24=4,AE30-AC30,""))))</f>
        <v/>
      </c>
      <c r="AQ27" s="44">
        <f>SUM(AG27:AP27)</f>
        <v>52</v>
      </c>
    </row>
    <row r="28" spans="1:48" ht="15" x14ac:dyDescent="0.2">
      <c r="A28" s="3" t="str">
        <f>IF(AK7&gt;3,"Game 4","")</f>
        <v/>
      </c>
      <c r="B28" s="49"/>
      <c r="C28" s="50" t="s">
        <v>80</v>
      </c>
      <c r="D28" s="51"/>
      <c r="E28" s="49"/>
      <c r="F28" s="50" t="str">
        <f>IF(AK8&gt;1,IF(AK7&gt;3,"/",""),"")</f>
        <v/>
      </c>
      <c r="G28" s="51"/>
      <c r="H28" s="49"/>
      <c r="I28" s="50" t="str">
        <f>IF(AK8&gt;2,IF(AK7&gt;3,"/",""),"")</f>
        <v/>
      </c>
      <c r="J28" s="51"/>
      <c r="K28" s="49"/>
      <c r="L28" s="50" t="str">
        <f>IF(AK8&gt;3,IF(AK7&gt;3,"/",""),"")</f>
        <v/>
      </c>
      <c r="M28" s="51"/>
      <c r="N28" s="49"/>
      <c r="O28" s="50" t="str">
        <f>IF(AK8&gt;4,IF(AK7&gt;3,"/",""),"")</f>
        <v/>
      </c>
      <c r="P28" s="51" t="s">
        <v>301</v>
      </c>
      <c r="Q28" s="49"/>
      <c r="R28" s="50" t="str">
        <f>IF(AK8&gt;5,IF(AK7&gt;3,"/",""),"")</f>
        <v/>
      </c>
      <c r="S28" s="51"/>
      <c r="T28" s="49"/>
      <c r="U28" s="50" t="str">
        <f>IF(AK8&gt;6,IF(AK7&gt;3,"/",""),"")</f>
        <v/>
      </c>
      <c r="V28" s="51"/>
      <c r="W28" s="49"/>
      <c r="X28" s="50" t="str">
        <f>IF(AK8&gt;7,IF(AK7&gt;3,"/",""),"")</f>
        <v/>
      </c>
      <c r="Y28" s="51"/>
      <c r="Z28" s="49"/>
      <c r="AA28" s="50" t="str">
        <f>IF(AK8&gt;8,IF(AK7&gt;3,"/",""),"")</f>
        <v/>
      </c>
      <c r="AB28" s="51"/>
      <c r="AC28" s="49"/>
      <c r="AD28" s="50" t="str">
        <f>IF(AK8&gt;9,IF(AK7&gt;3,"/",""),"")</f>
        <v/>
      </c>
      <c r="AE28" s="51"/>
      <c r="AF28" s="42" t="str">
        <f>IF(AK9&gt;4,"Team 5","")</f>
        <v/>
      </c>
      <c r="AG28" s="52" t="str">
        <f>IF(AK9&lt;5,"",IF(AK8&lt;1,"",IF(B24=5,B30-D30,IF(D24=5,D30-B30,""))))</f>
        <v/>
      </c>
      <c r="AH28" s="48" t="str">
        <f>IF(AK9&lt;5,"",IF(AK8&lt;2,"",IF(E24=5,E30-G30,IF(G24=5,G30-E30,""))))</f>
        <v/>
      </c>
      <c r="AI28" s="48" t="str">
        <f>IF(AK9&lt;5,"",IF(AK8&lt;3,"",IF(H24=5,H30-J30,IF(J24=5,J30-H30,""))))</f>
        <v/>
      </c>
      <c r="AJ28" s="48" t="str">
        <f>IF(AK9&lt;5,"",IF(AK8&lt;4,"",IF(K24=5,K30-M30,IF(M24=5,M30-K30,""))))</f>
        <v/>
      </c>
      <c r="AK28" s="48" t="str">
        <f>IF(AK9&lt;5,"",IF(AK8&lt;5,"",IF(N24=5,N30-P30,IF(P24=5,P30-N30,""))))</f>
        <v/>
      </c>
      <c r="AL28" s="48" t="str">
        <f>IF(AK9&lt;5,"",IF(AK8&lt;6,"",IF(Q24=5,Q30-S30,IF(S24=5,S30-Q30,""))))</f>
        <v/>
      </c>
      <c r="AM28" s="48" t="str">
        <f>IF(AK9&lt;5,"",IF(AK8&lt;7,"",IF(T24=5,T30-V30,IF(V24=5,V30-T30,""))))</f>
        <v/>
      </c>
      <c r="AN28" s="48" t="str">
        <f>IF(AK9&lt;5,"",IF(AK8&lt;8,"",IF(W24=5,W30-Y30,IF(Y24=5,Y30-W30,""))))</f>
        <v/>
      </c>
      <c r="AO28" s="48" t="str">
        <f>IF(AK9&lt;5,"",IF(AK8&lt;9,"",IF(Z24=5,Z30-AB30,IF(AB24=5,AB30-Z30,""))))</f>
        <v/>
      </c>
      <c r="AP28" s="48" t="str">
        <f>IF(AK9&lt;5,"",IF(AK8&lt;10,"",IF(AC24=5,AC30-AE30,IF(AE24=5,AE30-AC30,""))))</f>
        <v/>
      </c>
      <c r="AQ28" s="44">
        <f>SUM(AG28:AP28)</f>
        <v>0</v>
      </c>
    </row>
    <row r="29" spans="1:48" ht="15" x14ac:dyDescent="0.2">
      <c r="A29" s="3" t="str">
        <f>IF(AK7&gt;4,"Game 5","")</f>
        <v/>
      </c>
      <c r="B29" s="49"/>
      <c r="C29" s="50" t="s">
        <v>80</v>
      </c>
      <c r="D29" s="51"/>
      <c r="E29" s="49"/>
      <c r="F29" s="50" t="str">
        <f>IF(AK8&gt;1,IF(AK7&gt;4,"/",""),"")</f>
        <v/>
      </c>
      <c r="G29" s="51"/>
      <c r="H29" s="49"/>
      <c r="I29" s="50" t="str">
        <f>IF(AK8&gt;2,IF(AK7&gt;4,"/",""),"")</f>
        <v/>
      </c>
      <c r="J29" s="51"/>
      <c r="K29" s="49"/>
      <c r="L29" s="50" t="str">
        <f>IF(AK8&gt;3,IF(AK7&gt;4,"/",""),"")</f>
        <v/>
      </c>
      <c r="M29" s="51"/>
      <c r="N29" s="49"/>
      <c r="O29" s="50" t="str">
        <f>IF(AK8&gt;4,IF(AK7&gt;4,"/",""),"")</f>
        <v/>
      </c>
      <c r="P29" s="51"/>
      <c r="Q29" s="49"/>
      <c r="R29" s="50" t="str">
        <f>IF(AK8&gt;5,IF(AK7&gt;4,"/",""),"")</f>
        <v/>
      </c>
      <c r="S29" s="51"/>
      <c r="T29" s="49"/>
      <c r="U29" s="50" t="str">
        <f>IF(AK8&gt;6,IF(AK7&gt;4,"/",""),"")</f>
        <v/>
      </c>
      <c r="V29" s="51"/>
      <c r="W29" s="49"/>
      <c r="X29" s="50" t="str">
        <f>IF(AK8&gt;7,IF(AK7&gt;4,"/",""),"")</f>
        <v/>
      </c>
      <c r="Y29" s="51"/>
      <c r="Z29" s="49"/>
      <c r="AA29" s="50" t="str">
        <f>IF(AK8&gt;8,IF(AK7&gt;4,"/",""),"")</f>
        <v/>
      </c>
      <c r="AB29" s="51"/>
      <c r="AC29" s="49"/>
      <c r="AD29" s="50" t="str">
        <f>IF(AK8&gt;9,IF(AK7&gt;4,"/",""),"")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8" hidden="1" x14ac:dyDescent="0.2">
      <c r="A30" s="53"/>
      <c r="B30" s="53">
        <f>IF($AK7=5,SUM(B25:B29),IF($AK7=4,SUM(B25:B28),IF($AK7=3,SUM(B25:B27),IF($AK7=2,SUM(B25:B26),B25))))</f>
        <v>50</v>
      </c>
      <c r="C30" s="53"/>
      <c r="D30" s="53">
        <f>IF($AK7=5,SUM(D25:D29),IF($AK7=4,SUM(D25:D28),IF($AK7=3,SUM(D25:D27),IF($AK7=2,SUM(D25:D26),D25))))</f>
        <v>36</v>
      </c>
      <c r="E30" s="53">
        <f>IF($AK7=5,SUM(E25:E29),IF($AK7=4,SUM(E25:E28),IF($AK7=3,SUM(E25:E27),IF($AK7=2,SUM(E25:E26),E25))))</f>
        <v>24</v>
      </c>
      <c r="F30" s="53"/>
      <c r="G30" s="53">
        <f>IF($AK7=5,SUM(G25:G29),IF($AK7=4,SUM(G25:G28),IF($AK7=3,SUM(G25:G27),IF($AK7=2,SUM(G25:G26),G25))))</f>
        <v>50</v>
      </c>
      <c r="H30" s="53">
        <f>IF($AK7=5,SUM(H25:H29),IF($AK7=4,SUM(H25:H28),IF($AK7=3,SUM(H25:H27),IF($AK7=2,SUM(H25:H26),H25))))</f>
        <v>57</v>
      </c>
      <c r="I30" s="53"/>
      <c r="J30" s="53">
        <f>IF($AK7=5,SUM(J25:J29),IF($AK7=4,SUM(J25:J28),IF($AK7=3,SUM(J25:J27),IF($AK7=2,SUM(J25:J26),J25))))</f>
        <v>57</v>
      </c>
      <c r="K30" s="53">
        <f>IF($AK7=5,SUM(K25:K29),IF($AK7=4,SUM(K25:K28),IF($AK7=3,SUM(K25:K27),IF($AK7=2,SUM(K25:K26),K25))))</f>
        <v>50</v>
      </c>
      <c r="L30" s="53"/>
      <c r="M30" s="53">
        <f>IF($AK7=5,SUM(M25:M29),IF($AK7=4,SUM(M25:M28),IF($AK7=3,SUM(M25:M27),IF($AK7=2,SUM(M25:M26),M25))))</f>
        <v>30</v>
      </c>
      <c r="N30" s="53">
        <f>IF($AK7=5,SUM(N25:N29),IF($AK7=4,SUM(N25:N28),IF($AK7=3,SUM(N25:N27),IF($AK7=2,SUM(N25:N26),N25))))</f>
        <v>24</v>
      </c>
      <c r="O30" s="53"/>
      <c r="P30" s="53">
        <f>IF($AK7=5,SUM(P25:P29),IF($AK7=4,SUM(P25:P28),IF($AK7=3,SUM(P25:P27),IF($AK7=2,SUM(P25:P26),P25))))</f>
        <v>50</v>
      </c>
      <c r="Q30" s="53">
        <f>IF($AK7=5,SUM(Q25:Q29),IF($AK7=4,SUM(Q25:Q28),IF($AK7=3,SUM(Q25:Q27),IF($AK7=2,SUM(Q25:Q26),Q25))))</f>
        <v>38</v>
      </c>
      <c r="R30" s="53"/>
      <c r="S30" s="53">
        <f>IF($AK7=5,SUM(S25:S29),IF($AK7=4,SUM(S25:S28),IF($AK7=3,SUM(S25:S27),IF($AK7=2,SUM(S25:S26),S25))))</f>
        <v>50</v>
      </c>
      <c r="T30" s="53">
        <f>IF($AK7=5,SUM(T25:T29),IF($AK7=4,SUM(T25:T28),IF($AK7=3,SUM(T25:T27),IF($AK7=2,SUM(T25:T26),T25))))</f>
        <v>0</v>
      </c>
      <c r="U30" s="53"/>
      <c r="V30" s="53">
        <f>IF($AK7=5,SUM(V25:V29),IF($AK7=4,SUM(V25:V28),IF($AK7=3,SUM(V25:V27),IF($AK7=2,SUM(V25:V26),V25))))</f>
        <v>0</v>
      </c>
      <c r="W30" s="53">
        <f>IF($AK7=5,SUM(W25:W29),IF($AK7=4,SUM(W25:W28),IF($AK7=3,SUM(W25:W27),IF($AK7=2,SUM(W25:W26),W25))))</f>
        <v>0</v>
      </c>
      <c r="X30" s="53"/>
      <c r="Y30" s="53">
        <f>IF($AK7=5,SUM(Y25:Y29),IF($AK7=4,SUM(Y25:Y28),IF($AK7=3,SUM(Y25:Y27),IF($AK7=2,SUM(Y25:Y26),Y25))))</f>
        <v>0</v>
      </c>
      <c r="Z30" s="53">
        <f>IF($AK7=5,SUM(Z25:Z29),IF($AK7=4,SUM(Z25:Z28),IF($AK7=3,SUM(Z25:Z27),IF($AK7=2,SUM(Z25:Z26),Z25))))</f>
        <v>0</v>
      </c>
      <c r="AA30" s="53"/>
      <c r="AB30" s="53">
        <f>IF($AK7=5,SUM(AB25:AB29),IF($AK7=4,SUM(AB25:AB28),IF($AK7=3,SUM(AB25:AB27),IF($AK7=2,SUM(AB25:AB26),AB25))))</f>
        <v>0</v>
      </c>
      <c r="AC30" s="53">
        <f>IF($AK7=5,SUM(AC25:AC29),IF($AK7=4,SUM(AC25:AC28),IF($AK7=3,SUM(AC25:AC27),IF($AK7=2,SUM(AC25:AC26),AC25))))</f>
        <v>0</v>
      </c>
      <c r="AD30" s="53"/>
      <c r="AE30" s="53">
        <f>IF($AK7=5,SUM(AE25:AE29),IF($AK7=4,SUM(AE25:AE28),IF($AK7=3,SUM(AE25:AE27),IF($AK7=2,SUM(AE25:AE26),AE25))))</f>
        <v>0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8" s="55" customFormat="1" ht="12.75" hidden="1" customHeight="1" x14ac:dyDescent="0.2">
      <c r="A31" s="55" t="s">
        <v>81</v>
      </c>
      <c r="B31" s="56">
        <f>IF(AND(B25&gt;D25,$AK8&gt;0,ISNUMBER(B25),ISNUMBER(D25)),1,0)</f>
        <v>1</v>
      </c>
      <c r="C31" s="56"/>
      <c r="D31" s="57">
        <f>IF(AND(D25&gt;B25,$AK8&gt;0,ISNUMBER(B25),ISNUMBER(D25)),1,0)</f>
        <v>0</v>
      </c>
      <c r="E31" s="56">
        <f>IF(AND(E25&gt;G25,$AK8&gt;1,ISNUMBER(E25),ISNUMBER(G25)),1,0)</f>
        <v>0</v>
      </c>
      <c r="F31" s="56"/>
      <c r="G31" s="57">
        <f>IF(AND(G25&gt;E25,$AK8&gt;1,ISNUMBER(E25),ISNUMBER(G25)),1,0)</f>
        <v>1</v>
      </c>
      <c r="H31" s="56">
        <f>IF(AND(H25&gt;J25,$AK8&gt;2,ISNUMBER(H25),ISNUMBER(J25)),1,0)</f>
        <v>0</v>
      </c>
      <c r="I31" s="56"/>
      <c r="J31" s="57">
        <f>IF(AND(J25&gt;H25,$AK8&gt;2,ISNUMBER(H25),ISNUMBER(J25)),1,0)</f>
        <v>1</v>
      </c>
      <c r="K31" s="56">
        <f>IF(AND(K25&gt;M25,$AK8&gt;3,ISNUMBER(K25),ISNUMBER(M25)),1,0)</f>
        <v>1</v>
      </c>
      <c r="L31" s="56"/>
      <c r="M31" s="57">
        <f>IF(AND(M25&gt;K25,$AK8&gt;3,ISNUMBER(K25),ISNUMBER(M25)),1,0)</f>
        <v>0</v>
      </c>
      <c r="N31" s="56">
        <f>IF(AND(N25&gt;P25,$AK8&gt;4,ISNUMBER(N25),ISNUMBER(P25)),1,0)</f>
        <v>0</v>
      </c>
      <c r="O31" s="56"/>
      <c r="P31" s="57">
        <f>IF(AND(P25&gt;N25,$AK8&gt;4,ISNUMBER(N25),ISNUMBER(P25)),1,0)</f>
        <v>1</v>
      </c>
      <c r="Q31" s="56">
        <f>IF(AND(Q25&gt;S25,$AK8&gt;5,ISNUMBER(Q25),ISNUMBER(S25)),1,0)</f>
        <v>0</v>
      </c>
      <c r="R31" s="56"/>
      <c r="S31" s="57">
        <f>IF(AND(S25&gt;Q25,$AK8&gt;5,ISNUMBER(Q25),ISNUMBER(S25)),1,0)</f>
        <v>1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0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0</v>
      </c>
      <c r="AD31" s="56"/>
      <c r="AE31" s="57">
        <f>IF(AND(AE25&gt;AC25,$AK8&gt;9,ISNUMBER(AC25),ISNUMBER(AE25)),1,0)</f>
        <v>0</v>
      </c>
    </row>
    <row r="32" spans="1:48" s="55" customFormat="1" ht="12.75" hidden="1" customHeight="1" x14ac:dyDescent="0.2">
      <c r="A32" s="55" t="s">
        <v>82</v>
      </c>
      <c r="B32" s="56">
        <f>IF(AND(B26&gt;D26,$AK8&gt;0,$AK7&gt;1,ISNUMBER(B26),ISNUMBER(D26)),1,0)</f>
        <v>1</v>
      </c>
      <c r="C32" s="56"/>
      <c r="D32" s="57">
        <f>IF(AND(D26&gt;B26,$AK8&gt;0,$AK7&gt;1,ISNUMBER(B26),ISNUMBER(D26)),1,0)</f>
        <v>0</v>
      </c>
      <c r="E32" s="56">
        <f>IF(AND(E26&gt;G26,$AK8&gt;1,$AK7&gt;1,ISNUMBER(E26),ISNUMBER(G26)),1,0)</f>
        <v>0</v>
      </c>
      <c r="F32" s="56"/>
      <c r="G32" s="57">
        <f>IF(AND(G26&gt;E26,$AK8&gt;1,$AK7&gt;1,ISNUMBER(E26),ISNUMBER(G26)),1,0)</f>
        <v>1</v>
      </c>
      <c r="H32" s="56">
        <f>IF(AND(H26&gt;J26,$AK8&gt;2,$AK7&gt;1,ISNUMBER(H26),ISNUMBER(J26)),1,0)</f>
        <v>1</v>
      </c>
      <c r="I32" s="56"/>
      <c r="J32" s="57">
        <f>IF(AND(J26&gt;H26,$AK8&gt;2,$AK7&gt;1,ISNUMBER(H26),ISNUMBER(J26)),1,0)</f>
        <v>0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1</v>
      </c>
      <c r="Q32" s="56">
        <f>IF(AND(Q26&gt;S26,$AK8&gt;5,$AK7&gt;1,ISNUMBER(Q26),ISNUMBER(S26)),1,0)</f>
        <v>0</v>
      </c>
      <c r="R32" s="56"/>
      <c r="S32" s="57">
        <f>IF(AND(S26&gt;Q26,$AK8&gt;5,$AK7&gt;1,ISNUMBER(Q26),ISNUMBER(S26)),1,0)</f>
        <v>1</v>
      </c>
      <c r="T32" s="56">
        <f>IF(AND(T26&gt;V26,$AK8&gt;6,$AK7&gt;1,ISNUMBER(T26),ISNUMBER(V26)),1,0)</f>
        <v>0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0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0</v>
      </c>
    </row>
    <row r="33" spans="1:33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1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</row>
    <row r="34" spans="1:33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</row>
    <row r="35" spans="1:33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</row>
    <row r="36" spans="1:33" s="55" customFormat="1" ht="38.25" hidden="1" customHeight="1" x14ac:dyDescent="0.2">
      <c r="A36" s="59" t="s">
        <v>86</v>
      </c>
      <c r="B36" s="55">
        <f>SUM(B31:B35)</f>
        <v>2</v>
      </c>
      <c r="D36" s="60">
        <f>SUM(D31:D35)</f>
        <v>0</v>
      </c>
      <c r="E36" s="55">
        <f>SUM(E31:E35)</f>
        <v>0</v>
      </c>
      <c r="G36" s="60">
        <f>SUM(G31:G35)</f>
        <v>2</v>
      </c>
      <c r="H36" s="55">
        <f>SUM(H31:H35)</f>
        <v>2</v>
      </c>
      <c r="J36" s="60">
        <f>SUM(J31:J35)</f>
        <v>1</v>
      </c>
      <c r="K36" s="55">
        <f>SUM(K31:K35)</f>
        <v>2</v>
      </c>
      <c r="M36" s="60">
        <f>SUM(M31:M35)</f>
        <v>0</v>
      </c>
      <c r="N36" s="55">
        <f>SUM(N31:N35)</f>
        <v>0</v>
      </c>
      <c r="P36" s="60">
        <f>SUM(P31:P35)</f>
        <v>2</v>
      </c>
      <c r="Q36" s="55">
        <f>SUM(Q31:Q35)</f>
        <v>0</v>
      </c>
      <c r="S36" s="60">
        <f>SUM(S31:S35)</f>
        <v>2</v>
      </c>
      <c r="T36" s="55">
        <f>SUM(T31:T35)</f>
        <v>0</v>
      </c>
      <c r="V36" s="60">
        <f>SUM(V31:V35)</f>
        <v>0</v>
      </c>
      <c r="W36" s="55">
        <f>SUM(W31:W35)</f>
        <v>0</v>
      </c>
      <c r="Y36" s="60">
        <f>SUM(Y31:Y35)</f>
        <v>0</v>
      </c>
      <c r="Z36" s="55">
        <f>SUM(Z31:Z35)</f>
        <v>0</v>
      </c>
      <c r="AB36" s="60">
        <f>SUM(AB31:AB35)</f>
        <v>0</v>
      </c>
      <c r="AC36" s="55">
        <f>SUM(AC31:AC35)</f>
        <v>0</v>
      </c>
      <c r="AE36" s="60">
        <f>SUM(AE31:AE35)</f>
        <v>0</v>
      </c>
    </row>
    <row r="37" spans="1:33" s="55" customFormat="1" ht="25.5" hidden="1" customHeight="1" x14ac:dyDescent="0.2">
      <c r="A37" s="59" t="s">
        <v>87</v>
      </c>
      <c r="B37" s="55">
        <f>IF(B36&gt;D36,IF(C71=AK7,1,IF(C71=AK7-1,1,0)),0)</f>
        <v>1</v>
      </c>
      <c r="C37" s="55">
        <f>B37+D37</f>
        <v>1</v>
      </c>
      <c r="D37" s="60">
        <f>IF(D36&gt;B36,IF(C71=AK7,1,IF(C71=AK7-1,1,0)),0)</f>
        <v>0</v>
      </c>
      <c r="E37" s="55">
        <f>IF(E36&gt;G36,IF(F71=AK7,1,IF(F71=AK7-1,1,0)),0)</f>
        <v>0</v>
      </c>
      <c r="F37" s="55">
        <f>E37+G37</f>
        <v>1</v>
      </c>
      <c r="G37" s="60">
        <f>IF(G36&gt;E36,IF(F71=AK7,1,IF(F71=AK7-1,1,0)),0)</f>
        <v>1</v>
      </c>
      <c r="H37" s="55">
        <f>IF(H36&gt;J36,IF(I71=AK7,1,IF(I71=AK7-1,1,0)),0)</f>
        <v>1</v>
      </c>
      <c r="I37" s="55">
        <f>H37+J37</f>
        <v>1</v>
      </c>
      <c r="J37" s="60">
        <f>IF(J36&gt;H36,IF(I71=AK7,1,IF(I71=AK7-1,1,0)),0)</f>
        <v>0</v>
      </c>
      <c r="K37" s="55">
        <f>IF(K36&gt;M36,IF(L71=AK7,1,IF(L71=AK7-1,1,0)),0)</f>
        <v>1</v>
      </c>
      <c r="L37" s="55">
        <f>K37+M37</f>
        <v>1</v>
      </c>
      <c r="M37" s="60">
        <f>IF(M36&gt;K36,IF(L71=AK7,1,IF(L71=AK7-1,1,0)),0)</f>
        <v>0</v>
      </c>
      <c r="N37" s="55">
        <f>IF(N36&gt;P36,IF(O71=AK7,1,IF(O71=AK7-1,1,0)),0)</f>
        <v>0</v>
      </c>
      <c r="O37" s="55">
        <f>N37+P37</f>
        <v>1</v>
      </c>
      <c r="P37" s="60">
        <f>IF(P36&gt;N36,IF(O71=AK7,1,IF(O71=AK7-1,1,0)),0)</f>
        <v>1</v>
      </c>
      <c r="Q37" s="55">
        <f>IF(Q36&gt;S36,IF(R71=AK7,1,IF(R71=AK7-1,1,0)),0)</f>
        <v>0</v>
      </c>
      <c r="R37" s="55">
        <f>Q37+S37</f>
        <v>1</v>
      </c>
      <c r="S37" s="60">
        <f>IF(S36&gt;Q36,IF(R71=AK7,1,IF(R71=AK7-1,1,0)),0)</f>
        <v>1</v>
      </c>
      <c r="T37" s="55">
        <f>IF(T36&gt;V36,IF(U71=AK7,1,IF(U71=AK7-1,1,0)),0)</f>
        <v>0</v>
      </c>
      <c r="U37" s="55">
        <f>T37+V37</f>
        <v>0</v>
      </c>
      <c r="V37" s="60">
        <f>IF(V36&gt;T36,IF(U71=AK7,1,IF(U71=AK7-1,1,0)),0)</f>
        <v>0</v>
      </c>
      <c r="W37" s="55">
        <f>IF(W36&gt;Y36,IF(X71=AK7,1,IF(X71=AK7-1,1,0)),0)</f>
        <v>0</v>
      </c>
      <c r="X37" s="55">
        <f>W37+Y37</f>
        <v>0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0</v>
      </c>
      <c r="AB37" s="60">
        <f>IF(AB36&gt;Z36,IF(AA71=AK7,1,IF(AA71=AK7-1,1,0)),0)</f>
        <v>0</v>
      </c>
      <c r="AC37" s="55">
        <f>IF(AC36&gt;AE36,IF(AD71=AK7,1,IF(AD71=AK7-1,1,0)),0)</f>
        <v>0</v>
      </c>
      <c r="AD37" s="55">
        <f>AC37+AE37</f>
        <v>0</v>
      </c>
      <c r="AE37" s="60">
        <f>IF(AE36&gt;AC36,IF(AD71=AK7,1,IF(AD71=AK7-1,1,0)),0)</f>
        <v>0</v>
      </c>
    </row>
    <row r="38" spans="1:33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</row>
    <row r="39" spans="1:33" s="55" customFormat="1" ht="12.75" hidden="1" customHeight="1" x14ac:dyDescent="0.2">
      <c r="A39" s="55" t="s">
        <v>88</v>
      </c>
      <c r="B39" s="55">
        <f>IF(B31=1,B25,0)</f>
        <v>25</v>
      </c>
      <c r="D39" s="60">
        <f t="shared" ref="D39:E43" si="2">IF(D31=1,D25,0)</f>
        <v>0</v>
      </c>
      <c r="E39" s="55">
        <f t="shared" si="2"/>
        <v>0</v>
      </c>
      <c r="G39" s="60">
        <f t="shared" ref="G39:H43" si="3">IF(G31=1,G25,0)</f>
        <v>25</v>
      </c>
      <c r="H39" s="55">
        <f t="shared" si="3"/>
        <v>0</v>
      </c>
      <c r="J39" s="60">
        <f t="shared" ref="J39:K43" si="4">IF(J31=1,J25,0)</f>
        <v>25</v>
      </c>
      <c r="K39" s="55">
        <f t="shared" si="4"/>
        <v>25</v>
      </c>
      <c r="M39" s="60">
        <f t="shared" ref="M39:N43" si="5">IF(M31=1,M25,0)</f>
        <v>0</v>
      </c>
      <c r="N39" s="55">
        <f t="shared" si="5"/>
        <v>0</v>
      </c>
      <c r="P39" s="60">
        <f t="shared" ref="P39:Q43" si="6">IF(P31=1,P25,0)</f>
        <v>25</v>
      </c>
      <c r="Q39" s="55">
        <f t="shared" si="6"/>
        <v>0</v>
      </c>
      <c r="S39" s="60">
        <f t="shared" ref="S39:T43" si="7">IF(S31=1,S25,0)</f>
        <v>25</v>
      </c>
      <c r="T39" s="55">
        <f t="shared" si="7"/>
        <v>0</v>
      </c>
      <c r="V39" s="60">
        <f t="shared" ref="V39:W43" si="8">IF(V31=1,V25,0)</f>
        <v>0</v>
      </c>
      <c r="W39" s="55">
        <f t="shared" si="8"/>
        <v>0</v>
      </c>
      <c r="Y39" s="60">
        <f t="shared" ref="Y39:Z43" si="9">IF(Y31=1,Y25,0)</f>
        <v>0</v>
      </c>
      <c r="Z39" s="55">
        <f t="shared" si="9"/>
        <v>0</v>
      </c>
      <c r="AB39" s="60">
        <f t="shared" ref="AB39:AC43" si="10">IF(AB31=1,AB25,0)</f>
        <v>0</v>
      </c>
      <c r="AC39" s="55">
        <f t="shared" si="10"/>
        <v>0</v>
      </c>
      <c r="AE39" s="60">
        <f>IF(AE31=1,AE25,0)</f>
        <v>0</v>
      </c>
    </row>
    <row r="40" spans="1:33" s="55" customFormat="1" ht="12.75" hidden="1" customHeight="1" x14ac:dyDescent="0.2">
      <c r="A40" s="55" t="s">
        <v>89</v>
      </c>
      <c r="B40" s="55">
        <f>IF(B32=1,B26,0)</f>
        <v>25</v>
      </c>
      <c r="D40" s="60">
        <f t="shared" si="2"/>
        <v>0</v>
      </c>
      <c r="E40" s="55">
        <f t="shared" si="2"/>
        <v>0</v>
      </c>
      <c r="G40" s="60">
        <f t="shared" si="3"/>
        <v>25</v>
      </c>
      <c r="H40" s="55">
        <f t="shared" si="3"/>
        <v>25</v>
      </c>
      <c r="J40" s="60">
        <f t="shared" si="4"/>
        <v>0</v>
      </c>
      <c r="K40" s="55">
        <f t="shared" si="4"/>
        <v>25</v>
      </c>
      <c r="M40" s="60">
        <f t="shared" si="5"/>
        <v>0</v>
      </c>
      <c r="N40" s="55">
        <f t="shared" si="5"/>
        <v>0</v>
      </c>
      <c r="P40" s="60">
        <f t="shared" si="6"/>
        <v>25</v>
      </c>
      <c r="Q40" s="55">
        <f t="shared" si="6"/>
        <v>0</v>
      </c>
      <c r="S40" s="60">
        <f t="shared" si="7"/>
        <v>25</v>
      </c>
      <c r="T40" s="55">
        <f t="shared" si="7"/>
        <v>0</v>
      </c>
      <c r="V40" s="60">
        <f t="shared" si="8"/>
        <v>0</v>
      </c>
      <c r="W40" s="55">
        <f t="shared" si="8"/>
        <v>0</v>
      </c>
      <c r="Y40" s="60">
        <f t="shared" si="9"/>
        <v>0</v>
      </c>
      <c r="Z40" s="55">
        <f t="shared" si="9"/>
        <v>0</v>
      </c>
      <c r="AB40" s="60">
        <f t="shared" si="10"/>
        <v>0</v>
      </c>
      <c r="AC40" s="55">
        <f t="shared" si="10"/>
        <v>0</v>
      </c>
      <c r="AE40" s="60">
        <f>IF(AE32=1,AE26,0)</f>
        <v>0</v>
      </c>
    </row>
    <row r="41" spans="1:33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15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</row>
    <row r="42" spans="1:33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</row>
    <row r="43" spans="1:33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</row>
    <row r="44" spans="1:33" s="55" customFormat="1" ht="38.25" hidden="1" customHeight="1" x14ac:dyDescent="0.2">
      <c r="A44" s="59" t="s">
        <v>93</v>
      </c>
      <c r="B44" s="55">
        <f>SUM(B39:D43)</f>
        <v>50</v>
      </c>
      <c r="D44" s="60"/>
      <c r="E44" s="55">
        <f>SUM(E39:G43)</f>
        <v>50</v>
      </c>
      <c r="G44" s="60"/>
      <c r="H44" s="55">
        <f>SUM(H39:J43)</f>
        <v>65</v>
      </c>
      <c r="J44" s="60"/>
      <c r="K44" s="55">
        <f>SUM(K39:M43)</f>
        <v>50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0</v>
      </c>
      <c r="V44" s="60"/>
      <c r="W44" s="55">
        <f>SUM(W39:Y43)</f>
        <v>0</v>
      </c>
      <c r="Y44" s="60"/>
      <c r="Z44" s="55">
        <f>SUM(Z39:AB43)</f>
        <v>0</v>
      </c>
      <c r="AB44" s="60"/>
      <c r="AC44" s="55">
        <f>SUM(AC39:AE43)</f>
        <v>0</v>
      </c>
      <c r="AE44" s="60"/>
    </row>
    <row r="45" spans="1:33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</row>
    <row r="46" spans="1:33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0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1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0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1</v>
      </c>
      <c r="AG46" s="55">
        <f>AF52-AF46</f>
        <v>2</v>
      </c>
    </row>
    <row r="47" spans="1:33" s="55" customFormat="1" ht="12.75" hidden="1" customHeight="1" x14ac:dyDescent="0.2">
      <c r="A47" s="55" t="s">
        <v>98</v>
      </c>
      <c r="B47" s="55">
        <f>IF(B24=2,IF(B37=1,1,0),0)</f>
        <v>1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1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1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3</v>
      </c>
      <c r="AG47" s="55">
        <f>AF53-AF47</f>
        <v>0</v>
      </c>
    </row>
    <row r="48" spans="1:33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0</v>
      </c>
      <c r="AG48" s="55">
        <f>AF54-AF48</f>
        <v>3</v>
      </c>
    </row>
    <row r="49" spans="1:37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1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1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2</v>
      </c>
      <c r="AG49" s="55">
        <f>AF55-AF49</f>
        <v>1</v>
      </c>
    </row>
    <row r="50" spans="1:37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0</v>
      </c>
      <c r="AG50" s="55">
        <f>AF56-AF50</f>
        <v>0</v>
      </c>
    </row>
    <row r="51" spans="1:37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</row>
    <row r="52" spans="1:37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1</v>
      </c>
      <c r="M52" s="60">
        <f>IF(M24=1,IF(L37=1,1,0),0)</f>
        <v>0</v>
      </c>
      <c r="N52" s="55">
        <f>IF(N24=1,IF(O37=1,1,0),0)</f>
        <v>0</v>
      </c>
      <c r="P52" s="60">
        <f>IF(P24=1,IF(O37=1,1,0),0)</f>
        <v>0</v>
      </c>
      <c r="Q52" s="55">
        <f>IF(Q24=1,IF(R37=1,1,0),0)</f>
        <v>1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0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0</v>
      </c>
      <c r="AE52" s="60">
        <f>IF(AE24=1,IF(AD37=1,1,0),0)</f>
        <v>0</v>
      </c>
      <c r="AF52" s="55">
        <f>SUM(B52:AE52)</f>
        <v>3</v>
      </c>
    </row>
    <row r="53" spans="1:37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1</v>
      </c>
      <c r="J53" s="60">
        <f>IF(J24=2,IF(I37=1,1,0),0)</f>
        <v>0</v>
      </c>
      <c r="K53" s="55">
        <f>IF(K24=2,IF(L37=1,1,0),0)</f>
        <v>0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1</v>
      </c>
      <c r="T53" s="55">
        <f>IF(T24=2,IF(U37=1,1,0),0)</f>
        <v>0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0</v>
      </c>
      <c r="AF53" s="55">
        <f>SUM(B53:AE53)</f>
        <v>3</v>
      </c>
    </row>
    <row r="54" spans="1:37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1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0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1</v>
      </c>
      <c r="N54" s="55">
        <f>IF(N24=3,IF(O37=1,1,0),0)</f>
        <v>1</v>
      </c>
      <c r="P54" s="60">
        <f>IF(P24=3,IF(O37=1,1,0),0)</f>
        <v>0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0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0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3</v>
      </c>
    </row>
    <row r="55" spans="1:37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1</v>
      </c>
      <c r="K55" s="55">
        <f>IF(K24=4,IF(L37=1,1,0),0)</f>
        <v>0</v>
      </c>
      <c r="M55" s="60">
        <f>IF(M24=4,IF(L37=1,1,0),0)</f>
        <v>0</v>
      </c>
      <c r="N55" s="55">
        <f>IF(N24=4,IF(O37=1,1,0),0)</f>
        <v>0</v>
      </c>
      <c r="P55" s="60">
        <f>IF(P24=4,IF(O37=1,1,0),0)</f>
        <v>1</v>
      </c>
      <c r="Q55" s="55">
        <f>IF(Q24=4,IF(R37=1,1,0),0)</f>
        <v>0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0</v>
      </c>
      <c r="AC55" s="55">
        <f>IF(AC24=4,IF(AD37=1,1,0),0)</f>
        <v>0</v>
      </c>
      <c r="AE55" s="60">
        <f>IF(AE24=4,IF(AD37=1,1,0),0)</f>
        <v>0</v>
      </c>
      <c r="AF55" s="55">
        <f>SUM(B55:AE55)</f>
        <v>3</v>
      </c>
    </row>
    <row r="56" spans="1:37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0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0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0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0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0</v>
      </c>
    </row>
    <row r="57" spans="1:37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</row>
    <row r="58" spans="1:37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50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50</v>
      </c>
      <c r="M58" s="60">
        <f>IF(M24=1,K44,0)</f>
        <v>0</v>
      </c>
      <c r="N58" s="55">
        <f>IF(N24=1,N44,0)</f>
        <v>0</v>
      </c>
      <c r="P58" s="60">
        <f>IF(P24=1,N44,0)</f>
        <v>0</v>
      </c>
      <c r="Q58" s="55">
        <f>IF(Q24=1,Q44,0)</f>
        <v>50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0</v>
      </c>
      <c r="AE58" s="60">
        <f>IF(AE24=1,AC44,0)</f>
        <v>0</v>
      </c>
      <c r="AF58" s="55">
        <f>SUM(B58:AE58)</f>
        <v>150</v>
      </c>
    </row>
    <row r="59" spans="1:37" s="55" customFormat="1" ht="12.75" hidden="1" customHeight="1" x14ac:dyDescent="0.2">
      <c r="A59" s="55" t="s">
        <v>104</v>
      </c>
      <c r="B59" s="55">
        <f>IF(B24=2,B44,0)</f>
        <v>50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65</v>
      </c>
      <c r="J59" s="60">
        <f>IF(J24=2,H44,0)</f>
        <v>0</v>
      </c>
      <c r="K59" s="55">
        <f>IF(K24=2,K44,0)</f>
        <v>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50</v>
      </c>
      <c r="T59" s="55">
        <f>IF(T24=2,T44,0)</f>
        <v>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0</v>
      </c>
      <c r="AF59" s="55">
        <f>SUM(B59:AE59)</f>
        <v>165</v>
      </c>
    </row>
    <row r="60" spans="1:37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50</v>
      </c>
      <c r="E60" s="55">
        <f>IF(E24=3,E44,0)</f>
        <v>0</v>
      </c>
      <c r="G60" s="60">
        <f>IF(G24=3,E44,0)</f>
        <v>0</v>
      </c>
      <c r="H60" s="55">
        <f>IF(H24=3,H44,0)</f>
        <v>0</v>
      </c>
      <c r="J60" s="60">
        <f>IF(J24=3,H44,0)</f>
        <v>0</v>
      </c>
      <c r="K60" s="55">
        <f>IF(K24=3,K44,0)</f>
        <v>0</v>
      </c>
      <c r="M60" s="60">
        <f>IF(M24=3,K44,0)</f>
        <v>50</v>
      </c>
      <c r="N60" s="55">
        <f>IF(N24=3,N44,0)</f>
        <v>50</v>
      </c>
      <c r="P60" s="60">
        <f>IF(P24=3,N44,0)</f>
        <v>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0</v>
      </c>
      <c r="W60" s="55">
        <f>IF(W24=3,W44,0)</f>
        <v>0</v>
      </c>
      <c r="Y60" s="60">
        <f>IF(Y24=3,W44,0)</f>
        <v>0</v>
      </c>
      <c r="Z60" s="55">
        <f>IF(Z24=3,Z44,0)</f>
        <v>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150</v>
      </c>
    </row>
    <row r="61" spans="1:37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50</v>
      </c>
      <c r="H61" s="55">
        <f>IF(H24=4,H44,0)</f>
        <v>0</v>
      </c>
      <c r="J61" s="60">
        <f>IF(J24=4,H44,0)</f>
        <v>65</v>
      </c>
      <c r="K61" s="55">
        <f>IF(K24=4,K44,0)</f>
        <v>0</v>
      </c>
      <c r="M61" s="60">
        <f>IF(M24=4,K44,0)</f>
        <v>0</v>
      </c>
      <c r="N61" s="55">
        <f>IF(N24=4,N44,0)</f>
        <v>0</v>
      </c>
      <c r="P61" s="60">
        <f>IF(P24=4,N44,0)</f>
        <v>50</v>
      </c>
      <c r="Q61" s="55">
        <f>IF(Q24=4,Q44,0)</f>
        <v>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0</v>
      </c>
      <c r="AC61" s="55">
        <f>IF(AC24=4,AC44,0)</f>
        <v>0</v>
      </c>
      <c r="AE61" s="60">
        <f>IF(AE24=4,AC44,0)</f>
        <v>0</v>
      </c>
      <c r="AF61" s="55">
        <f>SUM(B61:AE61)</f>
        <v>165</v>
      </c>
    </row>
    <row r="62" spans="1:37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0</v>
      </c>
    </row>
    <row r="63" spans="1:37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</row>
    <row r="64" spans="1:37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0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2</v>
      </c>
      <c r="M64" s="60">
        <f>IF(M24=1,SUMIF(M31:M35,"&gt;0"),0)</f>
        <v>0</v>
      </c>
      <c r="N64" s="55">
        <f>IF(N24=1,SUMIF(N31:N35,"&gt;0"),0)</f>
        <v>0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0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0</v>
      </c>
      <c r="AE64" s="60">
        <f>IF(AE24=1,SUMIF(AE31:AE35,"&gt;0"),0)</f>
        <v>0</v>
      </c>
      <c r="AF64" s="55">
        <f>SUM(B64:AE64)</f>
        <v>2</v>
      </c>
      <c r="AG64" s="55">
        <f>AF72-AF64</f>
        <v>4</v>
      </c>
    </row>
    <row r="65" spans="1:54" s="55" customFormat="1" ht="12.75" hidden="1" customHeight="1" x14ac:dyDescent="0.2">
      <c r="A65" s="55" t="s">
        <v>98</v>
      </c>
      <c r="B65" s="55">
        <f>IF(B24=2,SUMIF(B31:B35,"&gt;0"),0)</f>
        <v>2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2</v>
      </c>
      <c r="J65" s="60">
        <f>IF(J24=2,SUMIF(J31:J35,"&gt;0"),0)</f>
        <v>0</v>
      </c>
      <c r="K65" s="55">
        <f>IF(K24=2,SUMIF(K31:K35,"&gt;0"),0)</f>
        <v>0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2</v>
      </c>
      <c r="T65" s="55">
        <f>IF(T24=2,SUMIF(T31:T35,"&gt;0"),0)</f>
        <v>0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6</v>
      </c>
      <c r="AG65" s="55">
        <f>AF73-AF65</f>
        <v>1</v>
      </c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0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0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0</v>
      </c>
      <c r="AG66" s="55">
        <f>AF74-AF66</f>
        <v>6</v>
      </c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2</v>
      </c>
      <c r="H67" s="55">
        <f>IF(H24=4,SUMIF(H31:H35,"&gt;0"),0)</f>
        <v>0</v>
      </c>
      <c r="J67" s="60">
        <f>IF(J24=4,SUMIF(J31:J35,"&gt;0"),0)</f>
        <v>1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2</v>
      </c>
      <c r="Q67" s="55">
        <f>IF(Q24=4,SUMIF(Q31:Q35,"&gt;0"),0)</f>
        <v>0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0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5</v>
      </c>
      <c r="AG67" s="55">
        <f>AF75-AF67</f>
        <v>2</v>
      </c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0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0</v>
      </c>
      <c r="AG68" s="55">
        <f>AF76-AF68</f>
        <v>0</v>
      </c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3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0</v>
      </c>
      <c r="V71" s="60"/>
      <c r="X71" s="55">
        <f>SUMIF(W64:Y68,"&gt;0")</f>
        <v>0</v>
      </c>
      <c r="Y71" s="60"/>
      <c r="AA71" s="55">
        <f>SUMIF(Z64:AB68,"&gt;0")</f>
        <v>0</v>
      </c>
      <c r="AB71" s="60"/>
      <c r="AD71" s="55">
        <f>SUMIF(AC64:AE68,"&gt;0")</f>
        <v>0</v>
      </c>
      <c r="AE71" s="60"/>
      <c r="AF71" s="59" t="s">
        <v>113</v>
      </c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2</v>
      </c>
      <c r="M72" s="60">
        <f>IF(M24=1,L71,0)</f>
        <v>0</v>
      </c>
      <c r="N72" s="55">
        <f>IF(N24=1,O71,0)</f>
        <v>0</v>
      </c>
      <c r="P72" s="60">
        <f>IF(P24=1,O71,0)</f>
        <v>0</v>
      </c>
      <c r="Q72" s="55">
        <f>IF(Q24=1,R71,0)</f>
        <v>2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0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0</v>
      </c>
      <c r="AE72" s="60">
        <f>IF(AE24=1,AD71,0)</f>
        <v>0</v>
      </c>
      <c r="AF72" s="55">
        <f>SUM(B72:AE72)</f>
        <v>6</v>
      </c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3</v>
      </c>
      <c r="J73" s="60">
        <f>IF(J24=2,I71,0)</f>
        <v>0</v>
      </c>
      <c r="K73" s="55">
        <f>IF(K24=2,L71,0)</f>
        <v>0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2</v>
      </c>
      <c r="T73" s="55">
        <f>IF(T24=2,U71,0)</f>
        <v>0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0</v>
      </c>
      <c r="AF73" s="55">
        <f>SUM(B73:AE73)</f>
        <v>7</v>
      </c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2</v>
      </c>
      <c r="E74" s="55">
        <f>IF(E24=3,F71,0)</f>
        <v>0</v>
      </c>
      <c r="G74" s="60">
        <f>IF(G24=3,F71,0)</f>
        <v>0</v>
      </c>
      <c r="H74" s="55">
        <f>IF(H24=3,I71,0)</f>
        <v>0</v>
      </c>
      <c r="J74" s="60">
        <f>IF(J24=3,I71,0)</f>
        <v>0</v>
      </c>
      <c r="K74" s="55">
        <f>IF(K24=3,L71,0)</f>
        <v>0</v>
      </c>
      <c r="M74" s="60">
        <f>IF(M24=3,L71,0)</f>
        <v>2</v>
      </c>
      <c r="N74" s="55">
        <f>IF(N24=3,O71,0)</f>
        <v>2</v>
      </c>
      <c r="P74" s="60">
        <f>IF(P24=3,O71,0)</f>
        <v>0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0</v>
      </c>
      <c r="W74" s="55">
        <f>IF(W24=3,X71,0)</f>
        <v>0</v>
      </c>
      <c r="Y74" s="60">
        <f>IF(Y24=3,X71,0)</f>
        <v>0</v>
      </c>
      <c r="Z74" s="55">
        <f>IF(Z24=3,AA71,0)</f>
        <v>0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6</v>
      </c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3</v>
      </c>
      <c r="K75" s="55">
        <f>IF(K24=4,L71,0)</f>
        <v>0</v>
      </c>
      <c r="M75" s="60">
        <f>IF(M24=4,L71,0)</f>
        <v>0</v>
      </c>
      <c r="N75" s="55">
        <f>IF(N24=4,O71,0)</f>
        <v>0</v>
      </c>
      <c r="P75" s="60">
        <f>IF(P24=4,O71,0)</f>
        <v>2</v>
      </c>
      <c r="Q75" s="55">
        <f>IF(Q24=4,R71,0)</f>
        <v>0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0</v>
      </c>
      <c r="AC75" s="55">
        <f>IF(AC24=4,AD71,0)</f>
        <v>0</v>
      </c>
      <c r="AE75" s="60">
        <f>IF(AE24=4,AD71,0)</f>
        <v>0</v>
      </c>
      <c r="AF75" s="55">
        <f>SUM(B75:AE75)</f>
        <v>7</v>
      </c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0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0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0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0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0</v>
      </c>
    </row>
    <row r="77" spans="1:54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AW77" s="130"/>
      <c r="BB77" s="130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Branchville Jrs 15 U Pink</v>
      </c>
      <c r="C79" s="67">
        <f>VLOOKUP(B79,AU$3:AY$12,3,FALSE)</f>
        <v>1957.3259502278074</v>
      </c>
      <c r="D79" s="67">
        <f>IF(B72,B87,IF(D72,D87,C79))</f>
        <v>1957.3259502278074</v>
      </c>
      <c r="E79" s="67"/>
      <c r="F79" s="67"/>
      <c r="G79" s="67">
        <f>IF(E72,E87,IF(G72,G87,D79))</f>
        <v>1939.5648047147606</v>
      </c>
      <c r="H79" s="67"/>
      <c r="I79" s="67"/>
      <c r="J79" s="67">
        <f>IF(H72,H87,IF(J72,J87,G79))</f>
        <v>1939.5648047147606</v>
      </c>
      <c r="K79" s="67"/>
      <c r="L79" s="67"/>
      <c r="M79" s="67">
        <f>IF(K72,K87,IF(M72,M87,J79))</f>
        <v>1960.0000210613032</v>
      </c>
      <c r="N79" s="67"/>
      <c r="O79" s="67"/>
      <c r="P79" s="67">
        <f>IF(N72,N87,IF(P72,P87,M79))</f>
        <v>1960.0000210613032</v>
      </c>
      <c r="Q79" s="67"/>
      <c r="R79" s="67"/>
      <c r="S79" s="67">
        <f>IF(Q72,Q87,IF(S72,S87,P79))</f>
        <v>1936.0960554101941</v>
      </c>
      <c r="T79" s="67"/>
      <c r="U79" s="67"/>
      <c r="V79" s="67">
        <f>IF(T72,T87,IF(V72,V87,S79))</f>
        <v>1936.0960554101941</v>
      </c>
      <c r="W79" s="67"/>
      <c r="X79" s="67"/>
      <c r="Y79" s="67">
        <f>IF(W72,W87,IF(Y72,Y87,V79))</f>
        <v>1936.0960554101941</v>
      </c>
      <c r="Z79" s="67"/>
      <c r="AA79" s="67"/>
      <c r="AB79" s="67">
        <f>IF(Z72,Z87,IF(AB72,AB87,Y79))</f>
        <v>1936.0960554101941</v>
      </c>
      <c r="AC79" s="67"/>
      <c r="AD79" s="67"/>
      <c r="AE79" s="67">
        <f>IF(AC72,AC87,IF(AE72,AE87,AB79))</f>
        <v>1936.0960554101941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Branchville Jrs 15 U Pink</v>
      </c>
      <c r="AU79" s="63">
        <f>AE79</f>
        <v>1936.0960554101941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Ignite 15</v>
      </c>
      <c r="C80" s="67">
        <f>VLOOKUP(B80,AU$3:AY$12,3,FALSE)</f>
        <v>2000.3203057553364</v>
      </c>
      <c r="D80" s="67">
        <f>IF(B73,B87,IF(D73,D87,C80))</f>
        <v>2017.4290660363447</v>
      </c>
      <c r="E80" s="67"/>
      <c r="F80" s="67"/>
      <c r="G80" s="67">
        <f>IF(E73,E87,IF(G73,G87,D80))</f>
        <v>2017.4290660363447</v>
      </c>
      <c r="H80" s="67"/>
      <c r="I80" s="67"/>
      <c r="J80" s="67">
        <f>IF(H73,H87,IF(J73,J87,G80))</f>
        <v>2049.8526071751526</v>
      </c>
      <c r="K80" s="67"/>
      <c r="L80" s="67"/>
      <c r="M80" s="67">
        <f>IF(K73,K87,IF(M73,M87,J80))</f>
        <v>2049.8526071751526</v>
      </c>
      <c r="N80" s="67"/>
      <c r="O80" s="67"/>
      <c r="P80" s="67">
        <f>IF(N73,N87,IF(P73,P87,M80))</f>
        <v>2049.8526071751526</v>
      </c>
      <c r="Q80" s="67"/>
      <c r="R80" s="67"/>
      <c r="S80" s="67">
        <f>IF(Q73,Q87,IF(S73,S87,P80))</f>
        <v>2073.7565728262616</v>
      </c>
      <c r="T80" s="67"/>
      <c r="U80" s="67"/>
      <c r="V80" s="67">
        <f>IF(T73,T87,IF(V73,V87,S80))</f>
        <v>2073.7565728262616</v>
      </c>
      <c r="W80" s="67"/>
      <c r="X80" s="67"/>
      <c r="Y80" s="67">
        <f>IF(W73,W87,IF(Y73,Y87,V80))</f>
        <v>2073.7565728262616</v>
      </c>
      <c r="Z80" s="67"/>
      <c r="AA80" s="67"/>
      <c r="AB80" s="67">
        <f>IF(Z73,Z87,IF(AB73,AB87,Y80))</f>
        <v>2073.7565728262616</v>
      </c>
      <c r="AC80" s="67"/>
      <c r="AD80" s="67"/>
      <c r="AE80" s="67">
        <f>IF(AC73,AC87,IF(AE73,AE87,AB80))</f>
        <v>2073.7565728262616</v>
      </c>
      <c r="AF80" s="4"/>
      <c r="AG80" s="4"/>
      <c r="AJ80" s="4"/>
      <c r="AL80" s="4"/>
      <c r="AM80" s="4"/>
      <c r="AN80" s="4"/>
      <c r="AO80" s="4"/>
      <c r="AT80" s="63" t="str">
        <f>B80</f>
        <v>Ignite 15</v>
      </c>
      <c r="AU80" s="63">
        <f>AE80</f>
        <v>2073.7565728262616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High Velocity 15's</v>
      </c>
      <c r="C81" s="67">
        <f>VLOOKUP(B81,AU$3:AY$12,3,FALSE)</f>
        <v>1825.171036313171</v>
      </c>
      <c r="D81" s="67">
        <f>IF(B74,B87,IF(D74,D87,C81))</f>
        <v>1808.0622760321628</v>
      </c>
      <c r="E81" s="67"/>
      <c r="F81" s="67"/>
      <c r="G81" s="67">
        <f>IF(E74,E87,IF(G74,G87,D81))</f>
        <v>1808.0622760321628</v>
      </c>
      <c r="H81" s="67"/>
      <c r="I81" s="67"/>
      <c r="J81" s="67">
        <f>IF(H74,H87,IF(J74,J87,G81))</f>
        <v>1808.0622760321628</v>
      </c>
      <c r="K81" s="67"/>
      <c r="L81" s="67"/>
      <c r="M81" s="67">
        <f>IF(K74,K87,IF(M74,M87,J81))</f>
        <v>1787.6270596856202</v>
      </c>
      <c r="N81" s="67"/>
      <c r="O81" s="67"/>
      <c r="P81" s="67">
        <f>IF(N74,N87,IF(P74,P87,M81))</f>
        <v>1778.9256999946645</v>
      </c>
      <c r="Q81" s="67"/>
      <c r="R81" s="67"/>
      <c r="S81" s="67">
        <f>IF(Q74,Q87,IF(S74,S87,P81))</f>
        <v>1778.9256999946645</v>
      </c>
      <c r="T81" s="67"/>
      <c r="U81" s="67"/>
      <c r="V81" s="67">
        <f>IF(T74,T87,IF(V74,V87,S81))</f>
        <v>1778.9256999946645</v>
      </c>
      <c r="W81" s="67"/>
      <c r="X81" s="67"/>
      <c r="Y81" s="67">
        <f>IF(W74,W87,IF(Y74,Y87,V81))</f>
        <v>1778.9256999946645</v>
      </c>
      <c r="Z81" s="67"/>
      <c r="AA81" s="67"/>
      <c r="AB81" s="67">
        <f>IF(Z74,Z87,IF(AB74,AB87,Y81))</f>
        <v>1778.9256999946645</v>
      </c>
      <c r="AC81" s="67"/>
      <c r="AD81" s="67"/>
      <c r="AE81" s="67">
        <f>IF(AC74,AC87,IF(AE74,AE87,AB81))</f>
        <v>1778.9256999946645</v>
      </c>
      <c r="AF81" s="4"/>
      <c r="AG81" s="4"/>
      <c r="AJ81" s="4"/>
      <c r="AL81" s="4"/>
      <c r="AM81" s="4"/>
      <c r="AN81" s="4"/>
      <c r="AO81" s="4"/>
      <c r="AT81" s="63" t="str">
        <f>B81</f>
        <v>High Velocity 15's</v>
      </c>
      <c r="AU81" s="63">
        <f>AE81</f>
        <v>1778.9256999946645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Augusta Elite 16 Havoc</v>
      </c>
      <c r="C82" s="67">
        <f>VLOOKUP(B82,AU$3:AY$12,3,FALSE)</f>
        <v>2123.540387847499</v>
      </c>
      <c r="D82" s="67">
        <f>IF(B75,B87,IF(D75,D87,C82))</f>
        <v>2123.540387847499</v>
      </c>
      <c r="E82" s="67"/>
      <c r="F82" s="67"/>
      <c r="G82" s="67">
        <f>IF(E75,E87,IF(G75,G87,D82))</f>
        <v>2141.3015333605458</v>
      </c>
      <c r="H82" s="67"/>
      <c r="I82" s="67"/>
      <c r="J82" s="67">
        <f>IF(H75,H87,IF(J75,J87,G82))</f>
        <v>2108.8779922217382</v>
      </c>
      <c r="K82" s="67"/>
      <c r="L82" s="67"/>
      <c r="M82" s="67">
        <f>IF(K75,K87,IF(M75,M87,J82))</f>
        <v>2108.8779922217382</v>
      </c>
      <c r="N82" s="67"/>
      <c r="O82" s="67"/>
      <c r="P82" s="67">
        <f>IF(N75,N87,IF(P75,P87,M82))</f>
        <v>2117.5793519126942</v>
      </c>
      <c r="Q82" s="67"/>
      <c r="R82" s="67"/>
      <c r="S82" s="67">
        <f>IF(Q75,Q87,IF(S75,S87,P82))</f>
        <v>2117.5793519126942</v>
      </c>
      <c r="T82" s="67"/>
      <c r="U82" s="67"/>
      <c r="V82" s="67">
        <f>IF(T75,T87,IF(V75,V87,S82))</f>
        <v>2117.5793519126942</v>
      </c>
      <c r="W82" s="67"/>
      <c r="X82" s="67"/>
      <c r="Y82" s="67">
        <f>IF(W75,W87,IF(Y75,Y87,V82))</f>
        <v>2117.5793519126942</v>
      </c>
      <c r="Z82" s="67"/>
      <c r="AA82" s="67"/>
      <c r="AB82" s="67">
        <f>IF(Z75,Z87,IF(AB75,AB87,Y82))</f>
        <v>2117.5793519126942</v>
      </c>
      <c r="AC82" s="67"/>
      <c r="AD82" s="67"/>
      <c r="AE82" s="67">
        <f>IF(AC75,AC87,IF(AE75,AE87,AB82))</f>
        <v>2117.5793519126942</v>
      </c>
      <c r="AF82" s="4"/>
      <c r="AG82" s="4"/>
      <c r="AJ82" s="4"/>
      <c r="AL82" s="4"/>
      <c r="AM82" s="4"/>
      <c r="AN82" s="4"/>
      <c r="AO82" s="4"/>
      <c r="AT82" s="63" t="str">
        <f>B82</f>
        <v>Augusta Elite 16 Havoc</v>
      </c>
      <c r="AU82" s="63">
        <f>AE82</f>
        <v>2117.5793519126942</v>
      </c>
      <c r="AW82" s="66"/>
      <c r="BB82" s="66"/>
    </row>
    <row r="83" spans="1:54" s="63" customFormat="1" hidden="1" x14ac:dyDescent="0.2">
      <c r="A83" s="67">
        <v>5</v>
      </c>
      <c r="B83" s="67">
        <f>E16</f>
        <v>0</v>
      </c>
      <c r="C83" s="67" t="e">
        <f>VLOOKUP(B83,AU$3:AY$12,3,FALSE)</f>
        <v>#N/A</v>
      </c>
      <c r="D83" s="67" t="e">
        <f>IF(B76,B87,IF(D76,D87,C83))</f>
        <v>#N/A</v>
      </c>
      <c r="E83" s="67"/>
      <c r="F83" s="67"/>
      <c r="G83" s="67" t="e">
        <f>IF(E76,E87,IF(G76,G87,D83))</f>
        <v>#N/A</v>
      </c>
      <c r="H83" s="67"/>
      <c r="I83" s="67"/>
      <c r="J83" s="67" t="e">
        <f>IF(H76,H87,IF(J76,J87,G83))</f>
        <v>#N/A</v>
      </c>
      <c r="K83" s="67"/>
      <c r="L83" s="67"/>
      <c r="M83" s="67" t="e">
        <f>IF(K76,K87,IF(M76,M87,J83))</f>
        <v>#N/A</v>
      </c>
      <c r="N83" s="67"/>
      <c r="O83" s="67"/>
      <c r="P83" s="67" t="e">
        <f>IF(N76,N87,IF(P76,P87,M83))</f>
        <v>#N/A</v>
      </c>
      <c r="Q83" s="67"/>
      <c r="R83" s="67"/>
      <c r="S83" s="67" t="e">
        <f>IF(Q76,Q87,IF(S76,S87,P83))</f>
        <v>#N/A</v>
      </c>
      <c r="T83" s="67"/>
      <c r="U83" s="67"/>
      <c r="V83" s="67" t="e">
        <f>IF(T76,T87,IF(V76,V87,S83))</f>
        <v>#N/A</v>
      </c>
      <c r="W83" s="67"/>
      <c r="X83" s="67"/>
      <c r="Y83" s="67" t="e">
        <f>IF(W76,W87,IF(Y76,Y87,V83))</f>
        <v>#N/A</v>
      </c>
      <c r="Z83" s="67"/>
      <c r="AA83" s="67"/>
      <c r="AB83" s="67" t="e">
        <f>IF(Z76,Z87,IF(AB76,AB87,Y83))</f>
        <v>#N/A</v>
      </c>
      <c r="AC83" s="67"/>
      <c r="AD83" s="67"/>
      <c r="AE83" s="67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63">
        <f>B83</f>
        <v>0</v>
      </c>
      <c r="AU83" s="63" t="e">
        <f>AE83</f>
        <v>#N/A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2000.3203057553364</v>
      </c>
      <c r="C85" s="67">
        <v>1</v>
      </c>
      <c r="D85" s="67">
        <f>VLOOKUP(D24,$A79:$AE83,3,FALSE)</f>
        <v>1825.171036313171</v>
      </c>
      <c r="E85" s="67">
        <f>VLOOKUP(E24,$A79:$AE83,4,FALSE)</f>
        <v>1957.3259502278074</v>
      </c>
      <c r="F85" s="67">
        <v>2</v>
      </c>
      <c r="G85" s="67">
        <f>VLOOKUP(G24,$A79:$AE83,4,FALSE)</f>
        <v>2123.540387847499</v>
      </c>
      <c r="H85" s="67">
        <f>VLOOKUP(H24,$A79:$AE83,7,FALSE)</f>
        <v>2017.4290660363447</v>
      </c>
      <c r="I85" s="67">
        <v>3</v>
      </c>
      <c r="J85" s="67">
        <f>VLOOKUP(J24,$A79:$AE83,7,FALSE)</f>
        <v>2141.3015333605458</v>
      </c>
      <c r="K85" s="67">
        <f>VLOOKUP(K24,$A79:$AE83,10,FALSE)</f>
        <v>1939.5648047147606</v>
      </c>
      <c r="L85" s="67">
        <v>4</v>
      </c>
      <c r="M85" s="67">
        <f>VLOOKUP(M24,$A79:$AE83,10,FALSE)</f>
        <v>1808.0622760321628</v>
      </c>
      <c r="N85" s="67">
        <f>VLOOKUP(N24,$A79:$AE83,13,FALSE)</f>
        <v>1787.6270596856202</v>
      </c>
      <c r="O85" s="67">
        <v>5</v>
      </c>
      <c r="P85" s="67">
        <f>VLOOKUP(P24,$A79:$AE83,13,FALSE)</f>
        <v>2108.8779922217382</v>
      </c>
      <c r="Q85" s="67">
        <f>VLOOKUP(Q24,$A79:$AE83,16,FALSE)</f>
        <v>1960.0000210613032</v>
      </c>
      <c r="R85" s="67">
        <v>6</v>
      </c>
      <c r="S85" s="67">
        <f>VLOOKUP(S24,$A79:$AE83,16,FALSE)</f>
        <v>2049.8526071751526</v>
      </c>
      <c r="T85" s="67">
        <f>VLOOKUP(T24,$A79:$AE83,19,FALSE)</f>
        <v>2073.7565728262616</v>
      </c>
      <c r="U85" s="67">
        <v>7</v>
      </c>
      <c r="V85" s="67">
        <f>VLOOKUP(V24,$A79:$AE83,19,FALSE)</f>
        <v>1778.9256999946645</v>
      </c>
      <c r="W85" s="67">
        <f>VLOOKUP(W24,$A79:$AE83,22,FALSE)</f>
        <v>1936.0960554101941</v>
      </c>
      <c r="X85" s="67">
        <v>8</v>
      </c>
      <c r="Y85" s="67" t="e">
        <f>VLOOKUP(Y24,$A79:$AE83,22,FALSE)</f>
        <v>#N/A</v>
      </c>
      <c r="Z85" s="67">
        <f>VLOOKUP(Z24,$A79:$AE83,25,FALSE)</f>
        <v>1778.9256999946645</v>
      </c>
      <c r="AA85" s="67">
        <v>9</v>
      </c>
      <c r="AB85" s="67">
        <f>VLOOKUP(AB24,$A79:$AE83,25,FALSE)</f>
        <v>2117.5793519126942</v>
      </c>
      <c r="AC85" s="67">
        <f>VLOOKUP(AC24,$A79:$AE83,28,FALSE)</f>
        <v>1936.0960554101941</v>
      </c>
      <c r="AD85" s="67">
        <v>10</v>
      </c>
      <c r="AE85" s="67">
        <f>VLOOKUP(AE24,$A79:$AE83,28,FALSE)</f>
        <v>2073.7565728262616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1.4653512412184913</v>
      </c>
      <c r="C86" s="68"/>
      <c r="D86" s="68">
        <f>1/(1+(10^-((D85-B85)/400)))*(B36+D36)</f>
        <v>0.53464875878150875</v>
      </c>
      <c r="E86" s="68">
        <f>1/(1+(10^-((E85-G85)/400)))*(E36+G36)</f>
        <v>0.55503579728271268</v>
      </c>
      <c r="F86" s="68"/>
      <c r="G86" s="68">
        <f>1/(1+(10^-((G85-E85)/400)))*(E36+G36)</f>
        <v>1.4449642027172873</v>
      </c>
      <c r="H86" s="68">
        <f>1/(1+(10^-((H85-J85)/400)))*(H36+J36)</f>
        <v>0.98676433941225872</v>
      </c>
      <c r="I86" s="68"/>
      <c r="J86" s="68">
        <f>1/(1+(10^-((J85-H85)/400)))*(H36+J36)</f>
        <v>2.0132356605877413</v>
      </c>
      <c r="K86" s="68">
        <f>1/(1+(10^-((K85-M85)/400)))*(K36+M36)</f>
        <v>1.3613994891705425</v>
      </c>
      <c r="L86" s="68"/>
      <c r="M86" s="68">
        <f>1/(1+(10^-((M85-K85)/400)))*(K36+M36)</f>
        <v>0.63860051082945746</v>
      </c>
      <c r="N86" s="68">
        <f>1/(1+(10^-((N85-P85)/400)))*(N36+P36)</f>
        <v>0.27191749034237045</v>
      </c>
      <c r="O86" s="68"/>
      <c r="P86" s="68">
        <f>1/(1+(10^-((P85-N85)/400)))*(N36+P36)</f>
        <v>1.7280825096576296</v>
      </c>
      <c r="Q86" s="68">
        <f>1/(1+(10^-((Q85-S85)/400)))*(Q36+S36)</f>
        <v>0.7469989265971595</v>
      </c>
      <c r="R86" s="68"/>
      <c r="S86" s="68">
        <f>1/(1+(10^-((S85-Q85)/400)))*(Q36+S36)</f>
        <v>1.2530010734028405</v>
      </c>
      <c r="T86" s="68">
        <f>1/(1+(10^-((T85-V85)/400)))*(T36+V36)</f>
        <v>0</v>
      </c>
      <c r="U86" s="68"/>
      <c r="V86" s="68">
        <f>1/(1+(10^-((V85-T85)/400)))*(T36+V36)</f>
        <v>0</v>
      </c>
      <c r="W86" s="68" t="e">
        <f>1/(1+(10^-((W85-Y85)/400)))*(W36+Y36)</f>
        <v>#N/A</v>
      </c>
      <c r="X86" s="68"/>
      <c r="Y86" s="68" t="e">
        <f>1/(1+(10^-((Y85-W85)/400)))*(W36+Y36)</f>
        <v>#N/A</v>
      </c>
      <c r="Z86" s="68">
        <f>1/(1+(10^-((Z85-AB85)/400)))*(Z36+AB36)</f>
        <v>0</v>
      </c>
      <c r="AA86" s="68"/>
      <c r="AB86" s="68">
        <f>1/(1+(10^-((AB85-Z85)/400)))*(Z36+AB36)</f>
        <v>0</v>
      </c>
      <c r="AC86" s="68">
        <f>1/(1+(10^-((AC85-AE85)/400)))*(AC36+AE36)</f>
        <v>0</v>
      </c>
      <c r="AD86" s="68"/>
      <c r="AE86" s="68">
        <f>1/(1+(10^-((AE85-AC85)/400)))*(AC36+AE36)</f>
        <v>0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2017.4290660363447</v>
      </c>
      <c r="C87" s="74"/>
      <c r="D87" s="74">
        <f>D85+(D36-D86)*$BA$1</f>
        <v>1808.0622760321628</v>
      </c>
      <c r="E87" s="74">
        <f>E85+(E36-E86)*$BA$1</f>
        <v>1939.5648047147606</v>
      </c>
      <c r="F87" s="74"/>
      <c r="G87" s="74">
        <f>G85+(G36-G86)*$BA$1</f>
        <v>2141.3015333605458</v>
      </c>
      <c r="H87" s="74">
        <f>H85+(H36-H86)*$BA$1</f>
        <v>2049.8526071751526</v>
      </c>
      <c r="I87" s="74"/>
      <c r="J87" s="74">
        <f>J85+(J36-J86)*$BA$1</f>
        <v>2108.8779922217382</v>
      </c>
      <c r="K87" s="74">
        <f>K85+(K36-K86)*$BA$1</f>
        <v>1960.0000210613032</v>
      </c>
      <c r="L87" s="74"/>
      <c r="M87" s="74">
        <f>M85+(M36-M86)*$BA$1</f>
        <v>1787.6270596856202</v>
      </c>
      <c r="N87" s="74">
        <f>N85+(N36-N86)*$BA$1</f>
        <v>1778.9256999946645</v>
      </c>
      <c r="O87" s="74"/>
      <c r="P87" s="74">
        <f>P85+(P36-P86)*$BA$1</f>
        <v>2117.5793519126942</v>
      </c>
      <c r="Q87" s="74">
        <f>Q85+(Q36-Q86)*$BA$1</f>
        <v>1936.0960554101941</v>
      </c>
      <c r="R87" s="74"/>
      <c r="S87" s="74">
        <f>S85+(S36-S86)*$BA$1</f>
        <v>2073.7565728262616</v>
      </c>
      <c r="T87" s="74">
        <f>T85+(T36-T86)*$BA$1</f>
        <v>2073.7565728262616</v>
      </c>
      <c r="U87" s="74"/>
      <c r="V87" s="74">
        <f>V85+(V36-V86)*$BA$1</f>
        <v>1778.9256999946645</v>
      </c>
      <c r="W87" s="74" t="e">
        <f>W85+(W36-W86)*$BA$1</f>
        <v>#N/A</v>
      </c>
      <c r="X87" s="74"/>
      <c r="Y87" s="74" t="e">
        <f>Y85+(Y36-Y86)*$BA$1</f>
        <v>#N/A</v>
      </c>
      <c r="Z87" s="74">
        <f>Z85+(Z36-Z86)*$BA$1</f>
        <v>1778.9256999946645</v>
      </c>
      <c r="AA87" s="74"/>
      <c r="AB87" s="74">
        <f>AB85+(AB36-AB86)*$BA$1</f>
        <v>2117.5793519126942</v>
      </c>
      <c r="AC87" s="74">
        <f>AC85+(AC36-AC86)*$BA$1</f>
        <v>1936.0960554101941</v>
      </c>
      <c r="AD87" s="74"/>
      <c r="AE87" s="74">
        <f>AE85+(AE36-AE86)*$BA$1</f>
        <v>2073.7565728262616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30"/>
      <c r="AN89" s="330"/>
      <c r="AO89" s="330"/>
      <c r="AP89" s="330"/>
    </row>
    <row r="90" spans="1:54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</row>
    <row r="91" spans="1:54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Matches Won</v>
      </c>
      <c r="M92" s="255"/>
      <c r="N92" s="255"/>
      <c r="O92" s="255"/>
      <c r="P92" s="255"/>
      <c r="Q92" s="256"/>
      <c r="R92" s="254" t="str">
        <f>IF($AK95=0,"Games Lost","Matches Lost")</f>
        <v>Matches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3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Sumter VBC 15</v>
      </c>
      <c r="F93" s="233"/>
      <c r="G93" s="233"/>
      <c r="H93" s="233"/>
      <c r="I93" s="233"/>
      <c r="J93" s="233"/>
      <c r="K93" s="234"/>
      <c r="L93" s="235">
        <f>IF($AK95=0,AF149,AF131)</f>
        <v>3</v>
      </c>
      <c r="M93" s="236"/>
      <c r="N93" s="236"/>
      <c r="O93" s="236"/>
      <c r="P93" s="236"/>
      <c r="Q93" s="256"/>
      <c r="R93" s="235">
        <f>IF($AK95=0,AG149,AG131)</f>
        <v>0</v>
      </c>
      <c r="S93" s="236"/>
      <c r="T93" s="236"/>
      <c r="U93" s="236"/>
      <c r="V93" s="236"/>
      <c r="W93" s="235">
        <f>AQ109</f>
        <v>42</v>
      </c>
      <c r="X93" s="236"/>
      <c r="Y93" s="236"/>
      <c r="Z93" s="239">
        <f>IF(AF143&gt;0,(AQ109/AF143),0)</f>
        <v>0.28000000000000003</v>
      </c>
      <c r="AA93" s="240"/>
      <c r="AB93" s="240"/>
      <c r="AC93" s="262">
        <f>IF(AF157=0,0,(AF149/AF157))</f>
        <v>1</v>
      </c>
      <c r="AD93" s="263"/>
      <c r="AE93" s="264"/>
      <c r="AF93" s="268">
        <v>1</v>
      </c>
      <c r="AG93" s="268">
        <v>1</v>
      </c>
      <c r="AH93" s="270">
        <v>3</v>
      </c>
      <c r="AI93" s="271"/>
      <c r="AJ93" s="27"/>
      <c r="AK93" s="28">
        <v>6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228"/>
      <c r="B94" s="274" t="s">
        <v>11</v>
      </c>
      <c r="C94" s="275"/>
      <c r="D94" s="276"/>
      <c r="E94" s="277" t="str">
        <f>AV4</f>
        <v>fj5sumtr1pm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4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Emerald City 15-1</v>
      </c>
      <c r="F95" s="233"/>
      <c r="G95" s="233"/>
      <c r="H95" s="233"/>
      <c r="I95" s="233"/>
      <c r="J95" s="233"/>
      <c r="K95" s="234"/>
      <c r="L95" s="235">
        <f>IF($AK95=0,AF150,AF132)</f>
        <v>2</v>
      </c>
      <c r="M95" s="236"/>
      <c r="N95" s="236"/>
      <c r="O95" s="236"/>
      <c r="P95" s="236"/>
      <c r="Q95" s="256"/>
      <c r="R95" s="235">
        <f>IF($AK95=0,AG150,AG132)</f>
        <v>1</v>
      </c>
      <c r="S95" s="236"/>
      <c r="T95" s="236"/>
      <c r="U95" s="236"/>
      <c r="V95" s="236"/>
      <c r="W95" s="235">
        <f>AQ110</f>
        <v>9</v>
      </c>
      <c r="X95" s="236"/>
      <c r="Y95" s="236"/>
      <c r="Z95" s="239">
        <f>IF(AF144&gt;0,(AQ110/AF144),0)</f>
        <v>5.4545454545454543E-2</v>
      </c>
      <c r="AA95" s="240"/>
      <c r="AB95" s="240"/>
      <c r="AC95" s="262">
        <f>IF(AF158=0,0,(AF150/AF158))</f>
        <v>0.5714285714285714</v>
      </c>
      <c r="AD95" s="263"/>
      <c r="AE95" s="264"/>
      <c r="AF95" s="268">
        <v>2</v>
      </c>
      <c r="AG95" s="268">
        <v>1</v>
      </c>
      <c r="AH95" s="270">
        <v>4</v>
      </c>
      <c r="AI95" s="271"/>
      <c r="AJ95" s="27"/>
      <c r="AK95" s="28">
        <v>1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228"/>
      <c r="B96" s="284" t="s">
        <v>11</v>
      </c>
      <c r="C96" s="285"/>
      <c r="D96" s="285"/>
      <c r="E96" s="277" t="str">
        <f>AV5</f>
        <v>fj5ecity2pm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SC Midlands 15 Garnet</v>
      </c>
      <c r="F97" s="233"/>
      <c r="G97" s="233"/>
      <c r="H97" s="233"/>
      <c r="I97" s="233"/>
      <c r="J97" s="233"/>
      <c r="K97" s="234"/>
      <c r="L97" s="235">
        <f>IF($AK95=0,AF151,AF133)</f>
        <v>0</v>
      </c>
      <c r="M97" s="236"/>
      <c r="N97" s="236"/>
      <c r="O97" s="236"/>
      <c r="P97" s="236"/>
      <c r="Q97" s="256"/>
      <c r="R97" s="235">
        <f>IF($AK95=0,AG151,AG133)</f>
        <v>3</v>
      </c>
      <c r="S97" s="236"/>
      <c r="T97" s="236"/>
      <c r="U97" s="236"/>
      <c r="V97" s="236"/>
      <c r="W97" s="235">
        <f>AQ111</f>
        <v>-34</v>
      </c>
      <c r="X97" s="236"/>
      <c r="Y97" s="236"/>
      <c r="Z97" s="239">
        <f>IF(AF145&gt;0,(AQ111/AF145),0)</f>
        <v>-0.20118343195266272</v>
      </c>
      <c r="AA97" s="240"/>
      <c r="AB97" s="240"/>
      <c r="AC97" s="262">
        <f>IF(AF159=0,0,(AF151/AF159))</f>
        <v>0.14285714285714285</v>
      </c>
      <c r="AD97" s="263"/>
      <c r="AE97" s="264"/>
      <c r="AF97" s="268">
        <v>4</v>
      </c>
      <c r="AG97" s="268">
        <v>1</v>
      </c>
      <c r="AH97" s="270">
        <v>8</v>
      </c>
      <c r="AI97" s="271"/>
      <c r="AJ97" s="31"/>
      <c r="AK97" s="28">
        <v>3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fj5scmid4pm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Intense 16 Region Rock H</v>
      </c>
      <c r="F99" s="233"/>
      <c r="G99" s="233"/>
      <c r="H99" s="233"/>
      <c r="I99" s="233"/>
      <c r="J99" s="233"/>
      <c r="K99" s="234"/>
      <c r="L99" s="235">
        <f>IF($AK95=0,AF152,AF134)</f>
        <v>1</v>
      </c>
      <c r="M99" s="236"/>
      <c r="N99" s="236"/>
      <c r="O99" s="236"/>
      <c r="P99" s="236"/>
      <c r="Q99" s="256"/>
      <c r="R99" s="235">
        <f>IF($AK95=0,AG152,AG134)</f>
        <v>2</v>
      </c>
      <c r="S99" s="236"/>
      <c r="T99" s="236"/>
      <c r="U99" s="236"/>
      <c r="V99" s="236"/>
      <c r="W99" s="235">
        <f>AQ112</f>
        <v>-17</v>
      </c>
      <c r="X99" s="236"/>
      <c r="Y99" s="236"/>
      <c r="Z99" s="239">
        <f>IF(AF146&gt;0,(AQ112/AF146),0)</f>
        <v>-9.2391304347826081E-2</v>
      </c>
      <c r="AA99" s="240"/>
      <c r="AB99" s="240"/>
      <c r="AC99" s="262">
        <f>IF(AF160=0,0,(AF152/AF160))</f>
        <v>0.375</v>
      </c>
      <c r="AD99" s="263"/>
      <c r="AE99" s="264"/>
      <c r="AF99" s="268">
        <v>3</v>
      </c>
      <c r="AG99" s="268">
        <v>1</v>
      </c>
      <c r="AH99" s="270">
        <v>6</v>
      </c>
      <c r="AI99" s="271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fj6inten4pm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227" t="str">
        <f>IF($AK94&gt;4,"5","")</f>
        <v/>
      </c>
      <c r="B101" s="286" t="s">
        <v>10</v>
      </c>
      <c r="C101" s="287"/>
      <c r="D101" s="287"/>
      <c r="E101" s="232">
        <f>AU12</f>
        <v>0</v>
      </c>
      <c r="F101" s="233"/>
      <c r="G101" s="233"/>
      <c r="H101" s="233"/>
      <c r="I101" s="233"/>
      <c r="J101" s="233"/>
      <c r="K101" s="234"/>
      <c r="L101" s="235">
        <f>IF($AK95=0,AF153,AF135)</f>
        <v>0</v>
      </c>
      <c r="M101" s="236"/>
      <c r="N101" s="236"/>
      <c r="O101" s="236"/>
      <c r="P101" s="236"/>
      <c r="Q101" s="256"/>
      <c r="R101" s="235">
        <f>IF($AK95=0,AG153,AG135)</f>
        <v>0</v>
      </c>
      <c r="S101" s="236"/>
      <c r="T101" s="236"/>
      <c r="U101" s="236"/>
      <c r="V101" s="236"/>
      <c r="W101" s="235">
        <f>AQ113</f>
        <v>0</v>
      </c>
      <c r="X101" s="236"/>
      <c r="Y101" s="236"/>
      <c r="Z101" s="239">
        <f>IF(AF147&gt;0,(AQ113/AF147),0)</f>
        <v>0</v>
      </c>
      <c r="AA101" s="240"/>
      <c r="AB101" s="240"/>
      <c r="AC101" s="262">
        <f>IF(AF161=0,0,(AF153/AF161))</f>
        <v>0</v>
      </c>
      <c r="AD101" s="263"/>
      <c r="AE101" s="264"/>
      <c r="AF101" s="268"/>
      <c r="AG101" s="268"/>
      <c r="AH101" s="270"/>
      <c r="AI101" s="271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410">
        <f>AV12</f>
        <v>0</v>
      </c>
      <c r="F102" s="411"/>
      <c r="G102" s="411"/>
      <c r="H102" s="411"/>
      <c r="I102" s="411"/>
      <c r="J102" s="411"/>
      <c r="K102" s="411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305" t="s">
        <v>192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customHeight="1" thickTop="1" x14ac:dyDescent="0.2">
      <c r="A104" s="4" t="s">
        <v>66</v>
      </c>
      <c r="B104" s="308">
        <v>0.35416666666666669</v>
      </c>
      <c r="C104" s="309"/>
      <c r="D104" s="310"/>
      <c r="E104" s="308">
        <v>0.39583333333333331</v>
      </c>
      <c r="F104" s="309"/>
      <c r="G104" s="310"/>
      <c r="H104" s="308">
        <v>0.4375</v>
      </c>
      <c r="I104" s="309"/>
      <c r="J104" s="310"/>
      <c r="K104" s="308">
        <v>0.5</v>
      </c>
      <c r="L104" s="309"/>
      <c r="M104" s="310"/>
      <c r="N104" s="308">
        <v>4.1666666666666664E-2</v>
      </c>
      <c r="O104" s="309"/>
      <c r="P104" s="310"/>
      <c r="Q104" s="308">
        <v>8.3333333333333329E-2</v>
      </c>
      <c r="R104" s="309"/>
      <c r="S104" s="310"/>
      <c r="T104" s="308">
        <v>4.1666666666666664E-2</v>
      </c>
      <c r="U104" s="309"/>
      <c r="V104" s="310"/>
      <c r="W104" s="308">
        <v>7.2916666666666671E-2</v>
      </c>
      <c r="X104" s="309"/>
      <c r="Y104" s="310"/>
      <c r="Z104" s="308">
        <v>0.10416666666666667</v>
      </c>
      <c r="AA104" s="309"/>
      <c r="AB104" s="310"/>
      <c r="AC104" s="308">
        <v>0.13541666666666666</v>
      </c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>
        <v>0.35416666666666669</v>
      </c>
      <c r="C105" s="320"/>
      <c r="D105" s="321"/>
      <c r="E105" s="319">
        <v>0.39583333333333331</v>
      </c>
      <c r="F105" s="320"/>
      <c r="G105" s="321"/>
      <c r="H105" s="319">
        <v>0.44166666666666665</v>
      </c>
      <c r="I105" s="320"/>
      <c r="J105" s="321"/>
      <c r="K105" s="319">
        <v>0.47916666666666669</v>
      </c>
      <c r="L105" s="320"/>
      <c r="M105" s="321"/>
      <c r="N105" s="319">
        <v>0.52986111111111112</v>
      </c>
      <c r="O105" s="320"/>
      <c r="P105" s="321"/>
      <c r="Q105" s="319">
        <v>8.5416666666666655E-2</v>
      </c>
      <c r="R105" s="320"/>
      <c r="S105" s="321"/>
      <c r="T105" s="319"/>
      <c r="U105" s="320"/>
      <c r="V105" s="321"/>
      <c r="W105" s="319"/>
      <c r="X105" s="320"/>
      <c r="Y105" s="321"/>
      <c r="Z105" s="319"/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>
        <v>0.38680555555555557</v>
      </c>
      <c r="C106" s="320"/>
      <c r="D106" s="321"/>
      <c r="E106" s="319">
        <v>0.42638888888888887</v>
      </c>
      <c r="F106" s="320"/>
      <c r="G106" s="321"/>
      <c r="H106" s="319">
        <v>0.48194444444444445</v>
      </c>
      <c r="I106" s="320"/>
      <c r="J106" s="321"/>
      <c r="K106" s="319">
        <v>0.51944444444444449</v>
      </c>
      <c r="L106" s="320"/>
      <c r="M106" s="321"/>
      <c r="N106" s="319">
        <v>7.4999999999999997E-2</v>
      </c>
      <c r="O106" s="320"/>
      <c r="P106" s="321"/>
      <c r="Q106" s="319">
        <v>0.12013888888888889</v>
      </c>
      <c r="R106" s="320"/>
      <c r="S106" s="321"/>
      <c r="T106" s="319"/>
      <c r="U106" s="320"/>
      <c r="V106" s="321"/>
      <c r="W106" s="319"/>
      <c r="X106" s="320"/>
      <c r="Y106" s="321"/>
      <c r="Z106" s="319"/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7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/>
      </c>
      <c r="U107" s="323"/>
      <c r="V107" s="324"/>
      <c r="W107" s="322" t="str">
        <f>IF(AK93&gt;7,"Match 8","")</f>
        <v/>
      </c>
      <c r="X107" s="323"/>
      <c r="Y107" s="324"/>
      <c r="Z107" s="322" t="str">
        <f>IF(AK93&gt;8,"Match 9","")</f>
        <v/>
      </c>
      <c r="AA107" s="323"/>
      <c r="AB107" s="324"/>
      <c r="AC107" s="322" t="str">
        <f>IF(AK93&gt;9,"Match 10","")</f>
        <v/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7"/>
      <c r="B108" s="325" t="s">
        <v>73</v>
      </c>
      <c r="C108" s="326"/>
      <c r="D108" s="327"/>
      <c r="E108" s="325" t="s">
        <v>75</v>
      </c>
      <c r="F108" s="326"/>
      <c r="G108" s="327"/>
      <c r="H108" s="325" t="s">
        <v>72</v>
      </c>
      <c r="I108" s="326"/>
      <c r="J108" s="327"/>
      <c r="K108" s="325" t="s">
        <v>71</v>
      </c>
      <c r="L108" s="326"/>
      <c r="M108" s="327"/>
      <c r="N108" s="325" t="s">
        <v>75</v>
      </c>
      <c r="O108" s="326"/>
      <c r="P108" s="327"/>
      <c r="Q108" s="325" t="s">
        <v>72</v>
      </c>
      <c r="R108" s="326"/>
      <c r="S108" s="327"/>
      <c r="T108" s="325" t="s">
        <v>71</v>
      </c>
      <c r="U108" s="326"/>
      <c r="V108" s="327"/>
      <c r="W108" s="325" t="s">
        <v>75</v>
      </c>
      <c r="X108" s="326"/>
      <c r="Y108" s="327"/>
      <c r="Z108" s="325" t="s">
        <v>197</v>
      </c>
      <c r="AA108" s="326"/>
      <c r="AB108" s="327"/>
      <c r="AC108" s="325" t="s">
        <v>72</v>
      </c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3</v>
      </c>
      <c r="E109" s="45">
        <v>1</v>
      </c>
      <c r="F109" s="46" t="str">
        <f>IF(AK93&gt;1,"v","")</f>
        <v>v</v>
      </c>
      <c r="G109" s="47">
        <v>4</v>
      </c>
      <c r="H109" s="45">
        <v>2</v>
      </c>
      <c r="I109" s="46" t="str">
        <f>IF(AK93&gt;2,"v","")</f>
        <v>v</v>
      </c>
      <c r="J109" s="47">
        <v>4</v>
      </c>
      <c r="K109" s="45">
        <v>1</v>
      </c>
      <c r="L109" s="46" t="str">
        <f>IF(AK93&gt;3,"v","")</f>
        <v>v</v>
      </c>
      <c r="M109" s="47">
        <v>3</v>
      </c>
      <c r="N109" s="45">
        <v>3</v>
      </c>
      <c r="O109" s="46" t="str">
        <f>IF(AK93&gt;4,"v","")</f>
        <v>v</v>
      </c>
      <c r="P109" s="47">
        <v>4</v>
      </c>
      <c r="Q109" s="45">
        <v>1</v>
      </c>
      <c r="R109" s="46" t="str">
        <f>IF(AK93&gt;5,"v","")</f>
        <v>v</v>
      </c>
      <c r="S109" s="47">
        <v>2</v>
      </c>
      <c r="T109" s="45">
        <v>2</v>
      </c>
      <c r="U109" s="46" t="str">
        <f>IF(AK93&gt;6,"v","")</f>
        <v/>
      </c>
      <c r="V109" s="47">
        <v>3</v>
      </c>
      <c r="W109" s="45">
        <v>1</v>
      </c>
      <c r="X109" s="46" t="str">
        <f>IF(AK93&gt;7,"v","")</f>
        <v/>
      </c>
      <c r="Y109" s="47">
        <v>5</v>
      </c>
      <c r="Z109" s="45">
        <v>3</v>
      </c>
      <c r="AA109" s="46" t="str">
        <f>IF(AK93&gt;8,"v","")</f>
        <v/>
      </c>
      <c r="AB109" s="47">
        <v>4</v>
      </c>
      <c r="AC109" s="45">
        <v>1</v>
      </c>
      <c r="AD109" s="46" t="str">
        <f>IF(AK93&gt;9,"v","")</f>
        <v/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18</v>
      </c>
      <c r="AI109" s="48" t="str">
        <f>IF(AK94&lt;1,"",IF(AK93&lt;3,"",IF(H109=1,H115-J115,IF(J109=1,J115-H115,""))))</f>
        <v/>
      </c>
      <c r="AJ109" s="48">
        <f>IF(AK94&lt;1,"",IF(AK93&lt;4,"",IF(K109=1,K115-M115,IF(M109=1,M115-K115,""))))</f>
        <v>18</v>
      </c>
      <c r="AK109" s="48" t="str">
        <f>IF(AK94&lt;1,"",IF(AK93&lt;5,"",IF(N109=1,N115-P115,IF(P109=1,P115-N115,""))))</f>
        <v/>
      </c>
      <c r="AL109" s="48">
        <f>IF(AK94&lt;1,"",IF(AK93&lt;6,"",IF(Q109=1,Q115-S115,IF(S109=1,S115-Q115,""))))</f>
        <v>6</v>
      </c>
      <c r="AM109" s="48" t="str">
        <f>IF(AK94&lt;1,"",IF(AK93&lt;7,"",IF(T109=1,T115-V115,IF(V109=1,V115-T115,""))))</f>
        <v/>
      </c>
      <c r="AN109" s="48" t="str">
        <f>IF(AK94&lt;1,"",IF(AK93&lt;8,"",IF(W109=1,W115-Y115,IF(Y109=1,Y115-W115,""))))</f>
        <v/>
      </c>
      <c r="AO109" s="48" t="str">
        <f>IF(AK94&lt;1,"",IF(AK93&lt;9,"",IF(Z109=1,Z115-AB115,IF(AB109=1,AB115-Z115,""))))</f>
        <v/>
      </c>
      <c r="AP109" s="48" t="str">
        <f>IF(AK94&lt;1,"",IF(AK93&lt;10,"",IF(AC109=1,AC115-AE115,IF(AE109=1,AE115-AC115,""))))</f>
        <v/>
      </c>
      <c r="AQ109" s="44">
        <f>SUM(AG109:AP109)</f>
        <v>42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20</v>
      </c>
      <c r="E110" s="49">
        <v>25</v>
      </c>
      <c r="F110" s="50" t="str">
        <f>IF(AK93&gt;1,"/","")</f>
        <v>/</v>
      </c>
      <c r="G110" s="51">
        <v>22</v>
      </c>
      <c r="H110" s="49">
        <v>22</v>
      </c>
      <c r="I110" s="50" t="str">
        <f>IF(AK93&gt;2,"/","")</f>
        <v>/</v>
      </c>
      <c r="J110" s="51">
        <v>25</v>
      </c>
      <c r="K110" s="49">
        <v>25</v>
      </c>
      <c r="L110" s="50" t="str">
        <f>IF(AK93&gt;3,"/","")</f>
        <v>/</v>
      </c>
      <c r="M110" s="51">
        <v>18</v>
      </c>
      <c r="N110" s="49">
        <v>26</v>
      </c>
      <c r="O110" s="50" t="str">
        <f>IF(AK93&gt;4,"/","")</f>
        <v>/</v>
      </c>
      <c r="P110" s="51">
        <v>27</v>
      </c>
      <c r="Q110" s="49">
        <v>25</v>
      </c>
      <c r="R110" s="50" t="str">
        <f>IF(AK93&gt;5,"/","")</f>
        <v>/</v>
      </c>
      <c r="S110" s="51">
        <v>22</v>
      </c>
      <c r="T110" s="49"/>
      <c r="U110" s="50" t="str">
        <f>IF(AK93&gt;6,"/","")</f>
        <v/>
      </c>
      <c r="V110" s="51"/>
      <c r="W110" s="49"/>
      <c r="X110" s="50" t="str">
        <f>IF(AK93&gt;7,"/","")</f>
        <v/>
      </c>
      <c r="Y110" s="51"/>
      <c r="Z110" s="49"/>
      <c r="AA110" s="50" t="str">
        <f>IF(AK93&gt;8,"/","")</f>
        <v/>
      </c>
      <c r="AB110" s="51"/>
      <c r="AC110" s="49"/>
      <c r="AD110" s="50" t="str">
        <f>IF(AK93&gt;9,"/","")</f>
        <v/>
      </c>
      <c r="AE110" s="51"/>
      <c r="AF110" s="42" t="str">
        <f>IF(AK94&gt;1,"Team 2","")</f>
        <v>Team 2</v>
      </c>
      <c r="AG110" s="48">
        <f>IF(AK94&lt;2,"",IF(AK93&lt;1,"",IF(B109=2,B115-D115,IF(D109=2,D115-B115,""))))</f>
        <v>7</v>
      </c>
      <c r="AH110" s="48" t="str">
        <f>IF(AK94&lt;2,"",IF(AK93&lt;2,"",IF(E109=2,E115-G115,IF(G109=2,G115-E115,""))))</f>
        <v/>
      </c>
      <c r="AI110" s="48">
        <f>IF(AK94&lt;2,"",IF(AK93&lt;3,"",IF(H109=2,H115-J115,IF(J109=2,J115-H115,""))))</f>
        <v>8</v>
      </c>
      <c r="AJ110" s="48" t="str">
        <f>IF(AK94&lt;2,"",IF(AK93&lt;4,"",IF(K109=2,K115-M115,IF(M109=2,M115-K115,""))))</f>
        <v/>
      </c>
      <c r="AK110" s="48" t="str">
        <f>IF(AK94&lt;2,"",IF(AK93&lt;5,"",IF(N109=2,N115-P115,IF(P109=2,P115-N115,""))))</f>
        <v/>
      </c>
      <c r="AL110" s="48">
        <f>IF(AK94&lt;2,"",IF(AK93&lt;6,"",IF(Q109=2,Q115-S115,IF(S109=2,S115-Q115,""))))</f>
        <v>-6</v>
      </c>
      <c r="AM110" s="48" t="str">
        <f>IF(AK94&lt;2,"",IF(AK93&lt;7,"",IF(T109=2,T115-V115,IF(V109=2,V115-T115,""))))</f>
        <v/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 t="str">
        <f>IF(AK94&lt;2,"",IF(AK93&lt;10,"",IF(AC109=2,AC115-AE115,IF(AE109=2,AE115-AC115,""))))</f>
        <v/>
      </c>
      <c r="AQ110" s="44">
        <f>SUM(AG110:AP110)</f>
        <v>9</v>
      </c>
    </row>
    <row r="111" spans="1:44" ht="15" x14ac:dyDescent="0.2">
      <c r="A111" s="3" t="str">
        <f>IF(AK92&gt;1,"Game 2","")</f>
        <v>Game 2</v>
      </c>
      <c r="B111" s="49">
        <v>25</v>
      </c>
      <c r="C111" s="50" t="s">
        <v>80</v>
      </c>
      <c r="D111" s="51">
        <v>23</v>
      </c>
      <c r="E111" s="49">
        <v>25</v>
      </c>
      <c r="F111" s="50" t="str">
        <f>IF(AK93&gt;1,IF(AK92&gt;1,"/",""),"")</f>
        <v>/</v>
      </c>
      <c r="G111" s="51">
        <v>10</v>
      </c>
      <c r="H111" s="49">
        <v>25</v>
      </c>
      <c r="I111" s="50" t="str">
        <f>IF(AK93&gt;2,IF(AK92&gt;1,"/",""),"")</f>
        <v>/</v>
      </c>
      <c r="J111" s="51">
        <v>18</v>
      </c>
      <c r="K111" s="49">
        <v>25</v>
      </c>
      <c r="L111" s="50" t="str">
        <f>IF(AK93&gt;3,IF(AK92&gt;1,"/",""),"")</f>
        <v>/</v>
      </c>
      <c r="M111" s="51">
        <v>14</v>
      </c>
      <c r="N111" s="49">
        <v>27</v>
      </c>
      <c r="O111" s="50" t="str">
        <f>IF(AK93&gt;4,IF(AK92&gt;1,"/",""),"")</f>
        <v>/</v>
      </c>
      <c r="P111" s="51">
        <v>26</v>
      </c>
      <c r="Q111" s="49">
        <v>25</v>
      </c>
      <c r="R111" s="50" t="str">
        <f>IF(AK93&gt;5,IF(AK92&gt;1,"/",""),"")</f>
        <v>/</v>
      </c>
      <c r="S111" s="51">
        <v>22</v>
      </c>
      <c r="T111" s="49"/>
      <c r="U111" s="50" t="str">
        <f>IF(AK93&gt;6,IF(AK92&gt;1,"/",""),"")</f>
        <v/>
      </c>
      <c r="V111" s="51"/>
      <c r="W111" s="49"/>
      <c r="X111" s="50" t="str">
        <f>IF(AK93&gt;7,IF(AK92&gt;1,"/",""),"")</f>
        <v/>
      </c>
      <c r="Y111" s="51"/>
      <c r="Z111" s="49"/>
      <c r="AA111" s="50" t="str">
        <f>IF(AK93&gt;8,IF(AK92&gt;1,"/",""),"")</f>
        <v/>
      </c>
      <c r="AB111" s="51"/>
      <c r="AC111" s="49"/>
      <c r="AD111" s="50" t="str">
        <f>IF(AK93&gt;9,IF(AK92&gt;1,"/",""),"")</f>
        <v/>
      </c>
      <c r="AE111" s="51"/>
      <c r="AF111" s="42" t="str">
        <f>IF(AK94&gt;2,"Team 3","")</f>
        <v>Team 3</v>
      </c>
      <c r="AG111" s="48">
        <f>IF(AK94&lt;3,"",IF(AK93&lt;1,"",IF(B109=3,B115-D115,IF(D109=3,D115-B115,""))))</f>
        <v>-7</v>
      </c>
      <c r="AH111" s="48" t="str">
        <f>IF(AK94&lt;3,"",IF(AK93&lt;2,"",IF(E109=3,E115-G115,IF(G109=3,G115-E115,""))))</f>
        <v/>
      </c>
      <c r="AI111" s="48" t="str">
        <f>IF(AK94&lt;3,"",IF(AK93&lt;3,"",IF(H109=3,H115-J115,IF(J109=3,J115-H115,""))))</f>
        <v/>
      </c>
      <c r="AJ111" s="48">
        <f>IF(AK94&lt;3,"",IF(AK93&lt;4,"",IF(K109=3,K115-M115,IF(M109=3,M115-K115,""))))</f>
        <v>-18</v>
      </c>
      <c r="AK111" s="48">
        <f>IF(AK94&lt;3,"",IF(AK93&lt;5,"",IF(N109=3,N115-P115,IF(P109=3,P115-N115,""))))</f>
        <v>-9</v>
      </c>
      <c r="AL111" s="48" t="str">
        <f>IF(AK94&lt;3,"",IF(AK93&lt;6,"",IF(Q109=3,Q115-S115,IF(S109=3,S115-Q115,""))))</f>
        <v/>
      </c>
      <c r="AM111" s="48" t="str">
        <f>IF(AK94&lt;3,"",IF(AK93&lt;7,"",IF(T109=3,T115-V115,IF(V109=3,V115-T115,""))))</f>
        <v/>
      </c>
      <c r="AN111" s="48" t="str">
        <f>IF(AK94&lt;3,"",IF(AK93&lt;8,"",IF(W109=3,W115-Y115,IF(Y109=3,Y115-W115,""))))</f>
        <v/>
      </c>
      <c r="AO111" s="48" t="str">
        <f>IF(AK94&lt;3,"",IF(AK93&lt;9,"",IF(Z109=3,Z115-AB115,IF(AB109=3,AB115-Z115,""))))</f>
        <v/>
      </c>
      <c r="AP111" s="48" t="str">
        <f>IF(AK94&lt;3,"",IF(AK93&lt;9,"",IF(AC109=3,AC115-AE115,IF(AE109=3,AE115-AC115,""))))</f>
        <v/>
      </c>
      <c r="AQ111" s="44">
        <f>SUM(AG111:AP111)</f>
        <v>-34</v>
      </c>
    </row>
    <row r="112" spans="1:44" ht="15" x14ac:dyDescent="0.2">
      <c r="A112" s="3" t="str">
        <f>IF(AK92&gt;2,"Game 3","")</f>
        <v>Game 3</v>
      </c>
      <c r="B112" s="49"/>
      <c r="C112" s="50" t="s">
        <v>80</v>
      </c>
      <c r="D112" s="51"/>
      <c r="E112" s="49"/>
      <c r="F112" s="50" t="str">
        <f>IF(AK93&gt;1,IF(AK92&gt;2,"/",""),"")</f>
        <v>/</v>
      </c>
      <c r="G112" s="51"/>
      <c r="H112" s="49">
        <v>15</v>
      </c>
      <c r="I112" s="50" t="str">
        <f>IF(AK93&gt;2,IF(AK92&gt;2,"/",""),"")</f>
        <v>/</v>
      </c>
      <c r="J112" s="51">
        <v>11</v>
      </c>
      <c r="K112" s="49"/>
      <c r="L112" s="50" t="str">
        <f>IF(AK93&gt;3,IF(AK92&gt;2,"/",""),"")</f>
        <v>/</v>
      </c>
      <c r="M112" s="51"/>
      <c r="N112" s="49">
        <v>6</v>
      </c>
      <c r="O112" s="50" t="str">
        <f>IF(AK93&gt;4,IF(AK92&gt;2,"/",""),"")</f>
        <v>/</v>
      </c>
      <c r="P112" s="51">
        <v>15</v>
      </c>
      <c r="Q112" s="49"/>
      <c r="R112" s="50" t="str">
        <f>IF(AK93&gt;5,IF(AK92&gt;2,"/",""),"")</f>
        <v>/</v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-18</v>
      </c>
      <c r="AI112" s="48">
        <f>IF(AK94&lt;4,"",IF(AK93&lt;3,"",IF(H109=4,H115-J115,IF(J109=4,J115-H115,""))))</f>
        <v>-8</v>
      </c>
      <c r="AJ112" s="48" t="str">
        <f>IF(AK94&lt;4,"",IF(AK93&lt;4,"",IF(K109=4,K115-M115,IF(M109=4,M115-K115,""))))</f>
        <v/>
      </c>
      <c r="AK112" s="48">
        <f>IF(AK94&lt;4,"",IF(AK93&lt;5,"",IF(N109=4,N115-P115,IF(P109=4,P115-N115,""))))</f>
        <v>9</v>
      </c>
      <c r="AL112" s="48" t="str">
        <f>IF(AK94&lt;4,"",IF(AK93&lt;6,"",IF(Q109=4,Q115-S115,IF(S109=4,S115-Q115,""))))</f>
        <v/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 t="str">
        <f>IF(AK94&lt;4,"",IF(AK93&lt;9,"",IF(Z109=4,Z115-AB115,IF(AB109=4,AB115-Z115,""))))</f>
        <v/>
      </c>
      <c r="AP112" s="48" t="str">
        <f>IF(AK94&lt;4,"",IF(AK93&lt;10,"",IF(AC109=4,AC115-AE115,IF(AE109=4,AE115-AC115,""))))</f>
        <v/>
      </c>
      <c r="AQ112" s="44">
        <f>SUM(AG112:AP112)</f>
        <v>-17</v>
      </c>
    </row>
    <row r="113" spans="1:43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/>
      </c>
      <c r="AG113" s="52" t="str">
        <f>IF(AK94&lt;5,"",IF(AK93&lt;1,"",IF(B109=5,B115-D115,IF(D109=5,D115-B115,""))))</f>
        <v/>
      </c>
      <c r="AH113" s="48" t="str">
        <f>IF(AK94&lt;5,"",IF(AK93&lt;2,"",IF(E109=5,E115-G115,IF(G109=5,G115-E115,""))))</f>
        <v/>
      </c>
      <c r="AI113" s="48" t="str">
        <f>IF(AK94&lt;5,"",IF(AK93&lt;3,"",IF(H109=5,H115-J115,IF(J109=5,J115-H115,""))))</f>
        <v/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 t="str">
        <f>IF(AK94&lt;5,"",IF(AK93&lt;6,"",IF(Q109=5,Q115-S115,IF(S109=5,S115-Q115,""))))</f>
        <v/>
      </c>
      <c r="AM113" s="48" t="str">
        <f>IF(AK94&lt;5,"",IF(AK93&lt;7,"",IF(T109=5,T115-V115,IF(V109=5,V115-T115,""))))</f>
        <v/>
      </c>
      <c r="AN113" s="48" t="str">
        <f>IF(AK94&lt;5,"",IF(AK93&lt;8,"",IF(W109=5,W115-Y115,IF(Y109=5,Y115-W115,""))))</f>
        <v/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0</v>
      </c>
    </row>
    <row r="114" spans="1:43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3" hidden="1" x14ac:dyDescent="0.2">
      <c r="A115" s="53"/>
      <c r="B115" s="53">
        <f>IF($AK92=5,SUM(B110:B114),IF($AK92=4,SUM(B110:B113),IF($AK92=3,SUM(B110:B112),IF($AK92=2,SUM(B110:B111),B110))))</f>
        <v>50</v>
      </c>
      <c r="C115" s="53"/>
      <c r="D115" s="53">
        <f>IF($AK92=5,SUM(D110:D114),IF($AK92=4,SUM(D110:D113),IF($AK92=3,SUM(D110:D112),IF($AK92=2,SUM(D110:D111),D110))))</f>
        <v>43</v>
      </c>
      <c r="E115" s="53">
        <f>IF($AK92=5,SUM(E110:E114),IF($AK92=4,SUM(E110:E113),IF($AK92=3,SUM(E110:E112),IF($AK92=2,SUM(E110:E111),E110))))</f>
        <v>50</v>
      </c>
      <c r="F115" s="53"/>
      <c r="G115" s="53">
        <f>IF($AK92=5,SUM(G110:G114),IF($AK92=4,SUM(G110:G113),IF($AK92=3,SUM(G110:G112),IF($AK92=2,SUM(G110:G111),G110))))</f>
        <v>32</v>
      </c>
      <c r="H115" s="53">
        <f>IF($AK92=5,SUM(H110:H114),IF($AK92=4,SUM(H110:H113),IF($AK92=3,SUM(H110:H112),IF($AK92=2,SUM(H110:H111),H110))))</f>
        <v>62</v>
      </c>
      <c r="I115" s="53"/>
      <c r="J115" s="53">
        <f>IF($AK92=5,SUM(J110:J114),IF($AK92=4,SUM(J110:J113),IF($AK92=3,SUM(J110:J112),IF($AK92=2,SUM(J110:J111),J110))))</f>
        <v>54</v>
      </c>
      <c r="K115" s="53">
        <f>IF($AK92=5,SUM(K110:K114),IF($AK92=4,SUM(K110:K113),IF($AK92=3,SUM(K110:K112),IF($AK92=2,SUM(K110:K111),K110))))</f>
        <v>50</v>
      </c>
      <c r="L115" s="53"/>
      <c r="M115" s="53">
        <f>IF($AK92=5,SUM(M110:M114),IF($AK92=4,SUM(M110:M113),IF($AK92=3,SUM(M110:M112),IF($AK92=2,SUM(M110:M111),M110))))</f>
        <v>32</v>
      </c>
      <c r="N115" s="53">
        <f>IF($AK92=5,SUM(N110:N114),IF($AK92=4,SUM(N110:N113),IF($AK92=3,SUM(N110:N112),IF($AK92=2,SUM(N110:N111),N110))))</f>
        <v>59</v>
      </c>
      <c r="O115" s="53"/>
      <c r="P115" s="53">
        <f>IF($AK92=5,SUM(P110:P114),IF($AK92=4,SUM(P110:P113),IF($AK92=3,SUM(P110:P112),IF($AK92=2,SUM(P110:P111),P110))))</f>
        <v>68</v>
      </c>
      <c r="Q115" s="53">
        <f>IF($AK92=5,SUM(Q110:Q114),IF($AK92=4,SUM(Q110:Q113),IF($AK92=3,SUM(Q110:Q112),IF($AK92=2,SUM(Q110:Q111),Q110))))</f>
        <v>50</v>
      </c>
      <c r="R115" s="53"/>
      <c r="S115" s="53">
        <f>IF($AK92=5,SUM(S110:S114),IF($AK92=4,SUM(S110:S113),IF($AK92=3,SUM(S110:S112),IF($AK92=2,SUM(S110:S111),S110))))</f>
        <v>44</v>
      </c>
      <c r="T115" s="53">
        <f>IF($AK92=5,SUM(T110:T114),IF($AK92=4,SUM(T110:T113),IF($AK92=3,SUM(T110:T112),IF($AK92=2,SUM(T110:T111),T110))))</f>
        <v>0</v>
      </c>
      <c r="U115" s="53"/>
      <c r="V115" s="53">
        <f>IF($AK92=5,SUM(V110:V114),IF($AK92=4,SUM(V110:V113),IF($AK92=3,SUM(V110:V112),IF($AK92=2,SUM(V110:V111),V110))))</f>
        <v>0</v>
      </c>
      <c r="W115" s="53">
        <f>IF($AK92=5,SUM(W110:W114),IF($AK92=4,SUM(W110:W113),IF($AK92=3,SUM(W110:W112),IF($AK92=2,SUM(W110:W111),W110))))</f>
        <v>0</v>
      </c>
      <c r="X115" s="53"/>
      <c r="Y115" s="53">
        <f>IF($AK92=5,SUM(Y110:Y114),IF($AK92=4,SUM(Y110:Y113),IF($AK92=3,SUM(Y110:Y112),IF($AK92=2,SUM(Y110:Y111),Y110))))</f>
        <v>0</v>
      </c>
      <c r="Z115" s="53">
        <f>IF($AK92=5,SUM(Z110:Z114),IF($AK92=4,SUM(Z110:Z113),IF($AK92=3,SUM(Z110:Z112),IF($AK92=2,SUM(Z110:Z111),Z110))))</f>
        <v>0</v>
      </c>
      <c r="AA115" s="53"/>
      <c r="AB115" s="53">
        <f>IF($AK92=5,SUM(AB110:AB114),IF($AK92=4,SUM(AB110:AB113),IF($AK92=3,SUM(AB110:AB112),IF($AK92=2,SUM(AB110:AB111),AB110))))</f>
        <v>0</v>
      </c>
      <c r="AC115" s="53">
        <f>IF($AK92=5,SUM(AC110:AC114),IF($AK92=4,SUM(AC110:AC113),IF($AK92=3,SUM(AC110:AC112),IF($AK92=2,SUM(AC110:AC111),AC110))))</f>
        <v>0</v>
      </c>
      <c r="AD115" s="53"/>
      <c r="AE115" s="53">
        <f>IF($AK92=5,SUM(AE110:AE114),IF($AK92=4,SUM(AE110:AE113),IF($AK92=3,SUM(AE110:AE112),IF($AK92=2,SUM(AE110:AE111),AE110))))</f>
        <v>0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3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1</v>
      </c>
      <c r="F116" s="56"/>
      <c r="G116" s="57">
        <f>IF(AND(G110&gt;E110,$AK93&gt;1,ISNUMBER(E110),ISNUMBER(G110)),1,0)</f>
        <v>0</v>
      </c>
      <c r="H116" s="56">
        <f>IF(AND(H110&gt;J110,$AK93&gt;2,ISNUMBER(H110),ISNUMBER(J110)),1,0)</f>
        <v>0</v>
      </c>
      <c r="I116" s="56"/>
      <c r="J116" s="57">
        <f>IF(AND(J110&gt;H110,$AK93&gt;2,ISNUMBER(H110),ISNUMBER(J110)),1,0)</f>
        <v>1</v>
      </c>
      <c r="K116" s="56">
        <f>IF(AND(K110&gt;M110,$AK93&gt;3,ISNUMBER(K110),ISNUMBER(M110)),1,0)</f>
        <v>1</v>
      </c>
      <c r="L116" s="56"/>
      <c r="M116" s="57">
        <f>IF(AND(M110&gt;K110,$AK93&gt;3,ISNUMBER(K110),ISNUMBER(M110)),1,0)</f>
        <v>0</v>
      </c>
      <c r="N116" s="56">
        <f>IF(AND(N110&gt;P110,$AK93&gt;4,ISNUMBER(N110),ISNUMBER(P110)),1,0)</f>
        <v>0</v>
      </c>
      <c r="O116" s="56"/>
      <c r="P116" s="57">
        <f>IF(AND(P110&gt;N110,$AK93&gt;4,ISNUMBER(N110),ISNUMBER(P110)),1,0)</f>
        <v>1</v>
      </c>
      <c r="Q116" s="56">
        <f>IF(AND(Q110&gt;S110,$AK93&gt;5,ISNUMBER(Q110),ISNUMBER(S110)),1,0)</f>
        <v>1</v>
      </c>
      <c r="R116" s="56"/>
      <c r="S116" s="57">
        <f>IF(AND(S110&gt;Q110,$AK93&gt;5,ISNUMBER(Q110),ISNUMBER(S110)),1,0)</f>
        <v>0</v>
      </c>
      <c r="T116" s="56">
        <f>IF(AND(T110&gt;V110,$AK93&gt;6,ISNUMBER(T110),ISNUMBER(V110)),1,0)</f>
        <v>0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0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0</v>
      </c>
      <c r="AD116" s="56"/>
      <c r="AE116" s="57">
        <f>IF(AND(AE110&gt;AC110,$AK93&gt;9,ISNUMBER(AC110),ISNUMBER(AE110)),1,0)</f>
        <v>0</v>
      </c>
    </row>
    <row r="117" spans="1:43" s="55" customFormat="1" ht="12.75" hidden="1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1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1</v>
      </c>
      <c r="I117" s="56"/>
      <c r="J117" s="57">
        <f>IF(AND(J111&gt;H111,$AK93&gt;2,$AK92&gt;1,ISNUMBER(H111),ISNUMBER(J111)),1,0)</f>
        <v>0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1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1</v>
      </c>
      <c r="R117" s="56"/>
      <c r="S117" s="57">
        <f>IF(AND(S111&gt;Q111,$AK93&gt;5,$AK92&gt;1,ISNUMBER(Q111),ISNUMBER(S111)),1,0)</f>
        <v>0</v>
      </c>
      <c r="T117" s="56">
        <f>IF(AND(T111&gt;V111,$AK93&gt;6,$AK92&gt;1,ISNUMBER(T111),ISNUMBER(V111)),1,0)</f>
        <v>0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0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0</v>
      </c>
      <c r="AD117" s="56"/>
      <c r="AE117" s="57">
        <f>IF(AND(AE111&gt;AC111,$AK93&gt;9,$AK92&gt;1,ISNUMBER(AC111),ISNUMBER(AE111)),1,0)</f>
        <v>0</v>
      </c>
    </row>
    <row r="118" spans="1:43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1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1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</row>
    <row r="119" spans="1:43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</row>
    <row r="120" spans="1:43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</row>
    <row r="121" spans="1:43" s="55" customFormat="1" ht="38.25" hidden="1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2</v>
      </c>
      <c r="G121" s="60">
        <f>SUM(G116:G120)</f>
        <v>0</v>
      </c>
      <c r="H121" s="55">
        <f>SUM(H116:H120)</f>
        <v>2</v>
      </c>
      <c r="J121" s="60">
        <f>SUM(J116:J120)</f>
        <v>1</v>
      </c>
      <c r="K121" s="55">
        <f>SUM(K116:K120)</f>
        <v>2</v>
      </c>
      <c r="M121" s="60">
        <f>SUM(M116:M120)</f>
        <v>0</v>
      </c>
      <c r="N121" s="55">
        <f>SUM(N116:N120)</f>
        <v>1</v>
      </c>
      <c r="P121" s="60">
        <f>SUM(P116:P120)</f>
        <v>2</v>
      </c>
      <c r="Q121" s="55">
        <f>SUM(Q116:Q120)</f>
        <v>2</v>
      </c>
      <c r="S121" s="60">
        <f>SUM(S116:S120)</f>
        <v>0</v>
      </c>
      <c r="T121" s="55">
        <f>SUM(T116:T120)</f>
        <v>0</v>
      </c>
      <c r="V121" s="60">
        <f>SUM(V116:V120)</f>
        <v>0</v>
      </c>
      <c r="W121" s="55">
        <f>SUM(W116:W120)</f>
        <v>0</v>
      </c>
      <c r="Y121" s="60">
        <f>SUM(Y116:Y120)</f>
        <v>0</v>
      </c>
      <c r="Z121" s="55">
        <f>SUM(Z116:Z120)</f>
        <v>0</v>
      </c>
      <c r="AB121" s="60">
        <f>SUM(AB116:AB120)</f>
        <v>0</v>
      </c>
      <c r="AC121" s="55">
        <f>SUM(AC116:AC120)</f>
        <v>0</v>
      </c>
      <c r="AE121" s="60">
        <f>SUM(AE116:AE120)</f>
        <v>0</v>
      </c>
    </row>
    <row r="122" spans="1:43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1</v>
      </c>
      <c r="F122" s="55">
        <f>E122+G122</f>
        <v>1</v>
      </c>
      <c r="G122" s="60">
        <f>IF(G121&gt;E121,IF(F156=AK92,1,IF(F156=AK92-1,1,0)),0)</f>
        <v>0</v>
      </c>
      <c r="H122" s="55">
        <f>IF(H121&gt;J121,IF(I156=AK92,1,IF(I156=AK92-1,1,0)),0)</f>
        <v>1</v>
      </c>
      <c r="I122" s="55">
        <f>H122+J122</f>
        <v>1</v>
      </c>
      <c r="J122" s="60">
        <f>IF(J121&gt;H121,IF(I156=AK92,1,IF(I156=AK92-1,1,0)),0)</f>
        <v>0</v>
      </c>
      <c r="K122" s="55">
        <f>IF(K121&gt;M121,IF(L156=AK92,1,IF(L156=AK92-1,1,0)),0)</f>
        <v>1</v>
      </c>
      <c r="L122" s="55">
        <f>K122+M122</f>
        <v>1</v>
      </c>
      <c r="M122" s="60">
        <f>IF(M121&gt;K121,IF(L156=AK92,1,IF(L156=AK92-1,1,0)),0)</f>
        <v>0</v>
      </c>
      <c r="N122" s="55">
        <f>IF(N121&gt;P121,IF(O156=AK92,1,IF(O156=AK92-1,1,0)),0)</f>
        <v>0</v>
      </c>
      <c r="O122" s="55">
        <f>N122+P122</f>
        <v>1</v>
      </c>
      <c r="P122" s="60">
        <f>IF(P121&gt;N121,IF(O156=AK92,1,IF(O156=AK92-1,1,0)),0)</f>
        <v>1</v>
      </c>
      <c r="Q122" s="55">
        <f>IF(Q121&gt;S121,IF(R156=AK92,1,IF(R156=AK92-1,1,0)),0)</f>
        <v>1</v>
      </c>
      <c r="R122" s="55">
        <f>Q122+S122</f>
        <v>1</v>
      </c>
      <c r="S122" s="60">
        <f>IF(S121&gt;Q121,IF(R156=AK92,1,IF(R156=AK92-1,1,0)),0)</f>
        <v>0</v>
      </c>
      <c r="T122" s="55">
        <f>IF(T121&gt;V121,IF(U156=AK92,1,IF(U156=AK92-1,1,0)),0)</f>
        <v>0</v>
      </c>
      <c r="U122" s="55">
        <f>T122+V122</f>
        <v>0</v>
      </c>
      <c r="V122" s="60">
        <f>IF(V121&gt;T121,IF(U156=AK92,1,IF(U156=AK92-1,1,0)),0)</f>
        <v>0</v>
      </c>
      <c r="W122" s="55">
        <f>IF(W121&gt;Y121,IF(X156=AK92,1,IF(X156=AK92-1,1,0)),0)</f>
        <v>0</v>
      </c>
      <c r="X122" s="55">
        <f>W122+Y122</f>
        <v>0</v>
      </c>
      <c r="Y122" s="60">
        <f>IF(Y121&gt;W121,IF(X156=AK92,1,IF(X156=AK92-1,1,0)),0)</f>
        <v>0</v>
      </c>
      <c r="Z122" s="55">
        <f>IF(Z121&gt;AB121,IF(AA156=AK92,1,IF(AA156=AK92-1,1,0)),0)</f>
        <v>0</v>
      </c>
      <c r="AA122" s="55">
        <f>Z122+AB122</f>
        <v>0</v>
      </c>
      <c r="AB122" s="60">
        <f>IF(AB121&gt;Z121,IF(AA156=AK92,1,IF(AA156=AK92-1,1,0)),0)</f>
        <v>0</v>
      </c>
      <c r="AC122" s="55">
        <f>IF(AC121&gt;AE121,IF(AD156=AK92,1,IF(AD156=AK92-1,1,0)),0)</f>
        <v>0</v>
      </c>
      <c r="AD122" s="55">
        <f>AC122+AE122</f>
        <v>0</v>
      </c>
      <c r="AE122" s="60">
        <f>IF(AE121&gt;AC121,IF(AD156=AK92,1,IF(AD156=AK92-1,1,0)),0)</f>
        <v>0</v>
      </c>
    </row>
    <row r="123" spans="1:43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</row>
    <row r="124" spans="1:43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25</v>
      </c>
      <c r="G124" s="60">
        <f t="shared" ref="G124:H128" si="12">IF(G116=1,G110,0)</f>
        <v>0</v>
      </c>
      <c r="H124" s="55">
        <f t="shared" si="12"/>
        <v>0</v>
      </c>
      <c r="J124" s="60">
        <f t="shared" ref="J124:K128" si="13">IF(J116=1,J110,0)</f>
        <v>25</v>
      </c>
      <c r="K124" s="55">
        <f t="shared" si="13"/>
        <v>25</v>
      </c>
      <c r="M124" s="60">
        <f t="shared" ref="M124:N128" si="14">IF(M116=1,M110,0)</f>
        <v>0</v>
      </c>
      <c r="N124" s="55">
        <f t="shared" si="14"/>
        <v>0</v>
      </c>
      <c r="P124" s="60">
        <f t="shared" ref="P124:Q128" si="15">IF(P116=1,P110,0)</f>
        <v>27</v>
      </c>
      <c r="Q124" s="55">
        <f t="shared" si="15"/>
        <v>25</v>
      </c>
      <c r="S124" s="60">
        <f t="shared" ref="S124:T128" si="16">IF(S116=1,S110,0)</f>
        <v>0</v>
      </c>
      <c r="T124" s="55">
        <f t="shared" si="16"/>
        <v>0</v>
      </c>
      <c r="V124" s="60">
        <f t="shared" ref="V124:W128" si="17">IF(V116=1,V110,0)</f>
        <v>0</v>
      </c>
      <c r="W124" s="55">
        <f t="shared" si="17"/>
        <v>0</v>
      </c>
      <c r="Y124" s="60">
        <f t="shared" ref="Y124:Z128" si="18">IF(Y116=1,Y110,0)</f>
        <v>0</v>
      </c>
      <c r="Z124" s="55">
        <f t="shared" si="18"/>
        <v>0</v>
      </c>
      <c r="AB124" s="60">
        <f t="shared" ref="AB124:AC128" si="19">IF(AB116=1,AB110,0)</f>
        <v>0</v>
      </c>
      <c r="AC124" s="55">
        <f t="shared" si="19"/>
        <v>0</v>
      </c>
      <c r="AE124" s="60">
        <f>IF(AE116=1,AE110,0)</f>
        <v>0</v>
      </c>
    </row>
    <row r="125" spans="1:43" s="55" customFormat="1" ht="12.75" hidden="1" customHeight="1" x14ac:dyDescent="0.2">
      <c r="A125" s="55" t="s">
        <v>89</v>
      </c>
      <c r="B125" s="55">
        <f>IF(B117=1,B111,0)</f>
        <v>25</v>
      </c>
      <c r="D125" s="60">
        <f t="shared" si="11"/>
        <v>0</v>
      </c>
      <c r="E125" s="55">
        <f t="shared" si="11"/>
        <v>25</v>
      </c>
      <c r="G125" s="60">
        <f t="shared" si="12"/>
        <v>0</v>
      </c>
      <c r="H125" s="55">
        <f t="shared" si="12"/>
        <v>25</v>
      </c>
      <c r="J125" s="60">
        <f t="shared" si="13"/>
        <v>0</v>
      </c>
      <c r="K125" s="55">
        <f t="shared" si="13"/>
        <v>25</v>
      </c>
      <c r="M125" s="60">
        <f t="shared" si="14"/>
        <v>0</v>
      </c>
      <c r="N125" s="55">
        <f t="shared" si="14"/>
        <v>27</v>
      </c>
      <c r="P125" s="60">
        <f t="shared" si="15"/>
        <v>0</v>
      </c>
      <c r="Q125" s="55">
        <f t="shared" si="15"/>
        <v>25</v>
      </c>
      <c r="S125" s="60">
        <f t="shared" si="16"/>
        <v>0</v>
      </c>
      <c r="T125" s="55">
        <f t="shared" si="16"/>
        <v>0</v>
      </c>
      <c r="V125" s="60">
        <f t="shared" si="17"/>
        <v>0</v>
      </c>
      <c r="W125" s="55">
        <f t="shared" si="17"/>
        <v>0</v>
      </c>
      <c r="Y125" s="60">
        <f t="shared" si="18"/>
        <v>0</v>
      </c>
      <c r="Z125" s="55">
        <f t="shared" si="18"/>
        <v>0</v>
      </c>
      <c r="AB125" s="60">
        <f t="shared" si="19"/>
        <v>0</v>
      </c>
      <c r="AC125" s="55">
        <f t="shared" si="19"/>
        <v>0</v>
      </c>
      <c r="AE125" s="60">
        <f>IF(AE117=1,AE111,0)</f>
        <v>0</v>
      </c>
    </row>
    <row r="126" spans="1:43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15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15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</row>
    <row r="127" spans="1:43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</row>
    <row r="128" spans="1:43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</row>
    <row r="129" spans="1:37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50</v>
      </c>
      <c r="G129" s="60"/>
      <c r="H129" s="55">
        <f>SUM(H124:J128)</f>
        <v>65</v>
      </c>
      <c r="J129" s="60"/>
      <c r="K129" s="55">
        <f>SUM(K124:M128)</f>
        <v>50</v>
      </c>
      <c r="M129" s="60"/>
      <c r="N129" s="55">
        <f>SUM(N124:P128)</f>
        <v>69</v>
      </c>
      <c r="P129" s="60"/>
      <c r="Q129" s="55">
        <f>SUM(Q124:S128)</f>
        <v>50</v>
      </c>
      <c r="S129" s="60"/>
      <c r="T129" s="55">
        <f>SUM(T124:V128)</f>
        <v>0</v>
      </c>
      <c r="V129" s="60"/>
      <c r="W129" s="55">
        <f>SUM(W124:Y128)</f>
        <v>0</v>
      </c>
      <c r="Y129" s="60"/>
      <c r="Z129" s="55">
        <f>SUM(Z124:AB128)</f>
        <v>0</v>
      </c>
      <c r="AB129" s="60"/>
      <c r="AC129" s="55">
        <f>SUM(AC124:AE128)</f>
        <v>0</v>
      </c>
      <c r="AE129" s="60"/>
    </row>
    <row r="130" spans="1:37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</row>
    <row r="131" spans="1:37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1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1</v>
      </c>
      <c r="M131" s="60">
        <f>IF(M109=1,IF(M122=1,1,0),0)</f>
        <v>0</v>
      </c>
      <c r="N131" s="55">
        <f>IF(N109=1,IF(N122=1,1,0),0)</f>
        <v>0</v>
      </c>
      <c r="P131" s="60">
        <f>IF(P109=1,IF(P122=1,1,0),0)</f>
        <v>0</v>
      </c>
      <c r="Q131" s="55">
        <f>IF(Q109=1,IF(Q122=1,1,0),0)</f>
        <v>1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0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3</v>
      </c>
      <c r="AG131" s="55">
        <f>AF137-AF131</f>
        <v>0</v>
      </c>
    </row>
    <row r="132" spans="1:37" s="55" customFormat="1" ht="12.75" hidden="1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1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0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2</v>
      </c>
      <c r="AG132" s="55">
        <f>AF138-AF132</f>
        <v>1</v>
      </c>
    </row>
    <row r="133" spans="1:37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0</v>
      </c>
      <c r="AG133" s="55">
        <f>AF139-AF133</f>
        <v>3</v>
      </c>
    </row>
    <row r="134" spans="1:37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1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1</v>
      </c>
      <c r="AG134" s="55">
        <f>AF140-AF134</f>
        <v>2</v>
      </c>
    </row>
    <row r="135" spans="1:37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0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0</v>
      </c>
      <c r="AG135" s="55">
        <f>AF141-AF135</f>
        <v>0</v>
      </c>
    </row>
    <row r="136" spans="1:37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</row>
    <row r="137" spans="1:37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1</v>
      </c>
      <c r="M137" s="60">
        <f>IF(M109=1,IF(L122=1,1,0),0)</f>
        <v>0</v>
      </c>
      <c r="N137" s="55">
        <f>IF(N109=1,IF(O122=1,1,0),0)</f>
        <v>0</v>
      </c>
      <c r="P137" s="60">
        <f>IF(P109=1,IF(O122=1,1,0),0)</f>
        <v>0</v>
      </c>
      <c r="Q137" s="55">
        <f>IF(Q109=1,IF(R122=1,1,0),0)</f>
        <v>1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0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0</v>
      </c>
      <c r="AE137" s="60">
        <f>IF(AE109=1,IF(AD122=1,1,0),0)</f>
        <v>0</v>
      </c>
      <c r="AF137" s="55">
        <f>SUM(B137:AE137)</f>
        <v>3</v>
      </c>
    </row>
    <row r="138" spans="1:37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1</v>
      </c>
      <c r="J138" s="60">
        <f>IF(J109=2,IF(I122=1,1,0),0)</f>
        <v>0</v>
      </c>
      <c r="K138" s="55">
        <f>IF(K109=2,IF(L122=1,1,0),0)</f>
        <v>0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1</v>
      </c>
      <c r="T138" s="55">
        <f>IF(T109=2,IF(U122=1,1,0),0)</f>
        <v>0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0</v>
      </c>
      <c r="AF138" s="55">
        <f>SUM(B138:AE138)</f>
        <v>3</v>
      </c>
    </row>
    <row r="139" spans="1:37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1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0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1</v>
      </c>
      <c r="N139" s="55">
        <f>IF(N109=3,IF(O122=1,1,0),0)</f>
        <v>1</v>
      </c>
      <c r="P139" s="60">
        <f>IF(P109=3,IF(O122=1,1,0),0)</f>
        <v>0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0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0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3</v>
      </c>
    </row>
    <row r="140" spans="1:37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1</v>
      </c>
      <c r="K140" s="55">
        <f>IF(K109=4,IF(L122=1,1,0),0)</f>
        <v>0</v>
      </c>
      <c r="M140" s="60">
        <f>IF(M109=4,IF(L122=1,1,0),0)</f>
        <v>0</v>
      </c>
      <c r="N140" s="55">
        <f>IF(N109=4,IF(O122=1,1,0),0)</f>
        <v>0</v>
      </c>
      <c r="P140" s="60">
        <f>IF(P109=4,IF(O122=1,1,0),0)</f>
        <v>1</v>
      </c>
      <c r="Q140" s="55">
        <f>IF(Q109=4,IF(R122=1,1,0),0)</f>
        <v>0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0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3</v>
      </c>
    </row>
    <row r="141" spans="1:37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0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0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0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0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0</v>
      </c>
    </row>
    <row r="142" spans="1:37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</row>
    <row r="143" spans="1:37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50</v>
      </c>
      <c r="M143" s="60">
        <f>IF(M109=1,K129,0)</f>
        <v>0</v>
      </c>
      <c r="N143" s="55">
        <f>IF(N109=1,N129,0)</f>
        <v>0</v>
      </c>
      <c r="P143" s="60">
        <f>IF(P109=1,N129,0)</f>
        <v>0</v>
      </c>
      <c r="Q143" s="55">
        <f>IF(Q109=1,Q129,0)</f>
        <v>50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0</v>
      </c>
      <c r="AE143" s="60">
        <f>IF(AE109=1,AC129,0)</f>
        <v>0</v>
      </c>
      <c r="AF143" s="55">
        <f>SUM(B143:AE143)</f>
        <v>150</v>
      </c>
    </row>
    <row r="144" spans="1:37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65</v>
      </c>
      <c r="J144" s="60">
        <f>IF(J109=2,H129,0)</f>
        <v>0</v>
      </c>
      <c r="K144" s="55">
        <f>IF(K109=2,K129,0)</f>
        <v>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50</v>
      </c>
      <c r="T144" s="55">
        <f>IF(T109=2,T129,0)</f>
        <v>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0</v>
      </c>
      <c r="AF144" s="55">
        <f>SUM(B144:AE144)</f>
        <v>165</v>
      </c>
    </row>
    <row r="145" spans="1:33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50</v>
      </c>
      <c r="E145" s="55">
        <f>IF(E109=3,E129,0)</f>
        <v>0</v>
      </c>
      <c r="G145" s="60">
        <f>IF(G109=3,E129,0)</f>
        <v>0</v>
      </c>
      <c r="H145" s="55">
        <f>IF(H109=3,H129,0)</f>
        <v>0</v>
      </c>
      <c r="J145" s="60">
        <f>IF(J109=3,H129,0)</f>
        <v>0</v>
      </c>
      <c r="K145" s="55">
        <f>IF(K109=3,K129,0)</f>
        <v>0</v>
      </c>
      <c r="M145" s="60">
        <f>IF(M109=3,K129,0)</f>
        <v>50</v>
      </c>
      <c r="N145" s="55">
        <f>IF(N109=3,N129,0)</f>
        <v>69</v>
      </c>
      <c r="P145" s="60">
        <f>IF(P109=3,N129,0)</f>
        <v>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0</v>
      </c>
      <c r="W145" s="55">
        <f>IF(W109=3,W129,0)</f>
        <v>0</v>
      </c>
      <c r="Y145" s="60">
        <f>IF(Y109=3,W129,0)</f>
        <v>0</v>
      </c>
      <c r="Z145" s="55">
        <f>IF(Z109=3,Z129,0)</f>
        <v>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169</v>
      </c>
    </row>
    <row r="146" spans="1:33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65</v>
      </c>
      <c r="K146" s="55">
        <f>IF(K109=4,K129,0)</f>
        <v>0</v>
      </c>
      <c r="M146" s="60">
        <f>IF(M109=4,K129,0)</f>
        <v>0</v>
      </c>
      <c r="N146" s="55">
        <f>IF(N109=4,N129,0)</f>
        <v>0</v>
      </c>
      <c r="P146" s="60">
        <f>IF(P109=4,N129,0)</f>
        <v>69</v>
      </c>
      <c r="Q146" s="55">
        <f>IF(Q109=4,Q129,0)</f>
        <v>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0</v>
      </c>
      <c r="AC146" s="55">
        <f>IF(AC109=4,AC129,0)</f>
        <v>0</v>
      </c>
      <c r="AE146" s="60">
        <f>IF(AE109=4,AC129,0)</f>
        <v>0</v>
      </c>
      <c r="AF146" s="55">
        <f>SUM(B146:AE146)</f>
        <v>184</v>
      </c>
    </row>
    <row r="147" spans="1:33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0</v>
      </c>
    </row>
    <row r="148" spans="1:33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</row>
    <row r="149" spans="1:33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2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2</v>
      </c>
      <c r="M149" s="60">
        <f>IF(M109=1,SUMIF(M116:M120,"&gt;0"),0)</f>
        <v>0</v>
      </c>
      <c r="N149" s="55">
        <f>IF(N109=1,SUMIF(N116:N120,"&gt;0"),0)</f>
        <v>0</v>
      </c>
      <c r="P149" s="60">
        <f>IF(P109=1,SUMIF(P116:P120,"&gt;0"),0)</f>
        <v>0</v>
      </c>
      <c r="Q149" s="55">
        <f>IF(Q109=1,SUMIF(Q116:Q120,"&gt;0"),0)</f>
        <v>2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0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0</v>
      </c>
      <c r="AE149" s="60">
        <f>IF(AE109=1,SUMIF(AE116:AE120,"&gt;0"),0)</f>
        <v>0</v>
      </c>
      <c r="AF149" s="55">
        <f>SUM(B149:AE149)</f>
        <v>6</v>
      </c>
      <c r="AG149" s="55">
        <f>AF157-AF149</f>
        <v>0</v>
      </c>
    </row>
    <row r="150" spans="1:33" s="55" customFormat="1" ht="12.75" hidden="1" customHeight="1" x14ac:dyDescent="0.2">
      <c r="A150" s="55" t="s">
        <v>98</v>
      </c>
      <c r="B150" s="55">
        <f>IF(B109=2,SUMIF(B116:B120,"&gt;0"),0)</f>
        <v>2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2</v>
      </c>
      <c r="J150" s="60">
        <f>IF(J109=2,SUMIF(J116:J120,"&gt;0"),0)</f>
        <v>0</v>
      </c>
      <c r="K150" s="55">
        <f>IF(K109=2,SUMIF(K116:K120,"&gt;0"),0)</f>
        <v>0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0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4</v>
      </c>
      <c r="AG150" s="55">
        <f>AF158-AF150</f>
        <v>3</v>
      </c>
    </row>
    <row r="151" spans="1:33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1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0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1</v>
      </c>
      <c r="AG151" s="55">
        <f>AF159-AF151</f>
        <v>6</v>
      </c>
    </row>
    <row r="152" spans="1:33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1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2</v>
      </c>
      <c r="Q152" s="55">
        <f>IF(Q109=4,SUMIF(Q116:Q120,"&gt;0"),0)</f>
        <v>0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0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3</v>
      </c>
      <c r="AG152" s="55">
        <f>AF160-AF152</f>
        <v>5</v>
      </c>
    </row>
    <row r="153" spans="1:33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0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0</v>
      </c>
      <c r="AG153" s="55">
        <f>AF161-AF153</f>
        <v>0</v>
      </c>
    </row>
    <row r="154" spans="1:33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</row>
    <row r="155" spans="1:33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</row>
    <row r="156" spans="1:33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3</v>
      </c>
      <c r="J156" s="60"/>
      <c r="L156" s="55">
        <f>SUMIF(K149:M153,"&gt;0")</f>
        <v>2</v>
      </c>
      <c r="M156" s="60"/>
      <c r="O156" s="55">
        <f>SUMIF(N149:P153,"&gt;0")</f>
        <v>3</v>
      </c>
      <c r="P156" s="60"/>
      <c r="R156" s="55">
        <f>SUMIF(Q149:S153,"&gt;0")</f>
        <v>2</v>
      </c>
      <c r="S156" s="60"/>
      <c r="U156" s="55">
        <f>SUMIF(T149:V153,"&gt;0")</f>
        <v>0</v>
      </c>
      <c r="V156" s="60"/>
      <c r="X156" s="55">
        <f>SUMIF(W149:Y153,"&gt;0")</f>
        <v>0</v>
      </c>
      <c r="Y156" s="60"/>
      <c r="AA156" s="55">
        <f>SUMIF(Z149:AB153,"&gt;0")</f>
        <v>0</v>
      </c>
      <c r="AB156" s="60"/>
      <c r="AD156" s="55">
        <f>SUMIF(AC149:AE153,"&gt;0")</f>
        <v>0</v>
      </c>
      <c r="AE156" s="60"/>
      <c r="AF156" s="59" t="s">
        <v>113</v>
      </c>
    </row>
    <row r="157" spans="1:33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2</v>
      </c>
      <c r="M157" s="60">
        <f>IF(M109=1,L156,0)</f>
        <v>0</v>
      </c>
      <c r="N157" s="55">
        <f>IF(N109=1,O156,0)</f>
        <v>0</v>
      </c>
      <c r="P157" s="60">
        <f>IF(P109=1,O156,0)</f>
        <v>0</v>
      </c>
      <c r="Q157" s="55">
        <f>IF(Q109=1,R156,0)</f>
        <v>2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0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0</v>
      </c>
      <c r="AE157" s="60">
        <f>IF(AE109=1,AD156,0)</f>
        <v>0</v>
      </c>
      <c r="AF157" s="55">
        <f>SUM(B157:AE157)</f>
        <v>6</v>
      </c>
    </row>
    <row r="158" spans="1:33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3</v>
      </c>
      <c r="J158" s="60">
        <f>IF(J109=2,I156,0)</f>
        <v>0</v>
      </c>
      <c r="K158" s="55">
        <f>IF(K109=2,L156,0)</f>
        <v>0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2</v>
      </c>
      <c r="T158" s="55">
        <f>IF(T109=2,U156,0)</f>
        <v>0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0</v>
      </c>
      <c r="AF158" s="55">
        <f>SUM(B158:AE158)</f>
        <v>7</v>
      </c>
    </row>
    <row r="159" spans="1:33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2</v>
      </c>
      <c r="E159" s="55">
        <f>IF(E109=3,F156,0)</f>
        <v>0</v>
      </c>
      <c r="G159" s="60">
        <f>IF(G109=3,F156,0)</f>
        <v>0</v>
      </c>
      <c r="H159" s="55">
        <f>IF(H109=3,I156,0)</f>
        <v>0</v>
      </c>
      <c r="J159" s="60">
        <f>IF(J109=3,I156,0)</f>
        <v>0</v>
      </c>
      <c r="K159" s="55">
        <f>IF(K109=3,L156,0)</f>
        <v>0</v>
      </c>
      <c r="M159" s="60">
        <f>IF(M109=3,L156,0)</f>
        <v>2</v>
      </c>
      <c r="N159" s="55">
        <f>IF(N109=3,O156,0)</f>
        <v>3</v>
      </c>
      <c r="P159" s="60">
        <f>IF(P109=3,O156,0)</f>
        <v>0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0</v>
      </c>
      <c r="W159" s="55">
        <f>IF(W109=3,X156,0)</f>
        <v>0</v>
      </c>
      <c r="Y159" s="60">
        <f>IF(Y109=3,X156,0)</f>
        <v>0</v>
      </c>
      <c r="Z159" s="55">
        <f>IF(Z109=3,AA156,0)</f>
        <v>0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7</v>
      </c>
    </row>
    <row r="160" spans="1:33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3</v>
      </c>
      <c r="K160" s="55">
        <f>IF(K109=4,L156,0)</f>
        <v>0</v>
      </c>
      <c r="M160" s="60">
        <f>IF(M109=4,L156,0)</f>
        <v>0</v>
      </c>
      <c r="N160" s="55">
        <f>IF(N109=4,O156,0)</f>
        <v>0</v>
      </c>
      <c r="P160" s="60">
        <f>IF(P109=4,O156,0)</f>
        <v>3</v>
      </c>
      <c r="Q160" s="55">
        <f>IF(Q109=4,R156,0)</f>
        <v>0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0</v>
      </c>
      <c r="AC160" s="55">
        <f>IF(AC109=4,AD156,0)</f>
        <v>0</v>
      </c>
      <c r="AE160" s="60">
        <f>IF(AE109=4,AD156,0)</f>
        <v>0</v>
      </c>
      <c r="AF160" s="55">
        <f>SUM(B160:AE160)</f>
        <v>8</v>
      </c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0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0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0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0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0</v>
      </c>
    </row>
    <row r="162" spans="1:54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AW162" s="130"/>
      <c r="BB162" s="130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Sumter VBC 15</v>
      </c>
      <c r="C164" s="67">
        <f>VLOOKUP(B164,AU$3:AY$12,3,FALSE)</f>
        <v>1930.6477056485521</v>
      </c>
      <c r="D164" s="67">
        <f>IF(B157,B172,IF(D157,D172,C164))</f>
        <v>1930.6477056485521</v>
      </c>
      <c r="E164" s="67"/>
      <c r="F164" s="67"/>
      <c r="G164" s="67">
        <f>IF(E157,E172,IF(G157,G172,D164))</f>
        <v>1978.2637099762919</v>
      </c>
      <c r="H164" s="67"/>
      <c r="I164" s="67"/>
      <c r="J164" s="67">
        <f>IF(H157,H172,IF(J157,J172,G164))</f>
        <v>1978.2637099762919</v>
      </c>
      <c r="K164" s="67"/>
      <c r="L164" s="67"/>
      <c r="M164" s="67">
        <f>IF(K157,K172,IF(M157,M172,J164))</f>
        <v>2001.3363193058137</v>
      </c>
      <c r="N164" s="67"/>
      <c r="O164" s="67"/>
      <c r="P164" s="67">
        <f>IF(N157,N172,IF(P157,P172,M164))</f>
        <v>2001.3363193058137</v>
      </c>
      <c r="Q164" s="67"/>
      <c r="R164" s="67"/>
      <c r="S164" s="67">
        <f>IF(Q157,Q172,IF(S157,S172,P164))</f>
        <v>2031.8497454633305</v>
      </c>
      <c r="T164" s="67"/>
      <c r="U164" s="67"/>
      <c r="V164" s="67">
        <f>IF(T157,T172,IF(V157,V172,S164))</f>
        <v>2031.8497454633305</v>
      </c>
      <c r="W164" s="67"/>
      <c r="X164" s="67"/>
      <c r="Y164" s="67">
        <f>IF(W157,W172,IF(Y157,Y172,V164))</f>
        <v>2031.8497454633305</v>
      </c>
      <c r="Z164" s="67"/>
      <c r="AA164" s="67"/>
      <c r="AB164" s="67">
        <f>IF(Z157,Z172,IF(AB157,AB172,Y164))</f>
        <v>2031.8497454633305</v>
      </c>
      <c r="AC164" s="67"/>
      <c r="AD164" s="67"/>
      <c r="AE164" s="67">
        <f>IF(AC157,AC172,IF(AE157,AE172,AB164))</f>
        <v>2031.8497454633305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Sumter VBC 15</v>
      </c>
      <c r="AU164" s="63">
        <f>AE164</f>
        <v>2031.8497454633305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Emerald City 15-1</v>
      </c>
      <c r="C165" s="67">
        <f>VLOOKUP(B165,AU$3:AY$12,3,FALSE)</f>
        <v>1923.1880111835867</v>
      </c>
      <c r="D165" s="67">
        <f>IF(B158,B172,IF(D158,D172,C165))</f>
        <v>1953.9215412305971</v>
      </c>
      <c r="E165" s="67"/>
      <c r="F165" s="67"/>
      <c r="G165" s="67">
        <f>IF(E158,E172,IF(G158,G172,D165))</f>
        <v>1953.9215412305971</v>
      </c>
      <c r="H165" s="67"/>
      <c r="I165" s="67"/>
      <c r="J165" s="67">
        <f>IF(H158,H172,IF(J158,J172,G165))</f>
        <v>1985.1844230185163</v>
      </c>
      <c r="K165" s="67"/>
      <c r="L165" s="67"/>
      <c r="M165" s="67">
        <f>IF(K158,K172,IF(M158,M172,J165))</f>
        <v>1985.1844230185163</v>
      </c>
      <c r="N165" s="67"/>
      <c r="O165" s="67"/>
      <c r="P165" s="67">
        <f>IF(N158,N172,IF(P158,P172,M165))</f>
        <v>1985.1844230185163</v>
      </c>
      <c r="Q165" s="67"/>
      <c r="R165" s="67"/>
      <c r="S165" s="67">
        <f>IF(Q158,Q172,IF(S158,S172,P165))</f>
        <v>1954.6709968609996</v>
      </c>
      <c r="T165" s="67"/>
      <c r="U165" s="67"/>
      <c r="V165" s="67">
        <f>IF(T158,T172,IF(V158,V172,S165))</f>
        <v>1954.6709968609996</v>
      </c>
      <c r="W165" s="67"/>
      <c r="X165" s="67"/>
      <c r="Y165" s="67">
        <f>IF(W158,W172,IF(Y158,Y172,V165))</f>
        <v>1954.6709968609996</v>
      </c>
      <c r="Z165" s="67"/>
      <c r="AA165" s="67"/>
      <c r="AB165" s="67">
        <f>IF(Z158,Z172,IF(AB158,AB172,Y165))</f>
        <v>1954.6709968609996</v>
      </c>
      <c r="AC165" s="67"/>
      <c r="AD165" s="67"/>
      <c r="AE165" s="67">
        <f>IF(AC158,AC172,IF(AE158,AE172,AB165))</f>
        <v>1954.6709968609996</v>
      </c>
      <c r="AF165" s="4"/>
      <c r="AG165" s="4"/>
      <c r="AJ165" s="4"/>
      <c r="AL165" s="4"/>
      <c r="AM165" s="4"/>
      <c r="AN165" s="4"/>
      <c r="AO165" s="4"/>
      <c r="AT165" s="63" t="str">
        <f>B165</f>
        <v>Emerald City 15-1</v>
      </c>
      <c r="AU165" s="63">
        <f>AE165</f>
        <v>1954.6709968609996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SC Midlands 15 Garnet</v>
      </c>
      <c r="C166" s="67">
        <f>VLOOKUP(B166,AU$3:AY$12,3,FALSE)</f>
        <v>1909.4303022328752</v>
      </c>
      <c r="D166" s="67">
        <f>IF(B159,B172,IF(D159,D172,C166))</f>
        <v>1878.6967721858648</v>
      </c>
      <c r="E166" s="67"/>
      <c r="F166" s="67"/>
      <c r="G166" s="67">
        <f>IF(E159,E172,IF(G159,G172,D166))</f>
        <v>1878.6967721858648</v>
      </c>
      <c r="H166" s="67"/>
      <c r="I166" s="67"/>
      <c r="J166" s="67">
        <f>IF(H159,H172,IF(J159,J172,G166))</f>
        <v>1878.6967721858648</v>
      </c>
      <c r="K166" s="67"/>
      <c r="L166" s="67"/>
      <c r="M166" s="67">
        <f>IF(K159,K172,IF(M159,M172,J166))</f>
        <v>1855.624162856343</v>
      </c>
      <c r="N166" s="67"/>
      <c r="O166" s="67"/>
      <c r="P166" s="67">
        <f>IF(N159,N172,IF(P159,P172,M166))</f>
        <v>1862.6401854308592</v>
      </c>
      <c r="Q166" s="67"/>
      <c r="R166" s="67"/>
      <c r="S166" s="67">
        <f>IF(Q159,Q172,IF(S159,S172,P166))</f>
        <v>1862.6401854308592</v>
      </c>
      <c r="T166" s="67"/>
      <c r="U166" s="67"/>
      <c r="V166" s="67">
        <f>IF(T159,T172,IF(V159,V172,S166))</f>
        <v>1862.6401854308592</v>
      </c>
      <c r="W166" s="67"/>
      <c r="X166" s="67"/>
      <c r="Y166" s="67">
        <f>IF(W159,W172,IF(Y159,Y172,V166))</f>
        <v>1862.6401854308592</v>
      </c>
      <c r="Z166" s="67"/>
      <c r="AA166" s="67"/>
      <c r="AB166" s="67">
        <f>IF(Z159,Z172,IF(AB159,AB172,Y166))</f>
        <v>1862.6401854308592</v>
      </c>
      <c r="AC166" s="67"/>
      <c r="AD166" s="67"/>
      <c r="AE166" s="67">
        <f>IF(AC159,AC172,IF(AE159,AE172,AB166))</f>
        <v>1862.6401854308592</v>
      </c>
      <c r="AF166" s="4"/>
      <c r="AG166" s="4"/>
      <c r="AJ166" s="4"/>
      <c r="AL166" s="4"/>
      <c r="AM166" s="4"/>
      <c r="AN166" s="4"/>
      <c r="AO166" s="4"/>
      <c r="AT166" s="63" t="str">
        <f>B166</f>
        <v>SC Midlands 15 Garnet</v>
      </c>
      <c r="AU166" s="63">
        <f>AE166</f>
        <v>1862.6401854308592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Intense 16 Region Rock H</v>
      </c>
      <c r="C167" s="67">
        <f>VLOOKUP(B167,AU$3:AY$12,3,FALSE)</f>
        <v>2115.980955417655</v>
      </c>
      <c r="D167" s="67">
        <f>IF(B160,B172,IF(D160,D172,C167))</f>
        <v>2115.980955417655</v>
      </c>
      <c r="E167" s="67"/>
      <c r="F167" s="67"/>
      <c r="G167" s="67">
        <f>IF(E160,E172,IF(G160,G172,D167))</f>
        <v>2068.3649510899149</v>
      </c>
      <c r="H167" s="67"/>
      <c r="I167" s="67"/>
      <c r="J167" s="67">
        <f>IF(H160,H172,IF(J160,J172,G167))</f>
        <v>2037.1020693019957</v>
      </c>
      <c r="K167" s="67"/>
      <c r="L167" s="67"/>
      <c r="M167" s="67">
        <f>IF(K160,K172,IF(M160,M172,J167))</f>
        <v>2037.1020693019957</v>
      </c>
      <c r="N167" s="67"/>
      <c r="O167" s="67"/>
      <c r="P167" s="67">
        <f>IF(N160,N172,IF(P160,P172,M167))</f>
        <v>2030.0860467274795</v>
      </c>
      <c r="Q167" s="67"/>
      <c r="R167" s="67"/>
      <c r="S167" s="67">
        <f>IF(Q160,Q172,IF(S160,S172,P167))</f>
        <v>2030.0860467274795</v>
      </c>
      <c r="T167" s="67"/>
      <c r="U167" s="67"/>
      <c r="V167" s="67">
        <f>IF(T160,T172,IF(V160,V172,S167))</f>
        <v>2030.0860467274795</v>
      </c>
      <c r="W167" s="67"/>
      <c r="X167" s="67"/>
      <c r="Y167" s="67">
        <f>IF(W160,W172,IF(Y160,Y172,V167))</f>
        <v>2030.0860467274795</v>
      </c>
      <c r="Z167" s="67"/>
      <c r="AA167" s="67"/>
      <c r="AB167" s="67">
        <f>IF(Z160,Z172,IF(AB160,AB172,Y167))</f>
        <v>2030.0860467274795</v>
      </c>
      <c r="AC167" s="67"/>
      <c r="AD167" s="67"/>
      <c r="AE167" s="67">
        <f>IF(AC160,AC172,IF(AE160,AE172,AB167))</f>
        <v>2030.0860467274795</v>
      </c>
      <c r="AF167" s="4"/>
      <c r="AG167" s="4"/>
      <c r="AJ167" s="4"/>
      <c r="AL167" s="4"/>
      <c r="AM167" s="4"/>
      <c r="AN167" s="4"/>
      <c r="AO167" s="4"/>
      <c r="AT167" s="63" t="str">
        <f>B167</f>
        <v>Intense 16 Region Rock H</v>
      </c>
      <c r="AU167" s="63">
        <f>AE167</f>
        <v>2030.0860467274795</v>
      </c>
      <c r="AW167" s="66"/>
      <c r="BB167" s="66"/>
    </row>
    <row r="168" spans="1:54" s="63" customFormat="1" hidden="1" x14ac:dyDescent="0.2">
      <c r="A168" s="67">
        <v>5</v>
      </c>
      <c r="B168" s="67">
        <f>E101</f>
        <v>0</v>
      </c>
      <c r="C168" s="67" t="e">
        <f>VLOOKUP(B168,AU$3:AY$12,3,FALSE)</f>
        <v>#N/A</v>
      </c>
      <c r="D168" s="67" t="e">
        <f>IF(B161,B172,IF(D161,D172,C168))</f>
        <v>#N/A</v>
      </c>
      <c r="E168" s="67"/>
      <c r="F168" s="67"/>
      <c r="G168" s="67" t="e">
        <f>IF(E161,E172,IF(G161,G172,D168))</f>
        <v>#N/A</v>
      </c>
      <c r="H168" s="67"/>
      <c r="I168" s="67"/>
      <c r="J168" s="67" t="e">
        <f>IF(H161,H172,IF(J161,J172,G168))</f>
        <v>#N/A</v>
      </c>
      <c r="K168" s="67"/>
      <c r="L168" s="67"/>
      <c r="M168" s="67" t="e">
        <f>IF(K161,K172,IF(M161,M172,J168))</f>
        <v>#N/A</v>
      </c>
      <c r="N168" s="67"/>
      <c r="O168" s="67"/>
      <c r="P168" s="67" t="e">
        <f>IF(N161,N172,IF(P161,P172,M168))</f>
        <v>#N/A</v>
      </c>
      <c r="Q168" s="67"/>
      <c r="R168" s="67"/>
      <c r="S168" s="67" t="e">
        <f>IF(Q161,Q172,IF(S161,S172,P168))</f>
        <v>#N/A</v>
      </c>
      <c r="T168" s="67"/>
      <c r="U168" s="67"/>
      <c r="V168" s="67" t="e">
        <f>IF(T161,T172,IF(V161,V172,S168))</f>
        <v>#N/A</v>
      </c>
      <c r="W168" s="67"/>
      <c r="X168" s="67"/>
      <c r="Y168" s="67" t="e">
        <f>IF(W161,W172,IF(Y161,Y172,V168))</f>
        <v>#N/A</v>
      </c>
      <c r="Z168" s="67"/>
      <c r="AA168" s="67"/>
      <c r="AB168" s="67" t="e">
        <f>IF(Z161,Z172,IF(AB161,AB172,Y168))</f>
        <v>#N/A</v>
      </c>
      <c r="AC168" s="67"/>
      <c r="AD168" s="67"/>
      <c r="AE168" s="67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63">
        <f>B168</f>
        <v>0</v>
      </c>
      <c r="AU168" s="63" t="e">
        <f>AE168</f>
        <v>#N/A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1923.1880111835867</v>
      </c>
      <c r="C170" s="67">
        <v>1</v>
      </c>
      <c r="D170" s="67">
        <f>VLOOKUP(D109,$A164:$AE168,3,FALSE)</f>
        <v>1909.4303022328752</v>
      </c>
      <c r="E170" s="67">
        <f>VLOOKUP(E109,$A164:$AE168,4,FALSE)</f>
        <v>1930.6477056485521</v>
      </c>
      <c r="F170" s="67">
        <v>2</v>
      </c>
      <c r="G170" s="67">
        <f>VLOOKUP(G109,$A164:$AE168,4,FALSE)</f>
        <v>2115.980955417655</v>
      </c>
      <c r="H170" s="67">
        <f>VLOOKUP(H109,$A164:$AE168,7,FALSE)</f>
        <v>1953.9215412305971</v>
      </c>
      <c r="I170" s="67">
        <v>3</v>
      </c>
      <c r="J170" s="67">
        <f>VLOOKUP(J109,$A164:$AE168,7,FALSE)</f>
        <v>2068.3649510899149</v>
      </c>
      <c r="K170" s="67">
        <f>VLOOKUP(K109,$A164:$AE168,10,FALSE)</f>
        <v>1978.2637099762919</v>
      </c>
      <c r="L170" s="67">
        <v>4</v>
      </c>
      <c r="M170" s="67">
        <f>VLOOKUP(M109,$A164:$AE168,10,FALSE)</f>
        <v>1878.6967721858648</v>
      </c>
      <c r="N170" s="67">
        <f>VLOOKUP(N109,$A164:$AE168,13,FALSE)</f>
        <v>1855.624162856343</v>
      </c>
      <c r="O170" s="67">
        <v>5</v>
      </c>
      <c r="P170" s="67">
        <f>VLOOKUP(P109,$A164:$AE168,13,FALSE)</f>
        <v>2037.1020693019957</v>
      </c>
      <c r="Q170" s="67">
        <f>VLOOKUP(Q109,$A164:$AE168,16,FALSE)</f>
        <v>2001.3363193058137</v>
      </c>
      <c r="R170" s="67">
        <v>6</v>
      </c>
      <c r="S170" s="67">
        <f>VLOOKUP(S109,$A164:$AE168,16,FALSE)</f>
        <v>1985.1844230185163</v>
      </c>
      <c r="T170" s="67">
        <f>VLOOKUP(T109,$A164:$AE168,19,FALSE)</f>
        <v>1954.6709968609996</v>
      </c>
      <c r="U170" s="67">
        <v>7</v>
      </c>
      <c r="V170" s="67">
        <f>VLOOKUP(V109,$A164:$AE168,19,FALSE)</f>
        <v>1862.6401854308592</v>
      </c>
      <c r="W170" s="67">
        <f>VLOOKUP(W109,$A164:$AE168,22,FALSE)</f>
        <v>2031.8497454633305</v>
      </c>
      <c r="X170" s="67">
        <v>8</v>
      </c>
      <c r="Y170" s="67" t="e">
        <f>VLOOKUP(Y109,$A164:$AE168,22,FALSE)</f>
        <v>#N/A</v>
      </c>
      <c r="Z170" s="67">
        <f>VLOOKUP(Z109,$A164:$AE168,25,FALSE)</f>
        <v>1862.6401854308592</v>
      </c>
      <c r="AA170" s="67">
        <v>9</v>
      </c>
      <c r="AB170" s="67">
        <f>VLOOKUP(AB109,$A164:$AE168,25,FALSE)</f>
        <v>2030.0860467274795</v>
      </c>
      <c r="AC170" s="67">
        <f>VLOOKUP(AC109,$A164:$AE168,28,FALSE)</f>
        <v>2031.8497454633305</v>
      </c>
      <c r="AD170" s="67">
        <v>10</v>
      </c>
      <c r="AE170" s="67">
        <f>VLOOKUP(AE109,$A164:$AE168,28,FALSE)</f>
        <v>1954.6709968609996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1.039577186030928</v>
      </c>
      <c r="C171" s="68"/>
      <c r="D171" s="68">
        <f>1/(1+(10^-((D170-B170)/400)))*(B121+D121)</f>
        <v>0.96042281396907214</v>
      </c>
      <c r="E171" s="68">
        <f>1/(1+(10^-((E170-G170)/400)))*(E121+G121)</f>
        <v>0.51199986475812809</v>
      </c>
      <c r="F171" s="68"/>
      <c r="G171" s="68">
        <f>1/(1+(10^-((G170-E170)/400)))*(E121+G121)</f>
        <v>1.4880001352418719</v>
      </c>
      <c r="H171" s="68">
        <f>1/(1+(10^-((H170-J170)/400)))*(H121+J121)</f>
        <v>1.0230349441275233</v>
      </c>
      <c r="I171" s="68"/>
      <c r="J171" s="68">
        <f>1/(1+(10^-((J170-H170)/400)))*(H121+J121)</f>
        <v>1.9769650558724767</v>
      </c>
      <c r="K171" s="68">
        <f>1/(1+(10^-((K170-M170)/400)))*(K121+M121)</f>
        <v>1.2789809584524436</v>
      </c>
      <c r="L171" s="68"/>
      <c r="M171" s="68">
        <f>1/(1+(10^-((M170-K170)/400)))*(K121+M121)</f>
        <v>0.72101904154755647</v>
      </c>
      <c r="N171" s="68">
        <f>1/(1+(10^-((N170-P170)/400)))*(N121+P121)</f>
        <v>0.78074929454636977</v>
      </c>
      <c r="O171" s="68"/>
      <c r="P171" s="68">
        <f>1/(1+(10^-((P170-N170)/400)))*(N121+P121)</f>
        <v>2.2192507054536303</v>
      </c>
      <c r="Q171" s="68">
        <f>1/(1+(10^-((Q170-S170)/400)))*(Q121+S121)</f>
        <v>1.0464554325776019</v>
      </c>
      <c r="R171" s="68"/>
      <c r="S171" s="68">
        <f>1/(1+(10^-((S170-Q170)/400)))*(Q121+S121)</f>
        <v>0.95354456742239802</v>
      </c>
      <c r="T171" s="68">
        <f>1/(1+(10^-((T170-V170)/400)))*(T121+V121)</f>
        <v>0</v>
      </c>
      <c r="U171" s="68"/>
      <c r="V171" s="68">
        <f>1/(1+(10^-((V170-T170)/400)))*(T121+V121)</f>
        <v>0</v>
      </c>
      <c r="W171" s="68" t="e">
        <f>1/(1+(10^-((W170-Y170)/400)))*(W121+Y121)</f>
        <v>#N/A</v>
      </c>
      <c r="X171" s="68"/>
      <c r="Y171" s="68" t="e">
        <f>1/(1+(10^-((Y170-W170)/400)))*(W121+Y121)</f>
        <v>#N/A</v>
      </c>
      <c r="Z171" s="68">
        <f>1/(1+(10^-((Z170-AB170)/400)))*(Z121+AB121)</f>
        <v>0</v>
      </c>
      <c r="AA171" s="68"/>
      <c r="AB171" s="68">
        <f>1/(1+(10^-((AB170-Z170)/400)))*(Z121+AB121)</f>
        <v>0</v>
      </c>
      <c r="AC171" s="68">
        <f>1/(1+(10^-((AC170-AE170)/400)))*(AC121+AE121)</f>
        <v>0</v>
      </c>
      <c r="AD171" s="68"/>
      <c r="AE171" s="68">
        <f>1/(1+(10^-((AE170-AC170)/400)))*(AC121+AE121)</f>
        <v>0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1953.9215412305971</v>
      </c>
      <c r="C172" s="74"/>
      <c r="D172" s="74">
        <f>D170+(D121-D171)*$BA$1</f>
        <v>1878.6967721858648</v>
      </c>
      <c r="E172" s="74">
        <f>E170+(E121-E171)*$BA$1</f>
        <v>1978.2637099762919</v>
      </c>
      <c r="F172" s="74"/>
      <c r="G172" s="74">
        <f>G170+(G121-G171)*$BA$1</f>
        <v>2068.3649510899149</v>
      </c>
      <c r="H172" s="74">
        <f>H170+(H121-H171)*$BA$1</f>
        <v>1985.1844230185163</v>
      </c>
      <c r="I172" s="74"/>
      <c r="J172" s="74">
        <f>J170+(J121-J171)*$BA$1</f>
        <v>2037.1020693019957</v>
      </c>
      <c r="K172" s="74">
        <f>K170+(K121-K171)*$BA$1</f>
        <v>2001.3363193058137</v>
      </c>
      <c r="L172" s="74"/>
      <c r="M172" s="74">
        <f>M170+(M121-M171)*$BA$1</f>
        <v>1855.624162856343</v>
      </c>
      <c r="N172" s="74">
        <f>N170+(N121-N171)*$BA$1</f>
        <v>1862.6401854308592</v>
      </c>
      <c r="O172" s="74"/>
      <c r="P172" s="74">
        <f>P170+(P121-P171)*$BA$1</f>
        <v>2030.0860467274795</v>
      </c>
      <c r="Q172" s="74">
        <f>Q170+(Q121-Q171)*$BA$1</f>
        <v>2031.8497454633305</v>
      </c>
      <c r="R172" s="74"/>
      <c r="S172" s="74">
        <f>S170+(S121-S171)*$BA$1</f>
        <v>1954.6709968609996</v>
      </c>
      <c r="T172" s="74">
        <f>T170+(T121-T171)*$BA$1</f>
        <v>1954.6709968609996</v>
      </c>
      <c r="U172" s="74"/>
      <c r="V172" s="74">
        <f>V170+(V121-V171)*$BA$1</f>
        <v>1862.6401854308592</v>
      </c>
      <c r="W172" s="74" t="e">
        <f>W170+(W121-W171)*$BA$1</f>
        <v>#N/A</v>
      </c>
      <c r="X172" s="74"/>
      <c r="Y172" s="74" t="e">
        <f>Y170+(Y121-Y171)*$BA$1</f>
        <v>#N/A</v>
      </c>
      <c r="Z172" s="74">
        <f>Z170+(Z121-Z171)*$BA$1</f>
        <v>1862.6401854308592</v>
      </c>
      <c r="AA172" s="74"/>
      <c r="AB172" s="74">
        <f>AB170+(AB121-AB171)*$BA$1</f>
        <v>2030.0860467274795</v>
      </c>
      <c r="AC172" s="74">
        <f>AC170+(AC121-AC171)*$BA$1</f>
        <v>2031.8497454633305</v>
      </c>
      <c r="AD172" s="74"/>
      <c r="AE172" s="74">
        <f>AE170+(AE121-AE171)*$BA$1</f>
        <v>1954.6709968609996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30"/>
      <c r="AN174" s="330"/>
      <c r="AO174" s="330"/>
      <c r="AP174" s="330"/>
    </row>
    <row r="175" spans="1:54" s="63" customFormat="1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</row>
    <row r="176" spans="1:54" ht="21" thickBot="1" x14ac:dyDescent="0.35">
      <c r="A176" s="345" t="s">
        <v>120</v>
      </c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</row>
    <row r="177" spans="1:53" ht="13.5" thickBot="1" x14ac:dyDescent="0.25">
      <c r="A177" s="346" t="s">
        <v>121</v>
      </c>
      <c r="B177" s="348" t="s">
        <v>122</v>
      </c>
      <c r="C177" s="349"/>
      <c r="D177" s="349"/>
      <c r="E177" s="349"/>
      <c r="F177" s="349"/>
      <c r="G177" s="349"/>
      <c r="H177" s="349"/>
      <c r="I177" s="349"/>
      <c r="J177" s="349"/>
      <c r="K177" s="350"/>
      <c r="L177" s="348" t="s">
        <v>123</v>
      </c>
      <c r="M177" s="349"/>
      <c r="N177" s="349"/>
      <c r="O177" s="349"/>
      <c r="P177" s="349"/>
      <c r="Q177" s="349"/>
      <c r="R177" s="349"/>
      <c r="S177" s="349"/>
      <c r="T177" s="349"/>
      <c r="U177" s="350"/>
      <c r="V177" s="348" t="s">
        <v>124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348" t="s">
        <v>125</v>
      </c>
      <c r="AG177" s="349"/>
      <c r="AH177" s="349"/>
      <c r="AI177" s="349"/>
      <c r="AJ177" s="349"/>
      <c r="AK177" s="349"/>
      <c r="AL177" s="349"/>
      <c r="AM177" s="349"/>
      <c r="AN177" s="349"/>
      <c r="AO177" s="350"/>
    </row>
    <row r="178" spans="1:53" ht="13.5" thickBot="1" x14ac:dyDescent="0.25">
      <c r="A178" s="347"/>
      <c r="B178" s="354" t="s">
        <v>10</v>
      </c>
      <c r="C178" s="355"/>
      <c r="D178" s="355"/>
      <c r="E178" s="355"/>
      <c r="F178" s="355"/>
      <c r="G178" s="356"/>
      <c r="H178" s="354" t="s">
        <v>126</v>
      </c>
      <c r="I178" s="355"/>
      <c r="J178" s="355"/>
      <c r="K178" s="356"/>
      <c r="L178" s="354" t="s">
        <v>10</v>
      </c>
      <c r="M178" s="355"/>
      <c r="N178" s="355"/>
      <c r="O178" s="355"/>
      <c r="P178" s="355"/>
      <c r="Q178" s="356"/>
      <c r="R178" s="354" t="s">
        <v>126</v>
      </c>
      <c r="S178" s="355"/>
      <c r="T178" s="355"/>
      <c r="U178" s="356"/>
      <c r="V178" s="354" t="s">
        <v>10</v>
      </c>
      <c r="W178" s="355"/>
      <c r="X178" s="355"/>
      <c r="Y178" s="355"/>
      <c r="Z178" s="355"/>
      <c r="AA178" s="356"/>
      <c r="AB178" s="354" t="s">
        <v>126</v>
      </c>
      <c r="AC178" s="355"/>
      <c r="AD178" s="355"/>
      <c r="AE178" s="356"/>
      <c r="AF178" s="354" t="s">
        <v>10</v>
      </c>
      <c r="AG178" s="355"/>
      <c r="AH178" s="355"/>
      <c r="AI178" s="355"/>
      <c r="AJ178" s="355"/>
      <c r="AK178" s="356"/>
      <c r="AL178" s="354" t="s">
        <v>126</v>
      </c>
      <c r="AM178" s="355"/>
      <c r="AN178" s="355"/>
      <c r="AO178" s="356"/>
    </row>
    <row r="179" spans="1:53" x14ac:dyDescent="0.2">
      <c r="A179" s="82" t="s">
        <v>127</v>
      </c>
      <c r="B179" s="412" t="str">
        <f>IF($AF$8=1,$E$8,IF($AF$10=1,$E$10,IF($AF$12=1,$E$12,IF($AF$14=1,$E$14,IF($AF$16=1,$E$16,"1st Place "&amp;$A179)))))</f>
        <v>Ignite 15</v>
      </c>
      <c r="C179" s="413"/>
      <c r="D179" s="413"/>
      <c r="E179" s="413"/>
      <c r="F179" s="413"/>
      <c r="G179" s="413"/>
      <c r="H179" s="414" t="str">
        <f>IF($AF$8=1,$E$9,IF($AF$10=1,$E$11,IF($AF$12=1,$E$13,IF($AF$14=1,$E$15,IF($AF$16=1,$E$17,"1st Place "&amp;$A179)))))</f>
        <v>fj5ignte1pm</v>
      </c>
      <c r="I179" s="414"/>
      <c r="J179" s="414"/>
      <c r="K179" s="415"/>
      <c r="L179" s="412" t="str">
        <f>IF($AF$8=2,$E$8,IF($AF$10=2,$E$10,IF($AF$12=2,$E$12,IF($AF$14=2,$E$14,IF($AF$16=2,$E$16,"2nd Place "&amp;$A179)))))</f>
        <v>Augusta Elite 16 Havoc</v>
      </c>
      <c r="M179" s="413"/>
      <c r="N179" s="413"/>
      <c r="O179" s="413"/>
      <c r="P179" s="413"/>
      <c r="Q179" s="413"/>
      <c r="R179" s="414" t="str">
        <f>IF($AF$8=2,$E$9,IF($AF$10=2,$E$11,IF($AF$12=2,$E$13,IF($AF$14=2,$E$15,IF($AF$16=2,$E$17,"2nd Place "&amp;$A179)))))</f>
        <v>fj6aelit2pm</v>
      </c>
      <c r="S179" s="414"/>
      <c r="T179" s="414"/>
      <c r="U179" s="415"/>
      <c r="V179" s="412" t="str">
        <f>IF($AF$8=3,$E$8,IF($AF$10=3,$E$10,IF($AF$12=3,$E$12,IF($AF$14=3,$E$14,IF($AF$16=3,$E$16,"3rd Place "&amp;$A179)))))</f>
        <v>Branchville Jrs 15 U Pink</v>
      </c>
      <c r="W179" s="413"/>
      <c r="X179" s="413"/>
      <c r="Y179" s="413"/>
      <c r="Z179" s="413"/>
      <c r="AA179" s="413"/>
      <c r="AB179" s="414" t="str">
        <f>IF($AF$8=3,$E$9,IF($AF$10=3,$E$11,IF($AF$12=3,$E$13,IF($AF$14=3,$E$15,IF($AF$16=3,$E$17,"3rd Place "&amp;$A179)))))</f>
        <v>fj5branc2pm</v>
      </c>
      <c r="AC179" s="414"/>
      <c r="AD179" s="414"/>
      <c r="AE179" s="415"/>
      <c r="AF179" s="412" t="str">
        <f>IF($AF$8=4,$E$8,IF($AF$10=4,$E$10,IF($AF$12=4,$E$12,IF($AF$14=4,$E$14,IF($AF$16=4,$E$16,"4th Place "&amp;$A179)))))</f>
        <v>High Velocity 15's</v>
      </c>
      <c r="AG179" s="413"/>
      <c r="AH179" s="413"/>
      <c r="AI179" s="413"/>
      <c r="AJ179" s="413"/>
      <c r="AK179" s="413"/>
      <c r="AL179" s="414" t="str">
        <f>IF($AF$8=4,$E$9,IF($AF$10=4,$E$11,IF($AF$12=4,$E$13,IF($AF$14=4,$E$15,IF($AF$16=4,$E$17,"4th Place "&amp;$A179)))))</f>
        <v>fj5hvelo1pm</v>
      </c>
      <c r="AM179" s="414"/>
      <c r="AN179" s="414"/>
      <c r="AO179" s="415"/>
    </row>
    <row r="180" spans="1:53" ht="13.5" thickBot="1" x14ac:dyDescent="0.25">
      <c r="A180" s="83" t="s">
        <v>128</v>
      </c>
      <c r="B180" s="416" t="str">
        <f>IF($AF$93=1,$E$93,IF($AF$95=1,$E$95,IF($AF$97=1,$E$97,IF($AF$99=1,$E$99,IF($AF$101=1,$E$101,"1st Place "&amp;$A180)))))</f>
        <v>Sumter VBC 15</v>
      </c>
      <c r="C180" s="417"/>
      <c r="D180" s="417"/>
      <c r="E180" s="417"/>
      <c r="F180" s="417"/>
      <c r="G180" s="417"/>
      <c r="H180" s="418" t="str">
        <f>IF($AF$93=1,$E$94,IF($AF$95=1,$E$96,IF($AF$97=1,$E$98,IF($AF$99=1,$E$100,IF($AF$101=1,$E$102,"1st Place "&amp;$A180)))))</f>
        <v>fj5sumtr1pm</v>
      </c>
      <c r="I180" s="418"/>
      <c r="J180" s="418"/>
      <c r="K180" s="419"/>
      <c r="L180" s="416" t="str">
        <f>IF($AF$93=2,$E$93,IF($AF$95=2,$E$95,IF($AF$97=2,$E$97,IF($AF$99=2,$E$99,IF($AF$101=2,$E$101,"2nd Place "&amp;$A180)))))</f>
        <v>Emerald City 15-1</v>
      </c>
      <c r="M180" s="417"/>
      <c r="N180" s="417"/>
      <c r="O180" s="417"/>
      <c r="P180" s="417"/>
      <c r="Q180" s="417"/>
      <c r="R180" s="418" t="str">
        <f>IF($AF$93=2,$E$94,IF($AF$95=2,$E$96,IF($AF$97=2,$E$98,IF($AF$99=2,$E$100,IF($AF$101=2,$E$102,"2nd Place "&amp;$A180)))))</f>
        <v>fj5ecity2pm</v>
      </c>
      <c r="S180" s="418"/>
      <c r="T180" s="418"/>
      <c r="U180" s="419"/>
      <c r="V180" s="416" t="str">
        <f>IF($AF$93=3,$E$93,IF($AF$95=3,$E$95,IF($AF$97=3,$E$97,IF($AF$99=3,$E$99,IF($AF$101=3,$E$101,"3rd Place "&amp;$A180)))))</f>
        <v>Intense 16 Region Rock H</v>
      </c>
      <c r="W180" s="417"/>
      <c r="X180" s="417"/>
      <c r="Y180" s="417"/>
      <c r="Z180" s="417"/>
      <c r="AA180" s="417"/>
      <c r="AB180" s="418" t="str">
        <f>IF($AF$93=3,$E$94,IF($AF$95=3,$E$96,IF($AF$97=3,$E$98,IF($AF$99=3,$E$100,IF($AF$101=3,$E$102,"3rd Place "&amp;$A180)))))</f>
        <v>fj6inten4pm</v>
      </c>
      <c r="AC180" s="418"/>
      <c r="AD180" s="418"/>
      <c r="AE180" s="419"/>
      <c r="AF180" s="416" t="str">
        <f>IF($AF$93=4,$E$93,IF($AF$95=4,$E$95,IF($AF$97=4,$E$97,IF($AF$99=4,$E$99,IF($AF$101=4,$E$101,"4th Place "&amp;$A180)))))</f>
        <v>SC Midlands 15 Garnet</v>
      </c>
      <c r="AG180" s="417"/>
      <c r="AH180" s="417"/>
      <c r="AI180" s="417"/>
      <c r="AJ180" s="417"/>
      <c r="AK180" s="417"/>
      <c r="AL180" s="418" t="str">
        <f>IF($AF$93=4,$E$94,IF($AF$95=4,$E$96,IF($AF$97=4,$E$98,IF($AF$99=4,$E$100,IF($AF$101=4,$E$102,"4th Place "&amp;$A180)))))</f>
        <v>fj5scmid4pm</v>
      </c>
      <c r="AM180" s="418"/>
      <c r="AN180" s="418"/>
      <c r="AO180" s="41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Z181" s="4"/>
      <c r="BA181" s="4"/>
    </row>
    <row r="182" spans="1:53" ht="15.75" x14ac:dyDescent="0.25">
      <c r="A182" s="426" t="s">
        <v>129</v>
      </c>
      <c r="B182" s="426"/>
      <c r="C182" s="426"/>
      <c r="D182" s="426"/>
      <c r="E182" s="426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T182" s="86"/>
      <c r="AU182" s="86"/>
      <c r="AV182" s="86"/>
    </row>
    <row r="183" spans="1:53" ht="14.25" x14ac:dyDescent="0.2">
      <c r="A183" s="427" t="s">
        <v>130</v>
      </c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</row>
    <row r="184" spans="1:53" x14ac:dyDescent="0.2">
      <c r="A184" s="428" t="s">
        <v>198</v>
      </c>
      <c r="B184" s="428"/>
      <c r="C184" s="428"/>
      <c r="D184" s="428"/>
      <c r="E184" s="428"/>
      <c r="F184" s="428"/>
      <c r="G184" s="428"/>
      <c r="H184" s="428"/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53" x14ac:dyDescent="0.2">
      <c r="A185" s="428"/>
      <c r="B185" s="428"/>
      <c r="C185" s="428"/>
      <c r="D185" s="428"/>
      <c r="E185" s="428"/>
      <c r="F185" s="428"/>
      <c r="G185" s="428"/>
      <c r="H185" s="428"/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53" x14ac:dyDescent="0.2">
      <c r="A186" s="429" t="s">
        <v>132</v>
      </c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330" t="s">
        <v>133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130"/>
      <c r="R188" s="330" t="s">
        <v>134</v>
      </c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</row>
    <row r="190" spans="1:53" ht="13.5" thickBot="1" x14ac:dyDescent="0.25">
      <c r="A190" s="420" t="str">
        <f>IF(B218=1,B210,IF(B218=2,B211,IF(B218=3,B212,IF(B218=4,B213,IF(OR(B218="B",B218="b"),"BYE","invalid")))))</f>
        <v>Ignite 15</v>
      </c>
      <c r="B190" s="420"/>
      <c r="C190" s="420"/>
      <c r="D190" s="420"/>
      <c r="E190" s="420"/>
      <c r="F190" s="88"/>
      <c r="G190" s="88"/>
      <c r="H190" s="88"/>
      <c r="I190" s="88"/>
      <c r="J190" s="88"/>
      <c r="K190" s="88"/>
      <c r="L190" s="88"/>
      <c r="M190" s="88"/>
      <c r="N190" s="88"/>
      <c r="S190" s="131"/>
      <c r="T190" s="131"/>
      <c r="U190" s="420" t="str">
        <f>IF(W218=1,X210,IF(W218=2,X211,IF(W218=3,X212,IF(W218=4,X213,IF(OR(W218="B",W218="b"),"BYE","invalid")))))</f>
        <v>Branchville Jrs 15 U Pink</v>
      </c>
      <c r="V190" s="420"/>
      <c r="W190" s="420"/>
      <c r="X190" s="420"/>
      <c r="Y190" s="420"/>
      <c r="Z190" s="420"/>
      <c r="AA190" s="420"/>
      <c r="AB190" s="88"/>
      <c r="AC190" s="88"/>
      <c r="AD190" s="88"/>
      <c r="AE190" s="88"/>
    </row>
    <row r="191" spans="1:53" x14ac:dyDescent="0.2">
      <c r="A191" s="421" t="s">
        <v>135</v>
      </c>
      <c r="B191" s="421"/>
      <c r="C191" s="421"/>
      <c r="D191" s="421"/>
      <c r="E191" s="421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422" t="s">
        <v>136</v>
      </c>
      <c r="V191" s="422"/>
      <c r="W191" s="422"/>
      <c r="X191" s="422"/>
      <c r="Y191" s="422"/>
      <c r="Z191" s="422"/>
      <c r="AA191" s="423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422" t="str">
        <f>B212&amp;" ref"</f>
        <v>Augusta Elite 16 Havoc ref</v>
      </c>
      <c r="B193" s="422"/>
      <c r="C193" s="422"/>
      <c r="D193" s="422"/>
      <c r="E193" s="423"/>
      <c r="F193" s="424" t="str">
        <f>IF(H218=1,B210,IF(H218=2,B211,IF(H218=3,B212,IF(H218=4,B213,"Winner Match 1"))))</f>
        <v>Ignite 15</v>
      </c>
      <c r="G193" s="425"/>
      <c r="H193" s="425"/>
      <c r="I193" s="425"/>
      <c r="J193" s="425"/>
      <c r="K193" s="425"/>
      <c r="L193" s="425"/>
      <c r="M193" s="425"/>
      <c r="N193" s="88"/>
      <c r="P193" s="93"/>
      <c r="Q193" s="93"/>
      <c r="R193" s="93"/>
      <c r="S193" s="93"/>
      <c r="T193" s="422" t="str">
        <f>X212&amp;" ref"</f>
        <v>High Velocity 15's ref</v>
      </c>
      <c r="U193" s="422"/>
      <c r="V193" s="422"/>
      <c r="W193" s="422"/>
      <c r="X193" s="422"/>
      <c r="Y193" s="422"/>
      <c r="Z193" s="422"/>
      <c r="AA193" s="423"/>
      <c r="AB193" s="424" t="str">
        <f>IF(AC218=1,X210,IF(AC218=2,X211,IF(AC218=3,X212,IF(AC218=4,X213,"Winner Match 1"))))</f>
        <v>Branchville Jrs 15 U Pink</v>
      </c>
      <c r="AC193" s="425"/>
      <c r="AD193" s="425"/>
      <c r="AE193" s="425"/>
      <c r="AF193" s="425"/>
      <c r="AG193" s="425"/>
      <c r="AH193" s="425"/>
    </row>
    <row r="194" spans="1:53" x14ac:dyDescent="0.2">
      <c r="A194" s="434" t="s">
        <v>137</v>
      </c>
      <c r="B194" s="434"/>
      <c r="C194" s="434"/>
      <c r="D194" s="434"/>
      <c r="E194" s="434"/>
      <c r="F194" s="435"/>
      <c r="G194" s="436"/>
      <c r="H194" s="436"/>
      <c r="I194" s="437"/>
      <c r="J194" s="438"/>
      <c r="K194" s="439"/>
      <c r="L194" s="439"/>
      <c r="M194" s="439"/>
      <c r="N194" s="88"/>
      <c r="O194" s="88"/>
      <c r="P194" s="94"/>
      <c r="Q194" s="6"/>
      <c r="R194" s="95"/>
      <c r="S194" s="95"/>
      <c r="T194" s="440" t="s">
        <v>138</v>
      </c>
      <c r="U194" s="440"/>
      <c r="V194" s="440"/>
      <c r="W194" s="440"/>
      <c r="X194" s="440"/>
      <c r="Y194" s="440"/>
      <c r="Z194" s="440"/>
      <c r="AA194" s="92"/>
      <c r="AB194" s="435"/>
      <c r="AC194" s="436"/>
      <c r="AD194" s="436"/>
      <c r="AE194" s="437"/>
      <c r="AF194" s="438"/>
      <c r="AG194" s="439"/>
      <c r="AH194" s="439"/>
    </row>
    <row r="195" spans="1:53" ht="13.5" thickBot="1" x14ac:dyDescent="0.25">
      <c r="A195" s="420" t="str">
        <f>IF(D218=1,B210,IF(D218=2,B211,IF(D218=3,B212,IF(D218=4,B213,IF(OR(D218="B",D218="b"),"BYE","invalid")))))</f>
        <v>Emerald City 15-1</v>
      </c>
      <c r="B195" s="420"/>
      <c r="C195" s="420"/>
      <c r="D195" s="420"/>
      <c r="E195" s="430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420" t="str">
        <f>IF(Y218=1,X210,IF(Y218=2,X211,IF(Y218=3,X212,IF(Y218=4,X213,IF(OR(Y218="B",Y218="b"),"BYE","invalid")))))</f>
        <v>SC Midlands 15 Garnet</v>
      </c>
      <c r="V195" s="420"/>
      <c r="W195" s="420"/>
      <c r="X195" s="420"/>
      <c r="Y195" s="420"/>
      <c r="Z195" s="420"/>
      <c r="AA195" s="430"/>
      <c r="AB195" s="88"/>
      <c r="AC195" s="88"/>
      <c r="AD195" s="88"/>
      <c r="AE195" s="92"/>
      <c r="AF195" s="88"/>
      <c r="AG195" s="88"/>
    </row>
    <row r="196" spans="1:53" x14ac:dyDescent="0.2">
      <c r="A196" s="421" t="s">
        <v>139</v>
      </c>
      <c r="B196" s="421"/>
      <c r="C196" s="421"/>
      <c r="D196" s="421"/>
      <c r="E196" s="421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431" t="s">
        <v>140</v>
      </c>
      <c r="V196" s="431"/>
      <c r="W196" s="431"/>
      <c r="X196" s="431"/>
      <c r="Y196" s="431"/>
      <c r="Z196" s="431"/>
      <c r="AA196" s="431"/>
      <c r="AB196" s="88"/>
      <c r="AC196" s="88"/>
      <c r="AD196" s="88"/>
      <c r="AE196" s="92"/>
      <c r="AF196" s="88"/>
      <c r="AG196" s="88"/>
      <c r="AQ196" s="96"/>
      <c r="AR196" s="96"/>
      <c r="AV196" s="96"/>
      <c r="AW196" s="96"/>
      <c r="AX196" s="96"/>
    </row>
    <row r="197" spans="1:53" x14ac:dyDescent="0.2">
      <c r="A197" s="88"/>
      <c r="B197" s="88"/>
      <c r="C197" s="88"/>
      <c r="D197" s="88"/>
      <c r="E197" s="88"/>
      <c r="F197" s="432" t="s">
        <v>141</v>
      </c>
      <c r="G197" s="432"/>
      <c r="H197" s="432"/>
      <c r="I197" s="433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432" t="s">
        <v>141</v>
      </c>
      <c r="AC197" s="432"/>
      <c r="AD197" s="432"/>
      <c r="AE197" s="433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445" t="str">
        <f>IF(K223=1,B210,IF(K223=2,B211,IF(K223=3,B212,IF(K223=4,B213,"Division Winner"))))</f>
        <v>Ignite 15</v>
      </c>
      <c r="K198" s="446"/>
      <c r="L198" s="446"/>
      <c r="M198" s="446"/>
      <c r="N198" s="446"/>
      <c r="O198" s="446"/>
      <c r="P198" s="446"/>
      <c r="Q198" s="131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446" t="str">
        <f>IF(AF223=1,X210,IF(AF223=2,X211,IF(AF223=3,X212,IF(AF223=4,X213,"Division Winner"))))</f>
        <v>Branchville Jrs 15 U Pink</v>
      </c>
      <c r="AG198" s="446"/>
      <c r="AH198" s="446"/>
      <c r="AI198" s="446"/>
      <c r="AJ198" s="446"/>
      <c r="AK198" s="98"/>
    </row>
    <row r="199" spans="1:53" ht="13.5" thickBot="1" x14ac:dyDescent="0.25">
      <c r="A199" s="420" t="str">
        <f>IF(E218=1,B210,IF(E218=2,B211,IF(E218=3,B212,IF(E218=4,B213,IF(OR(E218="B",E218="b"),"BYE","invalid")))))</f>
        <v>Sumter VBC 15</v>
      </c>
      <c r="B199" s="420"/>
      <c r="C199" s="420"/>
      <c r="D199" s="420"/>
      <c r="E199" s="420"/>
      <c r="F199" s="434" t="s">
        <v>142</v>
      </c>
      <c r="G199" s="434"/>
      <c r="H199" s="434"/>
      <c r="I199" s="434"/>
      <c r="J199" s="441" t="s">
        <v>143</v>
      </c>
      <c r="K199" s="432"/>
      <c r="L199" s="432"/>
      <c r="M199" s="432"/>
      <c r="N199" s="432"/>
      <c r="O199" s="432"/>
      <c r="P199" s="432"/>
      <c r="R199" s="98"/>
      <c r="S199" s="98"/>
      <c r="T199" s="98"/>
      <c r="U199" s="420" t="str">
        <f>IF(Z218=1,X210,IF(Z218=2,X211,IF(Z218=3,X212,IF(Z218=4,X213,IF(OR(Z218="B",Z218="b"),"BYE","invalid")))))</f>
        <v>Intense 16 Region Rock H</v>
      </c>
      <c r="V199" s="420"/>
      <c r="W199" s="420"/>
      <c r="X199" s="420"/>
      <c r="Y199" s="420"/>
      <c r="Z199" s="420"/>
      <c r="AA199" s="420"/>
      <c r="AB199" s="434" t="s">
        <v>144</v>
      </c>
      <c r="AC199" s="434"/>
      <c r="AD199" s="434"/>
      <c r="AE199" s="447"/>
      <c r="AF199" s="448" t="s">
        <v>145</v>
      </c>
      <c r="AG199" s="449"/>
      <c r="AH199" s="449"/>
      <c r="AI199" s="449"/>
      <c r="AJ199" s="449"/>
    </row>
    <row r="200" spans="1:53" x14ac:dyDescent="0.2">
      <c r="A200" s="421" t="s">
        <v>146</v>
      </c>
      <c r="B200" s="421"/>
      <c r="C200" s="421"/>
      <c r="D200" s="421"/>
      <c r="E200" s="421"/>
      <c r="F200" s="90"/>
      <c r="G200" s="88"/>
      <c r="H200" s="88"/>
      <c r="I200" s="88"/>
      <c r="J200" s="441"/>
      <c r="K200" s="432"/>
      <c r="L200" s="432"/>
      <c r="M200" s="432"/>
      <c r="N200" s="432"/>
      <c r="O200" s="432"/>
      <c r="P200" s="432"/>
      <c r="Q200" s="88"/>
      <c r="R200" s="96"/>
      <c r="S200" s="96"/>
      <c r="T200" s="96"/>
      <c r="U200" s="422" t="s">
        <v>147</v>
      </c>
      <c r="V200" s="422"/>
      <c r="W200" s="422"/>
      <c r="X200" s="422"/>
      <c r="Y200" s="422"/>
      <c r="Z200" s="422"/>
      <c r="AA200" s="423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Z201" s="55"/>
      <c r="BA201" s="55"/>
    </row>
    <row r="202" spans="1:53" ht="13.5" thickBot="1" x14ac:dyDescent="0.25">
      <c r="A202" s="518" t="s">
        <v>148</v>
      </c>
      <c r="B202" s="518"/>
      <c r="C202" s="518"/>
      <c r="D202" s="518"/>
      <c r="E202" s="94"/>
      <c r="F202" s="442"/>
      <c r="G202" s="443"/>
      <c r="H202" s="443"/>
      <c r="I202" s="444"/>
      <c r="J202" s="438"/>
      <c r="K202" s="439"/>
      <c r="L202" s="439"/>
      <c r="M202" s="439"/>
      <c r="N202" s="88"/>
      <c r="Q202" s="93"/>
      <c r="R202" s="93"/>
      <c r="S202" s="93"/>
      <c r="T202" s="518" t="s">
        <v>148</v>
      </c>
      <c r="U202" s="518"/>
      <c r="V202" s="518"/>
      <c r="W202" s="518"/>
      <c r="X202" s="518"/>
      <c r="Y202" s="518"/>
      <c r="Z202" s="518"/>
      <c r="AA202" s="88"/>
      <c r="AB202" s="442"/>
      <c r="AC202" s="443"/>
      <c r="AD202" s="443"/>
      <c r="AE202" s="444"/>
      <c r="AF202" s="438"/>
      <c r="AG202" s="439"/>
      <c r="AH202" s="439"/>
      <c r="AZ202" s="55"/>
      <c r="BA202" s="55"/>
    </row>
    <row r="203" spans="1:53" x14ac:dyDescent="0.2">
      <c r="A203" s="516" t="s">
        <v>137</v>
      </c>
      <c r="B203" s="516"/>
      <c r="C203" s="516"/>
      <c r="D203" s="516"/>
      <c r="E203" s="517"/>
      <c r="F203" s="424" t="str">
        <f>IF(J218=1,B210,IF(J218=2,B211,IF(J218=3,B212,IF(J218=4,B213,"Winner Match 2"))))</f>
        <v>Augusta Elite 16 Havoc</v>
      </c>
      <c r="G203" s="425"/>
      <c r="H203" s="425"/>
      <c r="I203" s="425"/>
      <c r="J203" s="425"/>
      <c r="K203" s="425"/>
      <c r="L203" s="425"/>
      <c r="M203" s="425"/>
      <c r="N203" s="88"/>
      <c r="P203" s="94"/>
      <c r="Q203" s="94"/>
      <c r="S203" s="95"/>
      <c r="T203" s="434" t="s">
        <v>138</v>
      </c>
      <c r="U203" s="434"/>
      <c r="V203" s="434"/>
      <c r="W203" s="434"/>
      <c r="X203" s="434"/>
      <c r="Y203" s="434"/>
      <c r="Z203" s="434"/>
      <c r="AA203" s="92"/>
      <c r="AB203" s="424" t="str">
        <f>IF(AE218=1,X210,IF(AE218=2,X211,IF(AE218=3,X212,IF(AE218=4,X213,"Winner Match 2"))))</f>
        <v>Intense 16 Region Rock H</v>
      </c>
      <c r="AC203" s="425"/>
      <c r="AD203" s="425"/>
      <c r="AE203" s="425"/>
      <c r="AF203" s="425"/>
      <c r="AG203" s="425"/>
      <c r="AH203" s="425"/>
      <c r="AZ203" s="55"/>
      <c r="BA203" s="55"/>
    </row>
    <row r="204" spans="1:53" ht="13.5" thickBot="1" x14ac:dyDescent="0.25">
      <c r="A204" s="420" t="str">
        <f>IF(G218=1,B210,IF(G218=2,B211,IF(G218=3,B212,IF(G218=4,B213,IF(OR(G218="B",G218="b"),"BYE","invalid")))))</f>
        <v>Augusta Elite 16 Havoc</v>
      </c>
      <c r="B204" s="420"/>
      <c r="C204" s="420"/>
      <c r="D204" s="420"/>
      <c r="E204" s="430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420" t="str">
        <f>IF(AB218=1,X210,IF(AB218=2,X211,IF(AB218=3,X212,IF(AB218=4,X213,IF(OR(AB218="B",AB218="b"),"BYE","invalid")))))</f>
        <v>High Velocity 15's</v>
      </c>
      <c r="V204" s="420"/>
      <c r="W204" s="420"/>
      <c r="X204" s="420"/>
      <c r="Y204" s="420"/>
      <c r="Z204" s="420"/>
      <c r="AA204" s="430"/>
      <c r="AB204" s="88"/>
      <c r="AC204" s="88"/>
      <c r="AD204" s="88"/>
      <c r="AE204" s="88"/>
      <c r="AZ204" s="55"/>
      <c r="BA204" s="55"/>
    </row>
    <row r="205" spans="1:53" x14ac:dyDescent="0.2">
      <c r="A205" s="421" t="s">
        <v>149</v>
      </c>
      <c r="B205" s="421"/>
      <c r="C205" s="421"/>
      <c r="D205" s="421"/>
      <c r="E205" s="421"/>
      <c r="S205" s="96"/>
      <c r="T205" s="96"/>
      <c r="U205" s="422" t="s">
        <v>150</v>
      </c>
      <c r="V205" s="422"/>
      <c r="W205" s="422"/>
      <c r="X205" s="422"/>
      <c r="Y205" s="422"/>
      <c r="Z205" s="422"/>
      <c r="AA205" s="422"/>
      <c r="AZ205" s="55"/>
      <c r="BA205" s="55"/>
    </row>
    <row r="206" spans="1:53" x14ac:dyDescent="0.2">
      <c r="AS206" s="55"/>
      <c r="AT206" s="55"/>
      <c r="AU206" s="55"/>
      <c r="AZ206" s="55"/>
      <c r="BA206" s="55"/>
    </row>
    <row r="207" spans="1:53" x14ac:dyDescent="0.2">
      <c r="AS207" s="55"/>
      <c r="AT207" s="55"/>
      <c r="AU207" s="55"/>
      <c r="AZ207" s="55"/>
      <c r="BA207" s="55"/>
    </row>
    <row r="208" spans="1:53" ht="16.5" thickBot="1" x14ac:dyDescent="0.3">
      <c r="A208" s="450" t="s">
        <v>151</v>
      </c>
      <c r="B208" s="450"/>
      <c r="C208" s="450"/>
      <c r="D208" s="450"/>
      <c r="E208" s="450"/>
      <c r="F208" s="450"/>
      <c r="G208" s="450"/>
      <c r="H208" s="450"/>
      <c r="I208" s="450"/>
      <c r="J208" s="450"/>
      <c r="Q208" s="100"/>
      <c r="R208" s="100"/>
      <c r="S208" s="100"/>
      <c r="U208" s="450" t="s">
        <v>152</v>
      </c>
      <c r="V208" s="450"/>
      <c r="W208" s="450"/>
      <c r="X208" s="450"/>
      <c r="Y208" s="450"/>
      <c r="Z208" s="450"/>
      <c r="AA208" s="450"/>
      <c r="AB208" s="450"/>
      <c r="AC208" s="450"/>
      <c r="AD208" s="450"/>
      <c r="AE208" s="450"/>
      <c r="AF208" s="450"/>
      <c r="AS208" s="55"/>
      <c r="AT208" s="55"/>
      <c r="AU208" s="55"/>
      <c r="AZ208" s="55"/>
      <c r="BA208" s="55"/>
    </row>
    <row r="209" spans="1:53" ht="13.5" thickBot="1" x14ac:dyDescent="0.25">
      <c r="A209" s="101" t="s">
        <v>153</v>
      </c>
      <c r="B209" s="451" t="s">
        <v>154</v>
      </c>
      <c r="C209" s="452"/>
      <c r="D209" s="452"/>
      <c r="E209" s="452"/>
      <c r="F209" s="452"/>
      <c r="G209" s="452"/>
      <c r="H209" s="452"/>
      <c r="I209" s="452"/>
      <c r="J209" s="453"/>
      <c r="K209" s="454" t="s">
        <v>155</v>
      </c>
      <c r="L209" s="455"/>
      <c r="M209" s="455"/>
      <c r="N209" s="455"/>
      <c r="O209" s="455"/>
      <c r="P209" s="455"/>
      <c r="Q209" s="456"/>
      <c r="U209" s="457" t="s">
        <v>153</v>
      </c>
      <c r="V209" s="458"/>
      <c r="W209" s="459"/>
      <c r="X209" s="451" t="s">
        <v>154</v>
      </c>
      <c r="Y209" s="452"/>
      <c r="Z209" s="452"/>
      <c r="AA209" s="452"/>
      <c r="AB209" s="452"/>
      <c r="AC209" s="452"/>
      <c r="AD209" s="452"/>
      <c r="AE209" s="452"/>
      <c r="AF209" s="453"/>
      <c r="AG209" s="454" t="s">
        <v>155</v>
      </c>
      <c r="AH209" s="455"/>
      <c r="AI209" s="455"/>
      <c r="AJ209" s="455"/>
      <c r="AK209" s="455"/>
      <c r="AL209" s="455"/>
      <c r="AM209" s="456"/>
      <c r="AS209" s="55"/>
      <c r="AT209" s="55"/>
      <c r="AU209" s="55"/>
      <c r="AZ209" s="55"/>
      <c r="BA209" s="55"/>
    </row>
    <row r="210" spans="1:53" ht="13.5" thickBot="1" x14ac:dyDescent="0.25">
      <c r="A210" s="101">
        <v>1</v>
      </c>
      <c r="B210" s="460" t="str">
        <f>B179</f>
        <v>Ignite 15</v>
      </c>
      <c r="C210" s="461"/>
      <c r="D210" s="461"/>
      <c r="E210" s="461"/>
      <c r="F210" s="461"/>
      <c r="G210" s="461"/>
      <c r="H210" s="461"/>
      <c r="I210" s="461"/>
      <c r="J210" s="462"/>
      <c r="K210" s="463" t="str">
        <f>H179</f>
        <v>fj5ignte1pm</v>
      </c>
      <c r="L210" s="464"/>
      <c r="M210" s="464"/>
      <c r="N210" s="464"/>
      <c r="O210" s="464"/>
      <c r="P210" s="464"/>
      <c r="Q210" s="465"/>
      <c r="U210" s="457">
        <v>1</v>
      </c>
      <c r="V210" s="458"/>
      <c r="W210" s="459"/>
      <c r="X210" s="460" t="str">
        <f>V179</f>
        <v>Branchville Jrs 15 U Pink</v>
      </c>
      <c r="Y210" s="461"/>
      <c r="Z210" s="461"/>
      <c r="AA210" s="461"/>
      <c r="AB210" s="461"/>
      <c r="AC210" s="461"/>
      <c r="AD210" s="461"/>
      <c r="AE210" s="461"/>
      <c r="AF210" s="462"/>
      <c r="AG210" s="463" t="str">
        <f>AB179</f>
        <v>fj5branc2pm</v>
      </c>
      <c r="AH210" s="464"/>
      <c r="AI210" s="464"/>
      <c r="AJ210" s="464"/>
      <c r="AK210" s="464"/>
      <c r="AL210" s="464"/>
      <c r="AM210" s="465"/>
      <c r="AS210" s="55"/>
      <c r="AT210" s="55"/>
      <c r="AU210" s="55"/>
      <c r="AZ210" s="55"/>
      <c r="BA210" s="55"/>
    </row>
    <row r="211" spans="1:53" ht="13.5" thickBot="1" x14ac:dyDescent="0.25">
      <c r="A211" s="101">
        <v>2</v>
      </c>
      <c r="B211" s="460" t="str">
        <f>B180</f>
        <v>Sumter VBC 15</v>
      </c>
      <c r="C211" s="461"/>
      <c r="D211" s="461"/>
      <c r="E211" s="461"/>
      <c r="F211" s="461"/>
      <c r="G211" s="461"/>
      <c r="H211" s="461"/>
      <c r="I211" s="461"/>
      <c r="J211" s="462"/>
      <c r="K211" s="463" t="str">
        <f>H180</f>
        <v>fj5sumtr1pm</v>
      </c>
      <c r="L211" s="464"/>
      <c r="M211" s="464"/>
      <c r="N211" s="464"/>
      <c r="O211" s="464"/>
      <c r="P211" s="464"/>
      <c r="Q211" s="465"/>
      <c r="U211" s="457">
        <v>2</v>
      </c>
      <c r="V211" s="458"/>
      <c r="W211" s="459"/>
      <c r="X211" s="460" t="str">
        <f>V180</f>
        <v>Intense 16 Region Rock H</v>
      </c>
      <c r="Y211" s="461"/>
      <c r="Z211" s="461"/>
      <c r="AA211" s="461"/>
      <c r="AB211" s="461"/>
      <c r="AC211" s="461"/>
      <c r="AD211" s="461"/>
      <c r="AE211" s="461"/>
      <c r="AF211" s="462"/>
      <c r="AG211" s="463" t="str">
        <f>AB180</f>
        <v>fj6inten4pm</v>
      </c>
      <c r="AH211" s="464"/>
      <c r="AI211" s="464"/>
      <c r="AJ211" s="464"/>
      <c r="AK211" s="464"/>
      <c r="AL211" s="464"/>
      <c r="AM211" s="465"/>
      <c r="AS211" s="55"/>
      <c r="AT211" s="55"/>
      <c r="AU211" s="55"/>
      <c r="AZ211" s="55"/>
      <c r="BA211" s="55"/>
    </row>
    <row r="212" spans="1:53" ht="13.5" thickBot="1" x14ac:dyDescent="0.25">
      <c r="A212" s="101">
        <v>3</v>
      </c>
      <c r="B212" s="460" t="str">
        <f>L179</f>
        <v>Augusta Elite 16 Havoc</v>
      </c>
      <c r="C212" s="461"/>
      <c r="D212" s="461"/>
      <c r="E212" s="461"/>
      <c r="F212" s="461"/>
      <c r="G212" s="461"/>
      <c r="H212" s="461"/>
      <c r="I212" s="461"/>
      <c r="J212" s="462"/>
      <c r="K212" s="463" t="str">
        <f>R179</f>
        <v>fj6aelit2pm</v>
      </c>
      <c r="L212" s="464"/>
      <c r="M212" s="464"/>
      <c r="N212" s="464"/>
      <c r="O212" s="464"/>
      <c r="P212" s="464"/>
      <c r="Q212" s="465"/>
      <c r="U212" s="457">
        <v>3</v>
      </c>
      <c r="V212" s="458"/>
      <c r="W212" s="459"/>
      <c r="X212" s="460" t="str">
        <f>AF179</f>
        <v>High Velocity 15's</v>
      </c>
      <c r="Y212" s="461"/>
      <c r="Z212" s="461"/>
      <c r="AA212" s="461"/>
      <c r="AB212" s="461"/>
      <c r="AC212" s="461"/>
      <c r="AD212" s="461"/>
      <c r="AE212" s="461"/>
      <c r="AF212" s="462"/>
      <c r="AG212" s="463" t="str">
        <f>AL179</f>
        <v>fj5hvelo1pm</v>
      </c>
      <c r="AH212" s="464"/>
      <c r="AI212" s="464"/>
      <c r="AJ212" s="464"/>
      <c r="AK212" s="464"/>
      <c r="AL212" s="464"/>
      <c r="AM212" s="465"/>
      <c r="AS212" s="55"/>
      <c r="AT212" s="55"/>
      <c r="AU212" s="55"/>
      <c r="AZ212" s="55"/>
      <c r="BA212" s="55"/>
    </row>
    <row r="213" spans="1:53" ht="13.5" thickBot="1" x14ac:dyDescent="0.25">
      <c r="A213" s="101">
        <v>4</v>
      </c>
      <c r="B213" s="460" t="str">
        <f>L180</f>
        <v>Emerald City 15-1</v>
      </c>
      <c r="C213" s="461"/>
      <c r="D213" s="461"/>
      <c r="E213" s="461"/>
      <c r="F213" s="461"/>
      <c r="G213" s="461"/>
      <c r="H213" s="461"/>
      <c r="I213" s="461"/>
      <c r="J213" s="462"/>
      <c r="K213" s="463" t="str">
        <f>R180</f>
        <v>fj5ecity2pm</v>
      </c>
      <c r="L213" s="464"/>
      <c r="M213" s="464"/>
      <c r="N213" s="464"/>
      <c r="O213" s="464"/>
      <c r="P213" s="464"/>
      <c r="Q213" s="465"/>
      <c r="U213" s="457">
        <v>4</v>
      </c>
      <c r="V213" s="458"/>
      <c r="W213" s="459"/>
      <c r="X213" s="460" t="str">
        <f>AF180</f>
        <v>SC Midlands 15 Garnet</v>
      </c>
      <c r="Y213" s="461"/>
      <c r="Z213" s="461"/>
      <c r="AA213" s="461"/>
      <c r="AB213" s="461"/>
      <c r="AC213" s="461"/>
      <c r="AD213" s="461"/>
      <c r="AE213" s="461"/>
      <c r="AF213" s="462"/>
      <c r="AG213" s="463" t="str">
        <f>AL180</f>
        <v>fj5scmid4pm</v>
      </c>
      <c r="AH213" s="464"/>
      <c r="AI213" s="464"/>
      <c r="AJ213" s="464"/>
      <c r="AK213" s="464"/>
      <c r="AL213" s="464"/>
      <c r="AM213" s="465"/>
      <c r="AS213" s="55"/>
      <c r="AT213" s="55"/>
      <c r="AU213" s="55"/>
      <c r="AZ213" s="55"/>
      <c r="BA213" s="55"/>
    </row>
    <row r="214" spans="1:53" ht="13.5" thickBot="1" x14ac:dyDescent="0.25">
      <c r="AS214" s="55"/>
      <c r="AT214" s="55"/>
      <c r="AU214" s="55"/>
      <c r="AZ214" s="55"/>
      <c r="BA214" s="55"/>
    </row>
    <row r="215" spans="1:53" x14ac:dyDescent="0.2">
      <c r="B215" s="466" t="s">
        <v>156</v>
      </c>
      <c r="C215" s="467"/>
      <c r="D215" s="468"/>
      <c r="E215" s="469" t="s">
        <v>156</v>
      </c>
      <c r="F215" s="467"/>
      <c r="G215" s="468"/>
      <c r="H215" s="469" t="s">
        <v>14</v>
      </c>
      <c r="I215" s="467"/>
      <c r="J215" s="470"/>
      <c r="K215" s="471" t="s">
        <v>157</v>
      </c>
      <c r="L215" s="472"/>
      <c r="M215" s="472"/>
      <c r="N215" s="472"/>
      <c r="O215" s="472"/>
      <c r="P215" s="472"/>
      <c r="Q215" s="473"/>
      <c r="R215" s="102"/>
      <c r="S215" s="102"/>
      <c r="T215" s="102"/>
      <c r="U215" s="102"/>
      <c r="W215" s="466" t="s">
        <v>156</v>
      </c>
      <c r="X215" s="467"/>
      <c r="Y215" s="468"/>
      <c r="Z215" s="469" t="s">
        <v>156</v>
      </c>
      <c r="AA215" s="467"/>
      <c r="AB215" s="468"/>
      <c r="AC215" s="469" t="s">
        <v>14</v>
      </c>
      <c r="AD215" s="467"/>
      <c r="AE215" s="470"/>
      <c r="AF215" s="471" t="s">
        <v>157</v>
      </c>
      <c r="AG215" s="480"/>
      <c r="AH215" s="480"/>
      <c r="AI215" s="480"/>
      <c r="AJ215" s="481"/>
      <c r="AZ215" s="55"/>
      <c r="BA215" s="55"/>
    </row>
    <row r="216" spans="1:53" x14ac:dyDescent="0.2">
      <c r="A216" s="41" t="s">
        <v>158</v>
      </c>
      <c r="B216" s="488">
        <v>3</v>
      </c>
      <c r="C216" s="489"/>
      <c r="D216" s="490"/>
      <c r="E216" s="491" t="s">
        <v>159</v>
      </c>
      <c r="F216" s="489"/>
      <c r="G216" s="490"/>
      <c r="H216" s="491" t="s">
        <v>160</v>
      </c>
      <c r="I216" s="489"/>
      <c r="J216" s="492"/>
      <c r="K216" s="474"/>
      <c r="L216" s="475"/>
      <c r="M216" s="475"/>
      <c r="N216" s="475"/>
      <c r="O216" s="475"/>
      <c r="P216" s="475"/>
      <c r="Q216" s="476"/>
      <c r="R216" s="102"/>
      <c r="S216" s="102"/>
      <c r="T216" s="493" t="s">
        <v>158</v>
      </c>
      <c r="U216" s="493"/>
      <c r="V216" s="494"/>
      <c r="W216" s="488">
        <v>3</v>
      </c>
      <c r="X216" s="489"/>
      <c r="Y216" s="490"/>
      <c r="Z216" s="491" t="s">
        <v>159</v>
      </c>
      <c r="AA216" s="489"/>
      <c r="AB216" s="490"/>
      <c r="AC216" s="491" t="s">
        <v>160</v>
      </c>
      <c r="AD216" s="489"/>
      <c r="AE216" s="492"/>
      <c r="AF216" s="482"/>
      <c r="AG216" s="483"/>
      <c r="AH216" s="483"/>
      <c r="AI216" s="483"/>
      <c r="AJ216" s="484"/>
      <c r="AZ216" s="55"/>
      <c r="BA216" s="55"/>
    </row>
    <row r="217" spans="1:53" ht="13.5" thickBot="1" x14ac:dyDescent="0.25">
      <c r="A217" s="7"/>
      <c r="B217" s="501" t="s">
        <v>70</v>
      </c>
      <c r="C217" s="323"/>
      <c r="D217" s="324"/>
      <c r="E217" s="322" t="s">
        <v>161</v>
      </c>
      <c r="F217" s="323"/>
      <c r="G217" s="324"/>
      <c r="H217" s="322" t="s">
        <v>162</v>
      </c>
      <c r="I217" s="323"/>
      <c r="J217" s="495"/>
      <c r="K217" s="477"/>
      <c r="L217" s="478"/>
      <c r="M217" s="478"/>
      <c r="N217" s="478"/>
      <c r="O217" s="478"/>
      <c r="P217" s="478"/>
      <c r="Q217" s="479"/>
      <c r="R217" s="102"/>
      <c r="S217" s="102"/>
      <c r="T217" s="499"/>
      <c r="U217" s="499"/>
      <c r="V217" s="500"/>
      <c r="W217" s="501" t="s">
        <v>70</v>
      </c>
      <c r="X217" s="323"/>
      <c r="Y217" s="324"/>
      <c r="Z217" s="322" t="s">
        <v>161</v>
      </c>
      <c r="AA217" s="323"/>
      <c r="AB217" s="324"/>
      <c r="AC217" s="322" t="s">
        <v>162</v>
      </c>
      <c r="AD217" s="323"/>
      <c r="AE217" s="495"/>
      <c r="AF217" s="485"/>
      <c r="AG217" s="486"/>
      <c r="AH217" s="486"/>
      <c r="AI217" s="486"/>
      <c r="AJ217" s="487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1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3</v>
      </c>
      <c r="K218" s="496" t="s">
        <v>163</v>
      </c>
      <c r="L218" s="497"/>
      <c r="M218" s="497"/>
      <c r="N218" s="498"/>
      <c r="R218" s="102"/>
      <c r="S218" s="102"/>
      <c r="T218" s="499"/>
      <c r="U218" s="499"/>
      <c r="V218" s="500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1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2</v>
      </c>
      <c r="AF218" s="496" t="s">
        <v>163</v>
      </c>
      <c r="AG218" s="498"/>
      <c r="AH218" s="102"/>
      <c r="AI218" s="102"/>
      <c r="AJ218" s="102"/>
      <c r="AZ218" s="55"/>
      <c r="BA218" s="55"/>
    </row>
    <row r="219" spans="1:53" ht="13.5" hidden="1" customHeight="1" thickBot="1" x14ac:dyDescent="0.25">
      <c r="A219" s="7"/>
      <c r="B219" s="110">
        <f>IF(B223&gt;D223,1,0)</f>
        <v>1</v>
      </c>
      <c r="C219" s="111"/>
      <c r="D219" s="112">
        <f>IF(D223&gt;B223,1,0)</f>
        <v>0</v>
      </c>
      <c r="E219" s="110">
        <f>IF(E223&gt;G223,1,0)</f>
        <v>0</v>
      </c>
      <c r="F219" s="111"/>
      <c r="G219" s="112">
        <f>IF(G223&gt;E223,1,0)</f>
        <v>1</v>
      </c>
      <c r="H219" s="110">
        <f>IF(H223&gt;J223,1,0)</f>
        <v>1</v>
      </c>
      <c r="I219" s="111"/>
      <c r="J219" s="112">
        <f>IF(J223&gt;H223,1,0)</f>
        <v>0</v>
      </c>
      <c r="K219" s="113"/>
      <c r="L219" s="114"/>
      <c r="M219" s="114"/>
      <c r="N219" s="115"/>
      <c r="R219" s="102"/>
      <c r="S219" s="102"/>
      <c r="T219" s="499"/>
      <c r="U219" s="499"/>
      <c r="V219" s="500"/>
      <c r="W219" s="110">
        <f>IF(W223&gt;Y223,1,0)</f>
        <v>1</v>
      </c>
      <c r="X219" s="111"/>
      <c r="Y219" s="112">
        <f>IF(Y223&gt;W223,1,0)</f>
        <v>0</v>
      </c>
      <c r="Z219" s="110">
        <f>IF(Z223&gt;AB223,1,0)</f>
        <v>1</v>
      </c>
      <c r="AA219" s="111"/>
      <c r="AB219" s="112">
        <f>IF(AB223&gt;Z223,1,0)</f>
        <v>0</v>
      </c>
      <c r="AC219" s="110">
        <f>IF(AC223&gt;AE223,1,0)</f>
        <v>1</v>
      </c>
      <c r="AD219" s="111"/>
      <c r="AE219" s="112">
        <f>IF(AE223&gt;AC223,1,0)</f>
        <v>0</v>
      </c>
      <c r="AF219" s="116"/>
      <c r="AG219" s="117"/>
      <c r="AH219" s="102"/>
      <c r="AI219" s="102"/>
      <c r="AJ219" s="102"/>
      <c r="AZ219" s="55"/>
      <c r="BA219" s="55"/>
    </row>
    <row r="220" spans="1:53" ht="13.5" hidden="1" customHeight="1" thickBot="1" x14ac:dyDescent="0.25">
      <c r="A220" s="7"/>
      <c r="B220" s="110">
        <f>IF(B224&gt;D224,1,0)</f>
        <v>1</v>
      </c>
      <c r="C220" s="111"/>
      <c r="D220" s="112">
        <f>IF(D224&gt;B224,1,0)</f>
        <v>0</v>
      </c>
      <c r="E220" s="110">
        <f>IF(E224&gt;G224,1,0)</f>
        <v>0</v>
      </c>
      <c r="F220" s="111"/>
      <c r="G220" s="112">
        <f>IF(G224&gt;E224,1,0)</f>
        <v>1</v>
      </c>
      <c r="H220" s="110">
        <f>IF(H224&gt;J224,1,0)</f>
        <v>1</v>
      </c>
      <c r="I220" s="111"/>
      <c r="J220" s="112">
        <f>IF(J224&gt;H224,1,0)</f>
        <v>0</v>
      </c>
      <c r="K220" s="113"/>
      <c r="L220" s="114"/>
      <c r="M220" s="114"/>
      <c r="N220" s="115"/>
      <c r="R220" s="102"/>
      <c r="S220" s="102"/>
      <c r="T220" s="499"/>
      <c r="U220" s="499"/>
      <c r="V220" s="500"/>
      <c r="W220" s="110">
        <f>IF(W224&gt;Y224,1,0)</f>
        <v>1</v>
      </c>
      <c r="X220" s="111"/>
      <c r="Y220" s="112">
        <f>IF(Y224&gt;W224,1,0)</f>
        <v>0</v>
      </c>
      <c r="Z220" s="110">
        <f>IF(Z224&gt;AB224,1,0)</f>
        <v>1</v>
      </c>
      <c r="AA220" s="111"/>
      <c r="AB220" s="112">
        <f>IF(AB224&gt;Z224,1,0)</f>
        <v>0</v>
      </c>
      <c r="AC220" s="110">
        <f>IF(AC224&gt;AE224,1,0)</f>
        <v>1</v>
      </c>
      <c r="AD220" s="111"/>
      <c r="AE220" s="112">
        <f>IF(AE224&gt;AC224,1,0)</f>
        <v>0</v>
      </c>
      <c r="AF220" s="116"/>
      <c r="AG220" s="117"/>
      <c r="AH220" s="102"/>
      <c r="AI220" s="102"/>
      <c r="AJ220" s="102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0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0</v>
      </c>
      <c r="K221" s="113"/>
      <c r="L221" s="114"/>
      <c r="M221" s="114"/>
      <c r="N221" s="115"/>
      <c r="R221" s="102"/>
      <c r="S221" s="102"/>
      <c r="T221" s="499"/>
      <c r="U221" s="499"/>
      <c r="V221" s="500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0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0</v>
      </c>
      <c r="AF221" s="116"/>
      <c r="AG221" s="117"/>
      <c r="AH221" s="102"/>
      <c r="AI221" s="102"/>
      <c r="AJ221" s="102"/>
      <c r="AZ221" s="55"/>
      <c r="BA221" s="55"/>
    </row>
    <row r="222" spans="1:53" ht="13.5" hidden="1" customHeight="1" thickBot="1" x14ac:dyDescent="0.25">
      <c r="A222" s="7"/>
      <c r="B222" s="110">
        <f>SUM(B219:B221)</f>
        <v>2</v>
      </c>
      <c r="C222" s="111"/>
      <c r="D222" s="110">
        <f>SUM(D219:D221)</f>
        <v>0</v>
      </c>
      <c r="E222" s="110">
        <f>SUM(E219:E221)</f>
        <v>0</v>
      </c>
      <c r="F222" s="111"/>
      <c r="G222" s="110">
        <f>SUM(G219:G221)</f>
        <v>2</v>
      </c>
      <c r="H222" s="110">
        <f>SUM(H219:H221)</f>
        <v>2</v>
      </c>
      <c r="I222" s="111"/>
      <c r="J222" s="110">
        <f>SUM(J219:J221)</f>
        <v>0</v>
      </c>
      <c r="K222" s="113"/>
      <c r="L222" s="114"/>
      <c r="M222" s="114"/>
      <c r="N222" s="115"/>
      <c r="R222" s="102"/>
      <c r="S222" s="102"/>
      <c r="T222" s="499"/>
      <c r="U222" s="499"/>
      <c r="V222" s="500"/>
      <c r="W222" s="110">
        <f>SUM(W219:W221)</f>
        <v>2</v>
      </c>
      <c r="X222" s="111"/>
      <c r="Y222" s="110">
        <f>SUM(Y219:Y221)</f>
        <v>0</v>
      </c>
      <c r="Z222" s="110">
        <f>SUM(Z219:Z221)</f>
        <v>2</v>
      </c>
      <c r="AA222" s="111"/>
      <c r="AB222" s="110">
        <f>SUM(AB219:AB221)</f>
        <v>0</v>
      </c>
      <c r="AC222" s="110">
        <f>SUM(AC219:AC221)</f>
        <v>2</v>
      </c>
      <c r="AD222" s="111"/>
      <c r="AE222" s="110">
        <f>SUM(AE219:AE221)</f>
        <v>0</v>
      </c>
      <c r="AF222" s="116"/>
      <c r="AG222" s="117"/>
      <c r="AH222" s="102"/>
      <c r="AI222" s="102"/>
      <c r="AJ222" s="102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20</v>
      </c>
      <c r="E223" s="120">
        <v>20</v>
      </c>
      <c r="F223" s="50" t="s">
        <v>80</v>
      </c>
      <c r="G223" s="119">
        <v>25</v>
      </c>
      <c r="H223" s="120">
        <v>27</v>
      </c>
      <c r="I223" s="50" t="s">
        <v>80</v>
      </c>
      <c r="J223" s="121">
        <v>25</v>
      </c>
      <c r="K223" s="504">
        <f>IF(AND(OR(H222&gt;0,J222&gt;0),AND(1&lt;=H218,H218&lt;=4),AND(1&lt;=J218,J218&lt;=4)),IF(H222&gt;J222,H218,IF(J222&gt;H222,J218,"")),"")</f>
        <v>1</v>
      </c>
      <c r="L223" s="505"/>
      <c r="M223" s="505"/>
      <c r="N223" s="506"/>
      <c r="R223" s="102"/>
      <c r="S223" s="102"/>
      <c r="T223" s="122"/>
      <c r="U223" s="122"/>
      <c r="V223" s="5" t="s">
        <v>79</v>
      </c>
      <c r="W223" s="118">
        <v>25</v>
      </c>
      <c r="X223" s="50" t="s">
        <v>80</v>
      </c>
      <c r="Y223" s="119">
        <v>20</v>
      </c>
      <c r="Z223" s="120">
        <v>25</v>
      </c>
      <c r="AA223" s="50" t="s">
        <v>80</v>
      </c>
      <c r="AB223" s="119">
        <v>14</v>
      </c>
      <c r="AC223" s="120">
        <v>25</v>
      </c>
      <c r="AD223" s="50" t="s">
        <v>80</v>
      </c>
      <c r="AE223" s="121">
        <v>20</v>
      </c>
      <c r="AF223" s="504">
        <f>IF(AND(OR(AC222&gt;0,AE222&gt;0),AND(1&lt;=AC218,AC218&lt;=4),AND(1&lt;=AE218,AE218&lt;=4)),IF(AC222&gt;AE222,AC218,IF(AE222&gt;AC222,AE218,"")),"")</f>
        <v>1</v>
      </c>
      <c r="AG223" s="506"/>
      <c r="AH223" s="102"/>
      <c r="AI223" s="102"/>
      <c r="AJ223" s="102"/>
      <c r="AZ223" s="55"/>
      <c r="BA223" s="55"/>
    </row>
    <row r="224" spans="1:53" ht="12.75" customHeight="1" x14ac:dyDescent="0.2">
      <c r="A224" s="5" t="s">
        <v>164</v>
      </c>
      <c r="B224" s="118">
        <v>25</v>
      </c>
      <c r="C224" s="50" t="s">
        <v>80</v>
      </c>
      <c r="D224" s="119">
        <v>17</v>
      </c>
      <c r="E224" s="120">
        <v>21</v>
      </c>
      <c r="F224" s="50" t="s">
        <v>80</v>
      </c>
      <c r="G224" s="119">
        <v>25</v>
      </c>
      <c r="H224" s="120">
        <v>25</v>
      </c>
      <c r="I224" s="50" t="s">
        <v>80</v>
      </c>
      <c r="J224" s="121">
        <v>18</v>
      </c>
      <c r="K224" s="507"/>
      <c r="L224" s="508"/>
      <c r="M224" s="508"/>
      <c r="N224" s="509"/>
      <c r="R224" s="102"/>
      <c r="S224" s="102"/>
      <c r="T224" s="122"/>
      <c r="U224" s="122"/>
      <c r="V224" s="5" t="s">
        <v>164</v>
      </c>
      <c r="W224" s="118">
        <v>25</v>
      </c>
      <c r="X224" s="50" t="s">
        <v>80</v>
      </c>
      <c r="Y224" s="119">
        <v>17</v>
      </c>
      <c r="Z224" s="120">
        <v>25</v>
      </c>
      <c r="AA224" s="50" t="s">
        <v>80</v>
      </c>
      <c r="AB224" s="119">
        <v>14</v>
      </c>
      <c r="AC224" s="120">
        <v>25</v>
      </c>
      <c r="AD224" s="50" t="s">
        <v>80</v>
      </c>
      <c r="AE224" s="121">
        <v>17</v>
      </c>
      <c r="AF224" s="507"/>
      <c r="AG224" s="509"/>
      <c r="AH224" s="102"/>
      <c r="AI224" s="102"/>
      <c r="AJ224" s="102"/>
      <c r="AZ224" s="55"/>
      <c r="BA224" s="55"/>
    </row>
    <row r="225" spans="1:77" ht="13.5" customHeight="1" thickBot="1" x14ac:dyDescent="0.25">
      <c r="A225" s="5" t="s">
        <v>165</v>
      </c>
      <c r="B225" s="123"/>
      <c r="C225" s="124" t="s">
        <v>80</v>
      </c>
      <c r="D225" s="125"/>
      <c r="E225" s="126"/>
      <c r="F225" s="124" t="s">
        <v>80</v>
      </c>
      <c r="G225" s="125"/>
      <c r="H225" s="126"/>
      <c r="I225" s="124" t="s">
        <v>80</v>
      </c>
      <c r="J225" s="127"/>
      <c r="K225" s="510"/>
      <c r="L225" s="511"/>
      <c r="M225" s="511"/>
      <c r="N225" s="512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/>
      <c r="AA225" s="124" t="s">
        <v>80</v>
      </c>
      <c r="AB225" s="125"/>
      <c r="AC225" s="126"/>
      <c r="AD225" s="124" t="s">
        <v>80</v>
      </c>
      <c r="AE225" s="127"/>
      <c r="AF225" s="510"/>
      <c r="AG225" s="512"/>
      <c r="AH225" s="102"/>
      <c r="AI225" s="102"/>
      <c r="AJ225" s="102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Ignite 15</v>
      </c>
      <c r="AU226" s="4">
        <f>J227</f>
        <v>2102.5489256142664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Ignite 15</v>
      </c>
      <c r="C227" s="4">
        <f>VLOOKUP(B227,AU$2:AY$22,4,FALSE)</f>
        <v>2073.7565728262616</v>
      </c>
      <c r="D227" s="4">
        <f>IF(A227=B218,B233,IF(A227=D218,D233,C227))</f>
        <v>2084.4776053065552</v>
      </c>
      <c r="G227" s="4">
        <f>IF(A227=E218,E233,IF(A227=G218,G233,D227))</f>
        <v>2084.4776053065552</v>
      </c>
      <c r="J227" s="4">
        <f>IF(A227=H218,H233,IF(A227=J218,J233,G227))</f>
        <v>2102.5489256142664</v>
      </c>
      <c r="U227" s="129"/>
      <c r="V227" s="129">
        <v>1</v>
      </c>
      <c r="W227" s="4" t="str">
        <f>X210</f>
        <v>Branchville Jrs 15 U Pink</v>
      </c>
      <c r="X227" s="4">
        <f>VLOOKUP(W227,AU$2:AY$22,4,FALSE)</f>
        <v>1936.0960554101941</v>
      </c>
      <c r="Y227" s="4">
        <f>IF(V227=W218,W233,IF(V227=Y218,Y233,X227))</f>
        <v>1948.7628052840905</v>
      </c>
      <c r="AB227" s="4">
        <f>IF(V227=Z218,Z233,IF(V227=AB218,AB233,Y227))</f>
        <v>1948.7628052840905</v>
      </c>
      <c r="AE227" s="4">
        <f>IF(V227=AC218,AC233,IF(V227=AE218,AE233,AB227))</f>
        <v>1968.7059582012987</v>
      </c>
      <c r="AT227" s="4" t="str">
        <f>B228</f>
        <v>Sumter VBC 15</v>
      </c>
      <c r="AU227" s="4">
        <f>J228</f>
        <v>2019.7195191341993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Sumter VBC 15</v>
      </c>
      <c r="C228" s="4">
        <f>VLOOKUP(B228,AU$2:AY$22,4,FALSE)</f>
        <v>2031.8497454633305</v>
      </c>
      <c r="D228" s="4">
        <f>IF(A228=B218,B233,IF(A228=D218,D233,C228))</f>
        <v>2031.8497454633305</v>
      </c>
      <c r="G228" s="4">
        <f>IF(A228=E218,E233,IF(A228=G218,G233,D228))</f>
        <v>2019.7195191341993</v>
      </c>
      <c r="J228" s="4">
        <f>IF(A228=H218,H233,IF(A228=J218,J233,G228))</f>
        <v>2019.7195191341993</v>
      </c>
      <c r="U228" s="129"/>
      <c r="V228" s="129">
        <v>2</v>
      </c>
      <c r="W228" s="4" t="str">
        <f>X211</f>
        <v>Intense 16 Region Rock H</v>
      </c>
      <c r="X228" s="4">
        <f>VLOOKUP(W228,AU$2:AY$22,4,FALSE)</f>
        <v>2030.0860467274795</v>
      </c>
      <c r="Y228" s="4">
        <f>IF(V228=W218,W233,IF(V228=Y218,Y233,X228))</f>
        <v>2030.0860467274795</v>
      </c>
      <c r="AB228" s="4">
        <f>IF(V228=Z218,Z233,IF(V228=AB218,AB233,Y228))</f>
        <v>2036.1868318859599</v>
      </c>
      <c r="AE228" s="4">
        <f>IF(V228=AC218,AC233,IF(V228=AE218,AE233,AB228))</f>
        <v>2016.2436789687517</v>
      </c>
      <c r="AT228" s="4" t="str">
        <f>B229</f>
        <v>Augusta Elite 16 Havoc</v>
      </c>
      <c r="AU228" s="4">
        <f>J229</f>
        <v>2111.6382579341143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Augusta Elite 16 Havoc</v>
      </c>
      <c r="C229" s="4">
        <f>VLOOKUP(B229,AU$2:AY$22,4,FALSE)</f>
        <v>2117.5793519126942</v>
      </c>
      <c r="D229" s="4">
        <f>IF(A229=B218,B233,IF(A229=D218,D233,C229))</f>
        <v>2117.5793519126942</v>
      </c>
      <c r="G229" s="4">
        <f>IF(A229=E218,E233,IF(A229=G218,G233,D229))</f>
        <v>2129.7095782418255</v>
      </c>
      <c r="J229" s="4">
        <f>IF(A229=H218,H233,IF(A229=J218,J233,G229))</f>
        <v>2111.6382579341143</v>
      </c>
      <c r="U229" s="129"/>
      <c r="V229" s="129">
        <v>3</v>
      </c>
      <c r="W229" s="4" t="str">
        <f>X212</f>
        <v>High Velocity 15's</v>
      </c>
      <c r="X229" s="4">
        <f>VLOOKUP(W229,AU$2:AY$22,4,FALSE)</f>
        <v>1778.9256999946645</v>
      </c>
      <c r="Y229" s="4">
        <f>IF(V229=W218,W233,IF(V229=Y218,Y233,X229))</f>
        <v>1778.9256999946645</v>
      </c>
      <c r="AB229" s="4">
        <f>IF(V229=Z218,Z233,IF(V229=AB218,AB233,Y229))</f>
        <v>1772.824914836184</v>
      </c>
      <c r="AE229" s="4">
        <f>IF(V229=AC218,AC233,IF(V229=AE218,AE233,AB229))</f>
        <v>1772.824914836184</v>
      </c>
      <c r="AT229" s="4" t="str">
        <f>B230</f>
        <v>Emerald City 15-1</v>
      </c>
      <c r="AU229" s="4">
        <f>J230</f>
        <v>1943.949964380706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Emerald City 15-1</v>
      </c>
      <c r="C230" s="4">
        <f>VLOOKUP(B230,AU$2:AY$22,4,FALSE)</f>
        <v>1954.6709968609996</v>
      </c>
      <c r="D230" s="4">
        <f>IF(A230=B218,B233,IF(A230=D218,D233,C230))</f>
        <v>1943.949964380706</v>
      </c>
      <c r="G230" s="4">
        <f>IF(A230=E218,E233,IF(A230=G218,G233,D230))</f>
        <v>1943.949964380706</v>
      </c>
      <c r="J230" s="4">
        <f>IF(A230=H218,H233,IF(A230=J218,J233,G230))</f>
        <v>1943.949964380706</v>
      </c>
      <c r="U230" s="129"/>
      <c r="V230" s="129">
        <v>4</v>
      </c>
      <c r="W230" s="4" t="str">
        <f>X213</f>
        <v>SC Midlands 15 Garnet</v>
      </c>
      <c r="X230" s="4">
        <f>VLOOKUP(W230,AU$2:AY$22,4,FALSE)</f>
        <v>1862.6401854308592</v>
      </c>
      <c r="Y230" s="4">
        <f>IF(V230=W218,W233,IF(V230=Y218,Y233,X230))</f>
        <v>1849.9734355569628</v>
      </c>
      <c r="AB230" s="4">
        <f>IF(V230=Z218,Z233,IF(V230=AB218,AB233,Y230))</f>
        <v>1849.9734355569628</v>
      </c>
      <c r="AE230" s="4">
        <f>IF(V230=AC218,AC233,IF(V230=AE218,AE233,AB230))</f>
        <v>1849.9734355569628</v>
      </c>
      <c r="AT230" s="4" t="str">
        <f>W227</f>
        <v>Branchville Jrs 15 U Pink</v>
      </c>
      <c r="AU230" s="4">
        <f>AE227</f>
        <v>1968.7059582012987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2073.7565728262616</v>
      </c>
      <c r="D231" s="4">
        <f>VLOOKUP(D218,$A227:$J230,3,FALSE)</f>
        <v>1954.6709968609996</v>
      </c>
      <c r="E231" s="4">
        <f>VLOOKUP(E218,$A227:$J230,4,FALSE)</f>
        <v>2031.8497454633305</v>
      </c>
      <c r="G231" s="4">
        <f>VLOOKUP(G218,$A227:$J230,4,FALSE)</f>
        <v>2117.5793519126942</v>
      </c>
      <c r="H231" s="4">
        <f>VLOOKUP(H218,$A227:$J230,7,FALSE)</f>
        <v>2084.4776053065552</v>
      </c>
      <c r="J231" s="4">
        <f>VLOOKUP(J218,$A227:$J230,7,FALSE)</f>
        <v>2129.7095782418255</v>
      </c>
      <c r="T231" s="513" t="s">
        <v>116</v>
      </c>
      <c r="U231" s="513"/>
      <c r="V231" s="513"/>
      <c r="W231" s="4">
        <f>VLOOKUP(W218,$V227:$AE230,3,FALSE)</f>
        <v>1936.0960554101941</v>
      </c>
      <c r="Y231" s="4">
        <f>VLOOKUP(Y218,$V227:$AE230,3,FALSE)</f>
        <v>1862.6401854308592</v>
      </c>
      <c r="Z231" s="4">
        <f>VLOOKUP(Z218,$V227:$AE230,4,FALSE)</f>
        <v>2030.0860467274795</v>
      </c>
      <c r="AB231" s="4">
        <f>VLOOKUP(AB218,$V227:$AE230,4,FALSE)</f>
        <v>1778.9256999946645</v>
      </c>
      <c r="AC231" s="4">
        <f>VLOOKUP(AC218,$V227:$AE230,7,FALSE)</f>
        <v>1948.7628052840905</v>
      </c>
      <c r="AE231" s="4">
        <f>VLOOKUP(AE218,$V227:$AE230,7,FALSE)</f>
        <v>2036.1868318859599</v>
      </c>
      <c r="AT231" s="4" t="str">
        <f>W228</f>
        <v>Intense 16 Region Rock H</v>
      </c>
      <c r="AU231" s="4">
        <f>AE228</f>
        <v>2016.2436789687517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IF(OR(B222&gt;0,D222&gt;0),1/(1+(10^-((B231-D231)/400)))*(B222+D222),0)</f>
        <v>1.3299354699816559</v>
      </c>
      <c r="C232" s="69"/>
      <c r="D232" s="69">
        <f>IF(OR(B22&gt;0, D22&gt;0),1/(1+(10^-((D231-B231)/400)))*(B222+D222),0)</f>
        <v>0.67006453001834398</v>
      </c>
      <c r="E232" s="69">
        <f>IF(OR(E222&gt;0,G222&gt;0),1/(1+(10^-((E231-G231)/400)))*(E222+G222),0)</f>
        <v>0.75813914557069562</v>
      </c>
      <c r="F232" s="69"/>
      <c r="G232" s="69">
        <f>IF(OR(E22&gt;0, G22&gt;0),1/(1+(10^-((G231-E231)/400)))*(E222+G222),0)</f>
        <v>1.2418608544293044</v>
      </c>
      <c r="H232" s="69">
        <f>IF(OR(H222&gt;0,J222&gt;0),1/(1+(10^-((H231-J231)/400)))*(H222+J222),0)</f>
        <v>0.87054248076806351</v>
      </c>
      <c r="I232" s="69"/>
      <c r="J232" s="69">
        <f>IF(OR(H22&gt;0, J22&gt;0),1/(1+(10^-((J231-H231)/400)))*(H222+J222),0)</f>
        <v>1.1294575192319365</v>
      </c>
      <c r="T232" s="514" t="s">
        <v>117</v>
      </c>
      <c r="U232" s="514"/>
      <c r="V232" s="514"/>
      <c r="W232" s="69">
        <f>IF(OR(W222&gt;0,Y222&gt;0),1/(1+(10^-((W231-Y231)/400)))*(W222+Y222),0)</f>
        <v>1.2083281328814819</v>
      </c>
      <c r="X232" s="69"/>
      <c r="Y232" s="69">
        <f>IF(OR(W22&gt;0, Y22&gt;0),1/(1+(10^-((Y231-W231)/400)))*(W222+Y222),0)</f>
        <v>0.79167186711851811</v>
      </c>
      <c r="Z232" s="69">
        <f>IF(OR(Z222&gt;0,AB222&gt;0),1/(1+(10^-((Z231-AB231)/400)))*(Z222+AB222),0)</f>
        <v>1.618700927594974</v>
      </c>
      <c r="AA232" s="69"/>
      <c r="AB232" s="69">
        <f>IF(OR(Z22&gt;0, AB22&gt;0),1/(1+(10^-((AB231-Z231)/400)))*(Z222+AB222),0)</f>
        <v>0.38129907240502592</v>
      </c>
      <c r="AC232" s="69">
        <f>IF(OR(AC222&gt;0,AE222&gt;0),1/(1+(10^-((AC231-AE231)/400)))*(AC222+AE222),0)</f>
        <v>0.75355294267448703</v>
      </c>
      <c r="AD232" s="69"/>
      <c r="AE232" s="69">
        <f>IF(OR(AC22&gt;0, AE22&gt;0),1/(1+(10^-((AE231-AC231)/400)))*(AC222+AE222),0)</f>
        <v>1.2464470573255131</v>
      </c>
      <c r="AT232" s="4" t="str">
        <f>W229</f>
        <v>High Velocity 15's</v>
      </c>
      <c r="AU232" s="4">
        <f>AE229</f>
        <v>1772.824914836184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2084.4776053065552</v>
      </c>
      <c r="C233" s="75"/>
      <c r="D233" s="75">
        <f>D231+(D222-D232)*$BA$2</f>
        <v>1943.949964380706</v>
      </c>
      <c r="E233" s="75">
        <f>E231+(E222-E232)*$BA$2</f>
        <v>2019.7195191341993</v>
      </c>
      <c r="G233" s="75">
        <f>G231+(G222-G232)*$BA$2</f>
        <v>2129.7095782418255</v>
      </c>
      <c r="H233" s="75">
        <f>H231+(H222-H232)*$BA$2</f>
        <v>2102.5489256142664</v>
      </c>
      <c r="J233" s="75">
        <f>J231+(J222-J232)*$BA$2</f>
        <v>2111.6382579341143</v>
      </c>
      <c r="T233" s="502" t="s">
        <v>118</v>
      </c>
      <c r="U233" s="502"/>
      <c r="V233" s="502"/>
      <c r="W233" s="75">
        <f>W231+(W222-W232)*$BA$2</f>
        <v>1948.7628052840905</v>
      </c>
      <c r="X233" s="75"/>
      <c r="Y233" s="75">
        <f>Y231+(Y222-Y232)*$BA$2</f>
        <v>1849.9734355569628</v>
      </c>
      <c r="Z233" s="75">
        <f>Z231+(Z222-Z232)*$BA$2</f>
        <v>2036.1868318859599</v>
      </c>
      <c r="AB233" s="75">
        <f>AB231+(AB222-AB232)*$BA$2</f>
        <v>1772.824914836184</v>
      </c>
      <c r="AC233" s="75">
        <f>AC231+(AC222-AC232)*$BA$2</f>
        <v>1968.7059582012987</v>
      </c>
      <c r="AE233" s="75">
        <f>AE231+(AE222-AE232)*$BA$2</f>
        <v>2016.2436789687517</v>
      </c>
      <c r="AT233" s="4" t="str">
        <f>W230</f>
        <v>SC Midlands 15 Garnet</v>
      </c>
      <c r="AU233" s="4">
        <f>AE230</f>
        <v>1849.9734355569628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503" t="s">
        <v>169</v>
      </c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R234" s="102"/>
      <c r="S234" s="102"/>
      <c r="T234" s="122"/>
      <c r="U234" s="122"/>
      <c r="V234" s="503" t="s">
        <v>169</v>
      </c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02"/>
      <c r="AI234" s="102"/>
      <c r="AJ234" s="102"/>
      <c r="AZ234" s="55"/>
      <c r="BA234" s="55"/>
    </row>
    <row r="235" spans="1:77" x14ac:dyDescent="0.2">
      <c r="AS235" s="55"/>
      <c r="AT235" s="55"/>
      <c r="AU235" s="55"/>
      <c r="AZ235" s="55"/>
      <c r="BA235" s="55"/>
    </row>
    <row r="236" spans="1:77" x14ac:dyDescent="0.2">
      <c r="AS236" s="55"/>
      <c r="AT236" s="55"/>
      <c r="AU236" s="55"/>
      <c r="AZ236" s="55"/>
      <c r="BA236" s="55"/>
    </row>
    <row r="237" spans="1:77" x14ac:dyDescent="0.2">
      <c r="AS237" s="55"/>
      <c r="AT237" s="55"/>
      <c r="AU237" s="55"/>
      <c r="AZ237" s="55"/>
      <c r="BA237" s="55"/>
    </row>
    <row r="238" spans="1:77" x14ac:dyDescent="0.2">
      <c r="AS238" s="55"/>
      <c r="AT238" s="55"/>
      <c r="AU238" s="55"/>
      <c r="AZ238" s="55"/>
      <c r="BA238" s="55"/>
    </row>
    <row r="239" spans="1:77" x14ac:dyDescent="0.2">
      <c r="AS239" s="55"/>
      <c r="AT239" s="55"/>
      <c r="AU239" s="55"/>
      <c r="AZ239" s="55"/>
      <c r="BA239" s="55"/>
    </row>
    <row r="240" spans="1:77" x14ac:dyDescent="0.2">
      <c r="AS240" s="55"/>
      <c r="AT240" s="55"/>
      <c r="AU240" s="55"/>
      <c r="AZ240" s="55"/>
      <c r="BA240" s="55"/>
    </row>
    <row r="241" spans="45:53" x14ac:dyDescent="0.2">
      <c r="AS241" s="55"/>
      <c r="AT241" s="55"/>
      <c r="AU241" s="55"/>
      <c r="AZ241" s="55"/>
      <c r="BA241" s="55"/>
    </row>
    <row r="242" spans="45:53" x14ac:dyDescent="0.2">
      <c r="AS242" s="55"/>
      <c r="AT242" s="55"/>
      <c r="AU242" s="55"/>
      <c r="AZ242" s="55"/>
      <c r="BA242" s="55"/>
    </row>
    <row r="243" spans="45:53" x14ac:dyDescent="0.2">
      <c r="AS243" s="55"/>
      <c r="AT243" s="55"/>
      <c r="AU243" s="55"/>
      <c r="AZ243" s="55"/>
      <c r="BA243" s="55"/>
    </row>
    <row r="244" spans="45:53" x14ac:dyDescent="0.2">
      <c r="AS244" s="55"/>
      <c r="AT244" s="55"/>
      <c r="AU244" s="55"/>
      <c r="AZ244" s="55"/>
      <c r="BA244" s="55"/>
    </row>
    <row r="245" spans="45:53" x14ac:dyDescent="0.2">
      <c r="AS245" s="55"/>
      <c r="AT245" s="55"/>
      <c r="AU245" s="55"/>
      <c r="AZ245" s="55"/>
      <c r="BA245" s="55"/>
    </row>
    <row r="246" spans="45:53" x14ac:dyDescent="0.2">
      <c r="AS246" s="55"/>
      <c r="AT246" s="55"/>
      <c r="AU246" s="55"/>
      <c r="AZ246" s="55"/>
      <c r="BA246" s="55"/>
    </row>
    <row r="247" spans="45:53" x14ac:dyDescent="0.2">
      <c r="AS247" s="55"/>
      <c r="AT247" s="55"/>
      <c r="AU247" s="55"/>
    </row>
    <row r="248" spans="45:53" x14ac:dyDescent="0.2">
      <c r="AS248" s="55"/>
      <c r="AT248" s="55"/>
      <c r="AU248" s="55"/>
      <c r="AZ248" s="63"/>
      <c r="BA248" s="63"/>
    </row>
    <row r="249" spans="45:53" x14ac:dyDescent="0.2">
      <c r="AS249" s="55"/>
      <c r="AT249" s="55"/>
      <c r="AU249" s="55"/>
      <c r="AZ249" s="63"/>
      <c r="BA249" s="63"/>
    </row>
    <row r="250" spans="45:53" x14ac:dyDescent="0.2">
      <c r="AS250" s="55"/>
      <c r="AT250" s="55"/>
      <c r="AU250" s="55"/>
      <c r="AZ250" s="63"/>
      <c r="BA250" s="63"/>
    </row>
    <row r="251" spans="45:53" x14ac:dyDescent="0.2">
      <c r="AS251" s="55"/>
      <c r="AT251" s="55"/>
      <c r="AU251" s="55"/>
      <c r="AZ251" s="63"/>
      <c r="BA251" s="63"/>
    </row>
    <row r="252" spans="45:53" x14ac:dyDescent="0.2">
      <c r="AS252" s="55"/>
      <c r="AT252" s="55"/>
      <c r="AU252" s="55"/>
      <c r="AZ252" s="63"/>
      <c r="BA252" s="63"/>
    </row>
    <row r="253" spans="45:53" x14ac:dyDescent="0.2">
      <c r="AS253" s="55"/>
      <c r="AT253" s="55"/>
      <c r="AU253" s="55"/>
      <c r="AZ253" s="63"/>
      <c r="BA253" s="63"/>
    </row>
    <row r="254" spans="45:53" x14ac:dyDescent="0.2">
      <c r="AS254" s="55"/>
      <c r="AT254" s="55"/>
      <c r="AU254" s="55"/>
      <c r="AZ254" s="63"/>
      <c r="BA254" s="63"/>
    </row>
    <row r="255" spans="45:53" x14ac:dyDescent="0.2">
      <c r="AS255" s="55"/>
      <c r="AT255" s="55"/>
      <c r="AU255" s="55"/>
      <c r="AZ255" s="63"/>
      <c r="BA255" s="63"/>
    </row>
    <row r="256" spans="45:53" x14ac:dyDescent="0.2">
      <c r="AS256" s="55"/>
      <c r="AT256" s="55"/>
      <c r="AU256" s="55"/>
      <c r="AZ256" s="72"/>
      <c r="BA256" s="72"/>
    </row>
    <row r="257" spans="45:53" x14ac:dyDescent="0.2">
      <c r="AS257" s="55"/>
      <c r="AT257" s="55"/>
      <c r="AU257" s="55"/>
      <c r="AZ257" s="78"/>
      <c r="BA257" s="78"/>
    </row>
    <row r="258" spans="45:53" x14ac:dyDescent="0.2">
      <c r="AS258" s="55"/>
      <c r="AT258" s="55"/>
      <c r="AU258" s="55"/>
      <c r="AZ258" s="78"/>
      <c r="BA258" s="78"/>
    </row>
    <row r="259" spans="45:53" x14ac:dyDescent="0.2">
      <c r="AS259" s="55"/>
      <c r="AT259" s="55"/>
      <c r="AU259" s="55"/>
      <c r="AZ259" s="63"/>
      <c r="BA259" s="63"/>
    </row>
    <row r="260" spans="45:53" x14ac:dyDescent="0.2">
      <c r="AS260" s="63"/>
      <c r="AT260" s="63"/>
      <c r="AU260" s="63"/>
      <c r="AZ260" s="63"/>
      <c r="BA260" s="63"/>
    </row>
    <row r="261" spans="45:53" x14ac:dyDescent="0.2">
      <c r="AS261" s="63"/>
      <c r="AT261" s="63"/>
      <c r="AU261" s="63"/>
    </row>
    <row r="286" spans="45:53" x14ac:dyDescent="0.2">
      <c r="AS286" s="55"/>
      <c r="AT286" s="55"/>
      <c r="AU286" s="55"/>
      <c r="AZ286" s="55"/>
      <c r="BA286" s="55"/>
    </row>
    <row r="287" spans="45:53" x14ac:dyDescent="0.2">
      <c r="AS287" s="55"/>
      <c r="AT287" s="55"/>
      <c r="AU287" s="55"/>
      <c r="AZ287" s="55"/>
      <c r="BA287" s="55"/>
    </row>
    <row r="288" spans="45:53" x14ac:dyDescent="0.2">
      <c r="AS288" s="55"/>
      <c r="AT288" s="55"/>
      <c r="AU288" s="55"/>
      <c r="AZ288" s="55"/>
      <c r="BA288" s="55"/>
    </row>
    <row r="289" spans="45:53" x14ac:dyDescent="0.2">
      <c r="AS289" s="55"/>
      <c r="AT289" s="55"/>
      <c r="AU289" s="55"/>
      <c r="AZ289" s="55"/>
      <c r="BA289" s="55"/>
    </row>
    <row r="290" spans="45:53" x14ac:dyDescent="0.2">
      <c r="AS290" s="55"/>
      <c r="AT290" s="55"/>
      <c r="AU290" s="55"/>
      <c r="AZ290" s="55"/>
      <c r="BA290" s="55"/>
    </row>
    <row r="291" spans="45:53" x14ac:dyDescent="0.2">
      <c r="AS291" s="55"/>
      <c r="AT291" s="55"/>
      <c r="AU291" s="55"/>
      <c r="AZ291" s="55"/>
      <c r="BA291" s="55"/>
    </row>
    <row r="292" spans="45:53" x14ac:dyDescent="0.2">
      <c r="AS292" s="55"/>
      <c r="AT292" s="55"/>
      <c r="AU292" s="55"/>
      <c r="AZ292" s="55"/>
      <c r="BA292" s="55"/>
    </row>
    <row r="293" spans="45:53" x14ac:dyDescent="0.2">
      <c r="AS293" s="55"/>
      <c r="AT293" s="55"/>
      <c r="AU293" s="55"/>
      <c r="AZ293" s="55"/>
      <c r="BA293" s="55"/>
    </row>
    <row r="294" spans="45:53" x14ac:dyDescent="0.2">
      <c r="AS294" s="55"/>
      <c r="AT294" s="55"/>
      <c r="AU294" s="55"/>
      <c r="AZ294" s="55"/>
      <c r="BA294" s="55"/>
    </row>
    <row r="295" spans="45:53" x14ac:dyDescent="0.2">
      <c r="AS295" s="55"/>
      <c r="AT295" s="55"/>
      <c r="AU295" s="55"/>
      <c r="AZ295" s="55"/>
      <c r="BA295" s="55"/>
    </row>
    <row r="296" spans="45:53" x14ac:dyDescent="0.2">
      <c r="AS296" s="55"/>
      <c r="AT296" s="55"/>
      <c r="AU296" s="55"/>
      <c r="AZ296" s="55"/>
      <c r="BA296" s="55"/>
    </row>
    <row r="297" spans="45:53" x14ac:dyDescent="0.2">
      <c r="AS297" s="55"/>
      <c r="AT297" s="55"/>
      <c r="AU297" s="55"/>
      <c r="AZ297" s="55"/>
      <c r="BA297" s="55"/>
    </row>
    <row r="298" spans="45:53" x14ac:dyDescent="0.2">
      <c r="AS298" s="55"/>
      <c r="AT298" s="55"/>
      <c r="AU298" s="55"/>
      <c r="AZ298" s="55"/>
      <c r="BA298" s="55"/>
    </row>
    <row r="299" spans="45:53" x14ac:dyDescent="0.2">
      <c r="AS299" s="55"/>
      <c r="AT299" s="55"/>
      <c r="AU299" s="55"/>
      <c r="AZ299" s="55"/>
      <c r="BA299" s="55"/>
    </row>
    <row r="300" spans="45:53" x14ac:dyDescent="0.2">
      <c r="AS300" s="55"/>
      <c r="AT300" s="55"/>
      <c r="AU300" s="55"/>
      <c r="AZ300" s="55"/>
      <c r="BA300" s="55"/>
    </row>
    <row r="301" spans="45:53" x14ac:dyDescent="0.2">
      <c r="AS301" s="55"/>
      <c r="AT301" s="55"/>
      <c r="AU301" s="55"/>
      <c r="AZ301" s="55"/>
      <c r="BA301" s="55"/>
    </row>
    <row r="302" spans="45:53" x14ac:dyDescent="0.2">
      <c r="AS302" s="55"/>
      <c r="AT302" s="55"/>
      <c r="AU302" s="55"/>
      <c r="AZ302" s="55"/>
      <c r="BA302" s="55"/>
    </row>
    <row r="303" spans="45:53" x14ac:dyDescent="0.2">
      <c r="AS303" s="55"/>
      <c r="AT303" s="55"/>
      <c r="AU303" s="55"/>
      <c r="AZ303" s="55"/>
      <c r="BA303" s="55"/>
    </row>
    <row r="304" spans="45:53" x14ac:dyDescent="0.2">
      <c r="AS304" s="55"/>
      <c r="AT304" s="55"/>
      <c r="AU304" s="55"/>
      <c r="AZ304" s="55"/>
      <c r="BA304" s="55"/>
    </row>
    <row r="305" spans="45:53" x14ac:dyDescent="0.2">
      <c r="AS305" s="55"/>
      <c r="AT305" s="55"/>
      <c r="AU305" s="55"/>
      <c r="AZ305" s="55"/>
      <c r="BA305" s="55"/>
    </row>
    <row r="306" spans="45:53" x14ac:dyDescent="0.2">
      <c r="AS306" s="55"/>
      <c r="AT306" s="55"/>
      <c r="AU306" s="55"/>
      <c r="AZ306" s="55"/>
      <c r="BA306" s="55"/>
    </row>
    <row r="307" spans="45:53" x14ac:dyDescent="0.2">
      <c r="AS307" s="55"/>
      <c r="AT307" s="55"/>
      <c r="AU307" s="55"/>
      <c r="AZ307" s="55"/>
      <c r="BA307" s="55"/>
    </row>
    <row r="308" spans="45:53" x14ac:dyDescent="0.2">
      <c r="AS308" s="55"/>
      <c r="AT308" s="55"/>
      <c r="AU308" s="55"/>
      <c r="AZ308" s="55"/>
      <c r="BA308" s="55"/>
    </row>
    <row r="309" spans="45:53" x14ac:dyDescent="0.2">
      <c r="AS309" s="55"/>
      <c r="AT309" s="55"/>
      <c r="AU309" s="55"/>
      <c r="AZ309" s="55"/>
      <c r="BA309" s="55"/>
    </row>
    <row r="310" spans="45:53" x14ac:dyDescent="0.2">
      <c r="AS310" s="55"/>
      <c r="AT310" s="55"/>
      <c r="AU310" s="55"/>
      <c r="AZ310" s="55"/>
      <c r="BA310" s="55"/>
    </row>
    <row r="311" spans="45:53" x14ac:dyDescent="0.2">
      <c r="AS311" s="55"/>
      <c r="AT311" s="55"/>
      <c r="AU311" s="55"/>
      <c r="AZ311" s="55"/>
      <c r="BA311" s="55"/>
    </row>
    <row r="312" spans="45:53" x14ac:dyDescent="0.2">
      <c r="AS312" s="55"/>
      <c r="AT312" s="55"/>
      <c r="AU312" s="55"/>
      <c r="AZ312" s="55"/>
      <c r="BA312" s="55"/>
    </row>
    <row r="313" spans="45:53" x14ac:dyDescent="0.2">
      <c r="AS313" s="55"/>
      <c r="AT313" s="55"/>
      <c r="AU313" s="55"/>
      <c r="AZ313" s="55"/>
      <c r="BA313" s="55"/>
    </row>
    <row r="314" spans="45:53" x14ac:dyDescent="0.2">
      <c r="AS314" s="55"/>
      <c r="AT314" s="55"/>
      <c r="AU314" s="55"/>
      <c r="AZ314" s="55"/>
      <c r="BA314" s="55"/>
    </row>
    <row r="315" spans="45:53" x14ac:dyDescent="0.2">
      <c r="AS315" s="55"/>
      <c r="AT315" s="55"/>
      <c r="AU315" s="55"/>
      <c r="AZ315" s="55"/>
      <c r="BA315" s="55"/>
    </row>
    <row r="316" spans="45:53" x14ac:dyDescent="0.2">
      <c r="AS316" s="55"/>
      <c r="AT316" s="55"/>
      <c r="AU316" s="55"/>
      <c r="AZ316" s="55"/>
      <c r="BA316" s="55"/>
    </row>
    <row r="317" spans="45:53" x14ac:dyDescent="0.2">
      <c r="AS317" s="55"/>
      <c r="AT317" s="55"/>
      <c r="AU317" s="55"/>
      <c r="AZ317" s="55"/>
      <c r="BA317" s="55"/>
    </row>
    <row r="318" spans="45:53" x14ac:dyDescent="0.2">
      <c r="AS318" s="55"/>
      <c r="AT318" s="55"/>
      <c r="AU318" s="55"/>
      <c r="AZ318" s="55"/>
      <c r="BA318" s="55"/>
    </row>
    <row r="319" spans="45:53" x14ac:dyDescent="0.2">
      <c r="AS319" s="55"/>
      <c r="AT319" s="55"/>
      <c r="AU319" s="55"/>
      <c r="AZ319" s="55"/>
      <c r="BA319" s="55"/>
    </row>
    <row r="320" spans="45:53" x14ac:dyDescent="0.2">
      <c r="AS320" s="55"/>
      <c r="AT320" s="55"/>
      <c r="AU320" s="55"/>
      <c r="AZ320" s="55"/>
      <c r="BA320" s="55"/>
    </row>
    <row r="321" spans="45:53" x14ac:dyDescent="0.2">
      <c r="AS321" s="55"/>
      <c r="AT321" s="55"/>
      <c r="AU321" s="55"/>
      <c r="AZ321" s="55"/>
      <c r="BA321" s="55"/>
    </row>
    <row r="322" spans="45:53" x14ac:dyDescent="0.2">
      <c r="AS322" s="55"/>
      <c r="AT322" s="55"/>
      <c r="AU322" s="55"/>
      <c r="AZ322" s="55"/>
      <c r="BA322" s="55"/>
    </row>
    <row r="323" spans="45:53" x14ac:dyDescent="0.2">
      <c r="AS323" s="55"/>
      <c r="AT323" s="55"/>
      <c r="AU323" s="55"/>
      <c r="AZ323" s="55"/>
      <c r="BA323" s="55"/>
    </row>
    <row r="324" spans="45:53" x14ac:dyDescent="0.2">
      <c r="AS324" s="55"/>
      <c r="AT324" s="55"/>
      <c r="AU324" s="55"/>
      <c r="AZ324" s="55"/>
      <c r="BA324" s="55"/>
    </row>
    <row r="325" spans="45:53" x14ac:dyDescent="0.2">
      <c r="AS325" s="55"/>
      <c r="AT325" s="55"/>
      <c r="AU325" s="55"/>
      <c r="AZ325" s="55"/>
      <c r="BA325" s="55"/>
    </row>
    <row r="326" spans="45:53" x14ac:dyDescent="0.2">
      <c r="AS326" s="55"/>
      <c r="AT326" s="55"/>
      <c r="AU326" s="55"/>
      <c r="AZ326" s="55"/>
      <c r="BA326" s="55"/>
    </row>
    <row r="327" spans="45:53" x14ac:dyDescent="0.2">
      <c r="AS327" s="55"/>
      <c r="AT327" s="55"/>
      <c r="AU327" s="55"/>
      <c r="AZ327" s="55"/>
      <c r="BA327" s="55"/>
    </row>
    <row r="328" spans="45:53" x14ac:dyDescent="0.2">
      <c r="AS328" s="55"/>
      <c r="AT328" s="55"/>
      <c r="AU328" s="55"/>
      <c r="AZ328" s="55"/>
      <c r="BA328" s="55"/>
    </row>
    <row r="329" spans="45:53" x14ac:dyDescent="0.2">
      <c r="AS329" s="55"/>
      <c r="AT329" s="55"/>
      <c r="AU329" s="55"/>
      <c r="AZ329" s="55"/>
      <c r="BA329" s="55"/>
    </row>
    <row r="330" spans="45:53" x14ac:dyDescent="0.2">
      <c r="AS330" s="55"/>
      <c r="AT330" s="55"/>
      <c r="AU330" s="55"/>
      <c r="AZ330" s="55"/>
      <c r="BA330" s="55"/>
    </row>
    <row r="331" spans="45:53" x14ac:dyDescent="0.2">
      <c r="AS331" s="55"/>
      <c r="AT331" s="55"/>
      <c r="AU331" s="55"/>
      <c r="AZ331" s="55"/>
      <c r="BA331" s="55"/>
    </row>
    <row r="332" spans="45:53" x14ac:dyDescent="0.2">
      <c r="AS332" s="63"/>
      <c r="AT332" s="63"/>
      <c r="AU332" s="63"/>
    </row>
    <row r="333" spans="45:53" x14ac:dyDescent="0.2">
      <c r="AS333" s="63"/>
      <c r="AT333" s="63"/>
      <c r="AU333" s="63"/>
      <c r="AZ333" s="63"/>
      <c r="BA333" s="63"/>
    </row>
    <row r="334" spans="45:53" x14ac:dyDescent="0.2">
      <c r="AZ334" s="63"/>
      <c r="BA334" s="63"/>
    </row>
    <row r="335" spans="45:53" x14ac:dyDescent="0.2">
      <c r="AZ335" s="63"/>
      <c r="BA335" s="63"/>
    </row>
    <row r="336" spans="45:53" x14ac:dyDescent="0.2">
      <c r="AZ336" s="63"/>
      <c r="BA336" s="63"/>
    </row>
    <row r="337" spans="45:53" x14ac:dyDescent="0.2">
      <c r="AZ337" s="63"/>
      <c r="BA337" s="63"/>
    </row>
    <row r="338" spans="45:53" x14ac:dyDescent="0.2">
      <c r="AZ338" s="63"/>
      <c r="BA338" s="63"/>
    </row>
    <row r="339" spans="45:53" x14ac:dyDescent="0.2">
      <c r="AZ339" s="63"/>
      <c r="BA339" s="63"/>
    </row>
    <row r="340" spans="45:53" x14ac:dyDescent="0.2">
      <c r="AZ340" s="63"/>
      <c r="BA340" s="63"/>
    </row>
    <row r="341" spans="45:53" x14ac:dyDescent="0.2">
      <c r="AZ341" s="72"/>
      <c r="BA341" s="72"/>
    </row>
    <row r="342" spans="45:53" x14ac:dyDescent="0.2">
      <c r="AZ342" s="78"/>
      <c r="BA342" s="78"/>
    </row>
    <row r="343" spans="45:53" x14ac:dyDescent="0.2">
      <c r="AZ343" s="78"/>
      <c r="BA343" s="78"/>
    </row>
    <row r="344" spans="45:53" x14ac:dyDescent="0.2">
      <c r="AZ344" s="63"/>
      <c r="BA344" s="63"/>
    </row>
    <row r="345" spans="45:53" x14ac:dyDescent="0.2">
      <c r="AZ345" s="63"/>
      <c r="BA345" s="63"/>
    </row>
    <row r="348" spans="45:53" x14ac:dyDescent="0.2">
      <c r="AS348" s="96"/>
      <c r="AT348" s="96"/>
    </row>
    <row r="371" spans="45:53" x14ac:dyDescent="0.2">
      <c r="AZ371" s="55"/>
      <c r="BA371" s="55"/>
    </row>
    <row r="372" spans="45:53" x14ac:dyDescent="0.2">
      <c r="AZ372" s="55"/>
      <c r="BA372" s="55"/>
    </row>
    <row r="373" spans="45:53" x14ac:dyDescent="0.2">
      <c r="AZ373" s="55"/>
      <c r="BA373" s="55"/>
    </row>
    <row r="374" spans="45:53" x14ac:dyDescent="0.2">
      <c r="AZ374" s="55"/>
      <c r="BA374" s="55"/>
    </row>
    <row r="375" spans="45:53" x14ac:dyDescent="0.2">
      <c r="AZ375" s="55"/>
      <c r="BA375" s="55"/>
    </row>
    <row r="376" spans="45:53" x14ac:dyDescent="0.2">
      <c r="AZ376" s="55"/>
      <c r="BA376" s="55"/>
    </row>
    <row r="377" spans="45:53" x14ac:dyDescent="0.2">
      <c r="AZ377" s="55"/>
      <c r="BA377" s="55"/>
    </row>
    <row r="378" spans="45:53" x14ac:dyDescent="0.2">
      <c r="AZ378" s="55"/>
      <c r="BA378" s="55"/>
    </row>
    <row r="379" spans="45:53" x14ac:dyDescent="0.2">
      <c r="AZ379" s="55"/>
      <c r="BA379" s="55"/>
    </row>
    <row r="380" spans="45:53" x14ac:dyDescent="0.2">
      <c r="AZ380" s="55"/>
      <c r="BA380" s="55"/>
    </row>
    <row r="381" spans="45:53" x14ac:dyDescent="0.2">
      <c r="AZ381" s="55"/>
      <c r="BA381" s="55"/>
    </row>
    <row r="382" spans="45:53" x14ac:dyDescent="0.2">
      <c r="AZ382" s="55"/>
      <c r="BA382" s="55"/>
    </row>
    <row r="383" spans="45:53" x14ac:dyDescent="0.2">
      <c r="AZ383" s="55"/>
      <c r="BA383" s="55"/>
    </row>
    <row r="384" spans="45:53" x14ac:dyDescent="0.2">
      <c r="AS384" s="96"/>
      <c r="AT384" s="96"/>
      <c r="AZ384" s="55"/>
      <c r="BA384" s="55"/>
    </row>
    <row r="385" spans="52:53" x14ac:dyDescent="0.2">
      <c r="AZ385" s="55"/>
      <c r="BA385" s="55"/>
    </row>
    <row r="386" spans="52:53" x14ac:dyDescent="0.2">
      <c r="AZ386" s="55"/>
      <c r="BA386" s="55"/>
    </row>
    <row r="387" spans="52:53" x14ac:dyDescent="0.2">
      <c r="AZ387" s="55"/>
      <c r="BA387" s="55"/>
    </row>
    <row r="388" spans="52:53" x14ac:dyDescent="0.2">
      <c r="AZ388" s="55"/>
      <c r="BA388" s="55"/>
    </row>
    <row r="389" spans="52:53" x14ac:dyDescent="0.2">
      <c r="AZ389" s="55"/>
      <c r="BA389" s="55"/>
    </row>
    <row r="390" spans="52:53" x14ac:dyDescent="0.2">
      <c r="AZ390" s="55"/>
      <c r="BA390" s="55"/>
    </row>
    <row r="391" spans="52:53" x14ac:dyDescent="0.2">
      <c r="AZ391" s="55"/>
      <c r="BA391" s="55"/>
    </row>
    <row r="392" spans="52:53" x14ac:dyDescent="0.2">
      <c r="AZ392" s="55"/>
      <c r="BA392" s="55"/>
    </row>
    <row r="393" spans="52:53" x14ac:dyDescent="0.2">
      <c r="AZ393" s="55"/>
      <c r="BA393" s="55"/>
    </row>
    <row r="394" spans="52:53" x14ac:dyDescent="0.2">
      <c r="AZ394" s="55"/>
      <c r="BA394" s="55"/>
    </row>
    <row r="395" spans="52:53" x14ac:dyDescent="0.2">
      <c r="AZ395" s="55"/>
      <c r="BA395" s="55"/>
    </row>
    <row r="396" spans="52:53" x14ac:dyDescent="0.2">
      <c r="AZ396" s="55"/>
      <c r="BA396" s="55"/>
    </row>
    <row r="397" spans="52:53" x14ac:dyDescent="0.2">
      <c r="AZ397" s="55"/>
      <c r="BA397" s="55"/>
    </row>
    <row r="398" spans="52:53" x14ac:dyDescent="0.2">
      <c r="AZ398" s="55"/>
      <c r="BA398" s="55"/>
    </row>
    <row r="399" spans="52:53" x14ac:dyDescent="0.2">
      <c r="AZ399" s="55"/>
      <c r="BA399" s="55"/>
    </row>
    <row r="400" spans="52:53" x14ac:dyDescent="0.2">
      <c r="AZ400" s="55"/>
      <c r="BA400" s="55"/>
    </row>
    <row r="401" spans="52:53" x14ac:dyDescent="0.2">
      <c r="AZ401" s="55"/>
      <c r="BA401" s="55"/>
    </row>
    <row r="402" spans="52:53" x14ac:dyDescent="0.2">
      <c r="AZ402" s="55"/>
      <c r="BA402" s="55"/>
    </row>
    <row r="403" spans="52:53" x14ac:dyDescent="0.2">
      <c r="AZ403" s="55"/>
      <c r="BA403" s="55"/>
    </row>
    <row r="404" spans="52:53" x14ac:dyDescent="0.2">
      <c r="AZ404" s="55"/>
      <c r="BA404" s="55"/>
    </row>
    <row r="405" spans="52:53" x14ac:dyDescent="0.2">
      <c r="AZ405" s="55"/>
      <c r="BA405" s="55"/>
    </row>
    <row r="406" spans="52:53" x14ac:dyDescent="0.2">
      <c r="AZ406" s="55"/>
      <c r="BA406" s="55"/>
    </row>
    <row r="407" spans="52:53" x14ac:dyDescent="0.2">
      <c r="AZ407" s="55"/>
      <c r="BA407" s="55"/>
    </row>
    <row r="408" spans="52:53" x14ac:dyDescent="0.2">
      <c r="AZ408" s="55"/>
      <c r="BA408" s="55"/>
    </row>
    <row r="409" spans="52:53" x14ac:dyDescent="0.2">
      <c r="AZ409" s="55"/>
      <c r="BA409" s="55"/>
    </row>
    <row r="410" spans="52:53" x14ac:dyDescent="0.2">
      <c r="AZ410" s="55"/>
      <c r="BA410" s="55"/>
    </row>
    <row r="411" spans="52:53" x14ac:dyDescent="0.2">
      <c r="AZ411" s="55"/>
      <c r="BA411" s="55"/>
    </row>
    <row r="412" spans="52:53" x14ac:dyDescent="0.2">
      <c r="AZ412" s="55"/>
      <c r="BA412" s="55"/>
    </row>
    <row r="413" spans="52:53" x14ac:dyDescent="0.2">
      <c r="AZ413" s="55"/>
      <c r="BA413" s="55"/>
    </row>
    <row r="414" spans="52:53" x14ac:dyDescent="0.2">
      <c r="AZ414" s="55"/>
      <c r="BA414" s="55"/>
    </row>
    <row r="415" spans="52:53" x14ac:dyDescent="0.2">
      <c r="AZ415" s="55"/>
      <c r="BA415" s="55"/>
    </row>
    <row r="416" spans="52:53" x14ac:dyDescent="0.2">
      <c r="AZ416" s="55"/>
      <c r="BA416" s="55"/>
    </row>
    <row r="418" spans="52:53" x14ac:dyDescent="0.2">
      <c r="AZ418" s="63"/>
      <c r="BA418" s="63"/>
    </row>
    <row r="419" spans="52:53" x14ac:dyDescent="0.2">
      <c r="AZ419" s="63"/>
      <c r="BA419" s="63"/>
    </row>
    <row r="420" spans="52:53" x14ac:dyDescent="0.2">
      <c r="AZ420" s="63"/>
      <c r="BA420" s="63"/>
    </row>
    <row r="421" spans="52:53" x14ac:dyDescent="0.2">
      <c r="AZ421" s="63"/>
      <c r="BA421" s="63"/>
    </row>
    <row r="422" spans="52:53" x14ac:dyDescent="0.2">
      <c r="AZ422" s="63"/>
      <c r="BA422" s="63"/>
    </row>
    <row r="423" spans="52:53" x14ac:dyDescent="0.2">
      <c r="AZ423" s="63"/>
      <c r="BA423" s="63"/>
    </row>
    <row r="424" spans="52:53" x14ac:dyDescent="0.2">
      <c r="AZ424" s="63"/>
      <c r="BA424" s="63"/>
    </row>
    <row r="425" spans="52:53" x14ac:dyDescent="0.2">
      <c r="AZ425" s="63"/>
      <c r="BA425" s="63"/>
    </row>
    <row r="426" spans="52:53" x14ac:dyDescent="0.2">
      <c r="AZ426" s="72"/>
      <c r="BA426" s="72"/>
    </row>
    <row r="427" spans="52:53" x14ac:dyDescent="0.2">
      <c r="AZ427" s="78"/>
      <c r="BA427" s="78"/>
    </row>
    <row r="428" spans="52:53" x14ac:dyDescent="0.2">
      <c r="AZ428" s="78"/>
      <c r="BA428" s="78"/>
    </row>
    <row r="429" spans="52:53" x14ac:dyDescent="0.2">
      <c r="AZ429" s="63"/>
      <c r="BA429" s="63"/>
    </row>
    <row r="430" spans="52:53" x14ac:dyDescent="0.2">
      <c r="AZ430" s="63"/>
      <c r="BA430" s="63"/>
    </row>
  </sheetData>
  <sheetProtection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L89"/>
    <mergeCell ref="AM89:AP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3570" priority="4" stopIfTrue="1">
      <formula>IF(AK9&gt;0,0,1)</formula>
    </cfRule>
  </conditionalFormatting>
  <conditionalFormatting sqref="A10:A11 A95:A96">
    <cfRule type="expression" dxfId="3569" priority="5" stopIfTrue="1">
      <formula>IF(#REF!&gt;1,0,1)</formula>
    </cfRule>
  </conditionalFormatting>
  <conditionalFormatting sqref="A12:A13 A97:A98">
    <cfRule type="expression" dxfId="3568" priority="6" stopIfTrue="1">
      <formula>IF(#REF!&gt;2,0,1)</formula>
    </cfRule>
  </conditionalFormatting>
  <conditionalFormatting sqref="A14:A15 A99:A100">
    <cfRule type="expression" dxfId="3567" priority="7" stopIfTrue="1">
      <formula>IF(#REF!&gt;3,0,1)</formula>
    </cfRule>
  </conditionalFormatting>
  <conditionalFormatting sqref="A16:A17 A101:A102">
    <cfRule type="expression" dxfId="3566" priority="8" stopIfTrue="1">
      <formula>IF(#REF!&gt;4,0,1)</formula>
    </cfRule>
  </conditionalFormatting>
  <conditionalFormatting sqref="B8 B93">
    <cfRule type="expression" dxfId="3565" priority="9" stopIfTrue="1">
      <formula>IF(AK9&gt;0,0,1)</formula>
    </cfRule>
  </conditionalFormatting>
  <conditionalFormatting sqref="B9 B94">
    <cfRule type="expression" dxfId="3564" priority="10" stopIfTrue="1">
      <formula>IF(AK9&gt;0,0,1)</formula>
    </cfRule>
  </conditionalFormatting>
  <conditionalFormatting sqref="B10 B95">
    <cfRule type="expression" dxfId="3563" priority="11" stopIfTrue="1">
      <formula>IF(#REF!&gt;1,0,1)</formula>
    </cfRule>
  </conditionalFormatting>
  <conditionalFormatting sqref="B11:D11 B96:D96">
    <cfRule type="expression" dxfId="3562" priority="12" stopIfTrue="1">
      <formula>IF(#REF!&gt;1,0,1)</formula>
    </cfRule>
  </conditionalFormatting>
  <conditionalFormatting sqref="B12:D12 B97:D97">
    <cfRule type="expression" dxfId="3561" priority="13" stopIfTrue="1">
      <formula>IF(#REF!&gt;2,0,1)</formula>
    </cfRule>
  </conditionalFormatting>
  <conditionalFormatting sqref="B13:D13 B98:D98">
    <cfRule type="expression" dxfId="3560" priority="14" stopIfTrue="1">
      <formula>IF(#REF!&gt;2,0,1)</formula>
    </cfRule>
  </conditionalFormatting>
  <conditionalFormatting sqref="B14:D14 B99:D99">
    <cfRule type="expression" dxfId="3559" priority="15" stopIfTrue="1">
      <formula>IF(#REF!&gt;3,0,1)</formula>
    </cfRule>
  </conditionalFormatting>
  <conditionalFormatting sqref="B15:D15 B100:D100">
    <cfRule type="expression" dxfId="3558" priority="16" stopIfTrue="1">
      <formula>IF(#REF!&gt;3,0,1)</formula>
    </cfRule>
  </conditionalFormatting>
  <conditionalFormatting sqref="B16:D16 B101:D101">
    <cfRule type="expression" dxfId="3557" priority="17" stopIfTrue="1">
      <formula>IF(#REF!&gt;4,0,1)</formula>
    </cfRule>
  </conditionalFormatting>
  <conditionalFormatting sqref="B17:D17 B102:D102">
    <cfRule type="expression" dxfId="3556" priority="18" stopIfTrue="1">
      <formula>IF(#REF!&gt;4,0,1)</formula>
    </cfRule>
  </conditionalFormatting>
  <conditionalFormatting sqref="E8 E93">
    <cfRule type="expression" dxfId="3555" priority="19" stopIfTrue="1">
      <formula>IF(AK9&gt;0,0,1)</formula>
    </cfRule>
  </conditionalFormatting>
  <conditionalFormatting sqref="E9 E94">
    <cfRule type="expression" dxfId="3554" priority="20" stopIfTrue="1">
      <formula>IF(AK9&gt;0,0,1)</formula>
    </cfRule>
  </conditionalFormatting>
  <conditionalFormatting sqref="E10 E95">
    <cfRule type="expression" dxfId="3553" priority="21" stopIfTrue="1">
      <formula>IF(#REF!&gt;1,0,1)</formula>
    </cfRule>
  </conditionalFormatting>
  <conditionalFormatting sqref="E11 E96">
    <cfRule type="expression" dxfId="3552" priority="22" stopIfTrue="1">
      <formula>IF(#REF!&gt;1,0,1)</formula>
    </cfRule>
  </conditionalFormatting>
  <conditionalFormatting sqref="E12 E97">
    <cfRule type="expression" dxfId="3551" priority="23" stopIfTrue="1">
      <formula>IF(#REF!&gt;2,0,1)</formula>
    </cfRule>
  </conditionalFormatting>
  <conditionalFormatting sqref="E13 E98">
    <cfRule type="expression" dxfId="3550" priority="24" stopIfTrue="1">
      <formula>IF(#REF!&gt;2,0,1)</formula>
    </cfRule>
  </conditionalFormatting>
  <conditionalFormatting sqref="E14 E99">
    <cfRule type="expression" dxfId="3549" priority="25" stopIfTrue="1">
      <formula>IF(#REF!&gt;3,0,1)</formula>
    </cfRule>
  </conditionalFormatting>
  <conditionalFormatting sqref="E15 E100">
    <cfRule type="expression" dxfId="3548" priority="26" stopIfTrue="1">
      <formula>IF(#REF!&gt;3,0,1)</formula>
    </cfRule>
  </conditionalFormatting>
  <conditionalFormatting sqref="E16 E101">
    <cfRule type="expression" dxfId="3547" priority="27" stopIfTrue="1">
      <formula>IF(#REF!&gt;4,0,1)</formula>
    </cfRule>
  </conditionalFormatting>
  <conditionalFormatting sqref="E17 E102">
    <cfRule type="expression" dxfId="3546" priority="28" stopIfTrue="1">
      <formula>IF(#REF!&gt;4,0,1)</formula>
    </cfRule>
  </conditionalFormatting>
  <conditionalFormatting sqref="AC8 AC93">
    <cfRule type="expression" dxfId="3545" priority="29" stopIfTrue="1">
      <formula>IF(AK11=1,IF(AK9&gt;0,0,1),1)</formula>
    </cfRule>
  </conditionalFormatting>
  <conditionalFormatting sqref="AC10:AE11 AC95:AE96">
    <cfRule type="expression" dxfId="3544" priority="30" stopIfTrue="1">
      <formula>IF(AK11=1,IF(#REF!&gt;1,0,1),1)</formula>
    </cfRule>
  </conditionalFormatting>
  <conditionalFormatting sqref="AC12:AE13 AC97:AE98">
    <cfRule type="expression" dxfId="3543" priority="31" stopIfTrue="1">
      <formula>IF(#REF!=1,IF(#REF!&gt;2,0,1),1)</formula>
    </cfRule>
  </conditionalFormatting>
  <conditionalFormatting sqref="AC14:AE15 AC99:AE100">
    <cfRule type="expression" dxfId="3542" priority="32" stopIfTrue="1">
      <formula>IF(#REF!=1,IF(#REF!&gt;3,0,1),1)</formula>
    </cfRule>
  </conditionalFormatting>
  <conditionalFormatting sqref="AC16:AE17 AC101:AE102">
    <cfRule type="expression" dxfId="3541" priority="33" stopIfTrue="1">
      <formula>IF(#REF!=1,IF(#REF!&gt;4,0,1),1)</formula>
    </cfRule>
  </conditionalFormatting>
  <conditionalFormatting sqref="AH8 AH93">
    <cfRule type="expression" dxfId="3540" priority="34" stopIfTrue="1">
      <formula>IF(AK9&gt;0,0,1)</formula>
    </cfRule>
  </conditionalFormatting>
  <conditionalFormatting sqref="AH10:AI11 AH95:AI96">
    <cfRule type="expression" dxfId="3539" priority="35" stopIfTrue="1">
      <formula>IF(#REF!&gt;1,0,1)</formula>
    </cfRule>
  </conditionalFormatting>
  <conditionalFormatting sqref="AH12:AI13 AH97:AI98">
    <cfRule type="expression" dxfId="3538" priority="36" stopIfTrue="1">
      <formula>IF(#REF!&gt;2,0,1)</formula>
    </cfRule>
  </conditionalFormatting>
  <conditionalFormatting sqref="AH14:AI15 AH99:AI100">
    <cfRule type="expression" dxfId="3537" priority="37" stopIfTrue="1">
      <formula>IF(#REF!&gt;3,0,1)</formula>
    </cfRule>
  </conditionalFormatting>
  <conditionalFormatting sqref="AH16:AI17 AH101:AI102">
    <cfRule type="expression" dxfId="3536" priority="38" stopIfTrue="1">
      <formula>IF(#REF!&gt;4,0,1)</formula>
    </cfRule>
  </conditionalFormatting>
  <conditionalFormatting sqref="B19:D19 B104:D104">
    <cfRule type="expression" dxfId="3535" priority="39" stopIfTrue="1">
      <formula>IF(#REF!&gt;0,0,1)</formula>
    </cfRule>
  </conditionalFormatting>
  <conditionalFormatting sqref="E19:G19 E104:G104">
    <cfRule type="expression" dxfId="3534" priority="40" stopIfTrue="1">
      <formula>IF(#REF!&gt;1,0,1)</formula>
    </cfRule>
  </conditionalFormatting>
  <conditionalFormatting sqref="H19:J19 H104:J104">
    <cfRule type="expression" dxfId="3533" priority="41" stopIfTrue="1">
      <formula>IF(#REF!&gt;2,0,1)</formula>
    </cfRule>
  </conditionalFormatting>
  <conditionalFormatting sqref="K19:M19 K104:M104">
    <cfRule type="expression" dxfId="3532" priority="42" stopIfTrue="1">
      <formula>IF(#REF!&gt;3,0,1)</formula>
    </cfRule>
  </conditionalFormatting>
  <conditionalFormatting sqref="N19:P19 N104:P104">
    <cfRule type="expression" dxfId="3531" priority="43" stopIfTrue="1">
      <formula>IF(#REF!&gt;4,0,1)</formula>
    </cfRule>
  </conditionalFormatting>
  <conditionalFormatting sqref="Q19:S19 Q104:S104">
    <cfRule type="expression" dxfId="3530" priority="44" stopIfTrue="1">
      <formula>IF(#REF!&gt;5,0,1)</formula>
    </cfRule>
  </conditionalFormatting>
  <conditionalFormatting sqref="T19:V19 T104:V104">
    <cfRule type="expression" dxfId="3529" priority="45" stopIfTrue="1">
      <formula>IF(#REF!&gt;6,0,1)</formula>
    </cfRule>
  </conditionalFormatting>
  <conditionalFormatting sqref="W19:Y19 W104:Y104">
    <cfRule type="expression" dxfId="3528" priority="46" stopIfTrue="1">
      <formula>IF(#REF!&gt;7,0,1)</formula>
    </cfRule>
  </conditionalFormatting>
  <conditionalFormatting sqref="Z19:AB19 Z104:AB104">
    <cfRule type="expression" dxfId="3527" priority="47" stopIfTrue="1">
      <formula>IF(#REF!&gt;8,0,1)</formula>
    </cfRule>
  </conditionalFormatting>
  <conditionalFormatting sqref="AC19:AE19 AC104:AE104">
    <cfRule type="expression" dxfId="3526" priority="48" stopIfTrue="1">
      <formula>IF(#REF!&gt;9,0,1)</formula>
    </cfRule>
  </conditionalFormatting>
  <conditionalFormatting sqref="B20:D20 B105:D105">
    <cfRule type="expression" dxfId="3525" priority="49" stopIfTrue="1">
      <formula>IF(#REF!&gt;0,0,1)</formula>
    </cfRule>
  </conditionalFormatting>
  <conditionalFormatting sqref="E20:G20 E105:G105">
    <cfRule type="expression" dxfId="3524" priority="50" stopIfTrue="1">
      <formula>IF(#REF!&gt;1,0,1)</formula>
    </cfRule>
  </conditionalFormatting>
  <conditionalFormatting sqref="H20:J20 H105:J105">
    <cfRule type="expression" dxfId="3523" priority="51" stopIfTrue="1">
      <formula>IF(#REF!&gt;2,0,1)</formula>
    </cfRule>
  </conditionalFormatting>
  <conditionalFormatting sqref="K20:M20 K105:M105">
    <cfRule type="expression" dxfId="3522" priority="52" stopIfTrue="1">
      <formula>IF(#REF!&gt;3,0,1)</formula>
    </cfRule>
  </conditionalFormatting>
  <conditionalFormatting sqref="N20:P20 N105:P105">
    <cfRule type="expression" dxfId="3521" priority="53" stopIfTrue="1">
      <formula>IF(#REF!&gt;4,0,1)</formula>
    </cfRule>
  </conditionalFormatting>
  <conditionalFormatting sqref="Q20:S20 Q105:S105">
    <cfRule type="expression" dxfId="3520" priority="54" stopIfTrue="1">
      <formula>IF(#REF!&gt;5,0,1)</formula>
    </cfRule>
  </conditionalFormatting>
  <conditionalFormatting sqref="T20:V20 T105:V105">
    <cfRule type="expression" dxfId="3519" priority="55" stopIfTrue="1">
      <formula>IF(#REF!&gt;6,0,1)</formula>
    </cfRule>
  </conditionalFormatting>
  <conditionalFormatting sqref="W20:Y20 W105:Y105">
    <cfRule type="expression" dxfId="3518" priority="56" stopIfTrue="1">
      <formula>IF(#REF!&gt;7,0,1)</formula>
    </cfRule>
  </conditionalFormatting>
  <conditionalFormatting sqref="Z20:AB20 Z105:AB105">
    <cfRule type="expression" dxfId="3517" priority="57" stopIfTrue="1">
      <formula>IF(#REF!&gt;8,0,1)</formula>
    </cfRule>
  </conditionalFormatting>
  <conditionalFormatting sqref="AC20:AE20 AC105:AE105">
    <cfRule type="expression" dxfId="3516" priority="58" stopIfTrue="1">
      <formula>IF(#REF!&gt;9,0,1)</formula>
    </cfRule>
  </conditionalFormatting>
  <conditionalFormatting sqref="E22:G22 E107:G107">
    <cfRule type="expression" dxfId="3515" priority="59" stopIfTrue="1">
      <formula>IF(#REF!&gt;1,0,1)</formula>
    </cfRule>
  </conditionalFormatting>
  <conditionalFormatting sqref="H22:J22 H107:J107">
    <cfRule type="expression" dxfId="3514" priority="60" stopIfTrue="1">
      <formula>IF(#REF!&gt;2,0,1)</formula>
    </cfRule>
  </conditionalFormatting>
  <conditionalFormatting sqref="K22:M22 K107:M107">
    <cfRule type="expression" dxfId="3513" priority="61" stopIfTrue="1">
      <formula>IF(#REF!&gt;3,0,1)</formula>
    </cfRule>
  </conditionalFormatting>
  <conditionalFormatting sqref="N22:P22 N107:P107">
    <cfRule type="expression" dxfId="3512" priority="62" stopIfTrue="1">
      <formula>IF(#REF!&gt;4,0,1)</formula>
    </cfRule>
  </conditionalFormatting>
  <conditionalFormatting sqref="Q22:S22 Q107:S107">
    <cfRule type="expression" dxfId="3511" priority="63" stopIfTrue="1">
      <formula>IF(#REF!&gt;5,0,1)</formula>
    </cfRule>
  </conditionalFormatting>
  <conditionalFormatting sqref="T22:V22 T107:V107">
    <cfRule type="expression" dxfId="3510" priority="64" stopIfTrue="1">
      <formula>IF(#REF!&gt;6,0,1)</formula>
    </cfRule>
  </conditionalFormatting>
  <conditionalFormatting sqref="W22:Y22 W107:Y107">
    <cfRule type="expression" dxfId="3509" priority="65" stopIfTrue="1">
      <formula>IF(#REF!&gt;7,0,1)</formula>
    </cfRule>
  </conditionalFormatting>
  <conditionalFormatting sqref="Z22:AB22 Z107:AB107">
    <cfRule type="expression" dxfId="3508" priority="66" stopIfTrue="1">
      <formula>IF(#REF!&gt;8,0,1)</formula>
    </cfRule>
  </conditionalFormatting>
  <conditionalFormatting sqref="AC22:AE22 AC107:AE107">
    <cfRule type="expression" dxfId="3507" priority="67" stopIfTrue="1">
      <formula>IF(#REF!&gt;9,0,1)</formula>
    </cfRule>
  </conditionalFormatting>
  <conditionalFormatting sqref="B24 B109">
    <cfRule type="expression" dxfId="3506" priority="68" stopIfTrue="1">
      <formula>IF(#REF!&gt;0,0,1)</formula>
    </cfRule>
  </conditionalFormatting>
  <conditionalFormatting sqref="C24 C109">
    <cfRule type="expression" dxfId="3505" priority="69" stopIfTrue="1">
      <formula>IF(#REF!&gt;0,0,1)</formula>
    </cfRule>
  </conditionalFormatting>
  <conditionalFormatting sqref="D24 D109">
    <cfRule type="expression" dxfId="3504" priority="70" stopIfTrue="1">
      <formula>IF(#REF!&gt;0,0,1)</formula>
    </cfRule>
  </conditionalFormatting>
  <conditionalFormatting sqref="E23:G23 E108:G108">
    <cfRule type="expression" dxfId="3503" priority="71" stopIfTrue="1">
      <formula>IF(#REF!&gt;1,0,1)</formula>
    </cfRule>
  </conditionalFormatting>
  <conditionalFormatting sqref="F24 F109">
    <cfRule type="expression" dxfId="3502" priority="72" stopIfTrue="1">
      <formula>IF(#REF!&gt;1,0,1)</formula>
    </cfRule>
  </conditionalFormatting>
  <conditionalFormatting sqref="G24 G109">
    <cfRule type="expression" dxfId="3501" priority="73" stopIfTrue="1">
      <formula>IF(#REF!&gt;1,0,1)</formula>
    </cfRule>
  </conditionalFormatting>
  <conditionalFormatting sqref="H23:J23 H108:J108">
    <cfRule type="expression" dxfId="3500" priority="74" stopIfTrue="1">
      <formula>IF(#REF!&gt;2,0,1)</formula>
    </cfRule>
  </conditionalFormatting>
  <conditionalFormatting sqref="I24 I109">
    <cfRule type="expression" dxfId="3499" priority="75" stopIfTrue="1">
      <formula>IF(#REF!&gt;2,0,1)</formula>
    </cfRule>
  </conditionalFormatting>
  <conditionalFormatting sqref="J24 J109">
    <cfRule type="expression" dxfId="3498" priority="76" stopIfTrue="1">
      <formula>IF(#REF!&gt;2,0,1)</formula>
    </cfRule>
  </conditionalFormatting>
  <conditionalFormatting sqref="K23:M23 K108:M108">
    <cfRule type="expression" dxfId="3497" priority="77" stopIfTrue="1">
      <formula>IF(#REF!&gt;3,0,1)</formula>
    </cfRule>
  </conditionalFormatting>
  <conditionalFormatting sqref="L24 L109">
    <cfRule type="expression" dxfId="3496" priority="78" stopIfTrue="1">
      <formula>IF(#REF!&gt;3,0,1)</formula>
    </cfRule>
  </conditionalFormatting>
  <conditionalFormatting sqref="M24 M109">
    <cfRule type="expression" dxfId="3495" priority="79" stopIfTrue="1">
      <formula>IF(#REF!&gt;3,0,1)</formula>
    </cfRule>
  </conditionalFormatting>
  <conditionalFormatting sqref="N23:P23 N108:P108">
    <cfRule type="expression" dxfId="3494" priority="80" stopIfTrue="1">
      <formula>IF(#REF!&gt;4,0,1)</formula>
    </cfRule>
  </conditionalFormatting>
  <conditionalFormatting sqref="O24 O109">
    <cfRule type="expression" dxfId="3493" priority="81" stopIfTrue="1">
      <formula>IF(#REF!&gt;4,0,1)</formula>
    </cfRule>
  </conditionalFormatting>
  <conditionalFormatting sqref="P24 P109">
    <cfRule type="expression" dxfId="3492" priority="82" stopIfTrue="1">
      <formula>IF(#REF!&gt;4,0,1)</formula>
    </cfRule>
  </conditionalFormatting>
  <conditionalFormatting sqref="Q23:S23 Q108:S108">
    <cfRule type="expression" dxfId="3491" priority="83" stopIfTrue="1">
      <formula>IF(#REF!&gt;5,0,1)</formula>
    </cfRule>
  </conditionalFormatting>
  <conditionalFormatting sqref="R24 R109">
    <cfRule type="expression" dxfId="3490" priority="84" stopIfTrue="1">
      <formula>IF(#REF!&gt;5,0,1)</formula>
    </cfRule>
  </conditionalFormatting>
  <conditionalFormatting sqref="S24 S109">
    <cfRule type="expression" dxfId="3489" priority="85" stopIfTrue="1">
      <formula>IF(#REF!&gt;5,0,1)</formula>
    </cfRule>
  </conditionalFormatting>
  <conditionalFormatting sqref="T23:V23 T108:V108">
    <cfRule type="expression" dxfId="3488" priority="86" stopIfTrue="1">
      <formula>IF(#REF!&gt;6,0,1)</formula>
    </cfRule>
  </conditionalFormatting>
  <conditionalFormatting sqref="U24 U109">
    <cfRule type="expression" dxfId="3487" priority="87" stopIfTrue="1">
      <formula>IF(#REF!&gt;6,0,1)</formula>
    </cfRule>
  </conditionalFormatting>
  <conditionalFormatting sqref="V24 V109">
    <cfRule type="expression" dxfId="3486" priority="88" stopIfTrue="1">
      <formula>IF(#REF!&gt;6,0,1)</formula>
    </cfRule>
  </conditionalFormatting>
  <conditionalFormatting sqref="W23:Y23 W108:Y108">
    <cfRule type="expression" dxfId="3485" priority="89" stopIfTrue="1">
      <formula>IF(#REF!&gt;7,0,1)</formula>
    </cfRule>
  </conditionalFormatting>
  <conditionalFormatting sqref="X24 X109">
    <cfRule type="expression" dxfId="3484" priority="90" stopIfTrue="1">
      <formula>IF(#REF!&gt;7,0,1)</formula>
    </cfRule>
  </conditionalFormatting>
  <conditionalFormatting sqref="Y24 Y109">
    <cfRule type="expression" dxfId="3483" priority="91" stopIfTrue="1">
      <formula>IF(#REF!&gt;7,0,1)</formula>
    </cfRule>
  </conditionalFormatting>
  <conditionalFormatting sqref="Z23:AB23 Z108:AB108">
    <cfRule type="expression" dxfId="3482" priority="92" stopIfTrue="1">
      <formula>IF(#REF!&gt;8,0,1)</formula>
    </cfRule>
  </conditionalFormatting>
  <conditionalFormatting sqref="AA24 AA109">
    <cfRule type="expression" dxfId="3481" priority="93" stopIfTrue="1">
      <formula>IF(#REF!&gt;8,0,1)</formula>
    </cfRule>
  </conditionalFormatting>
  <conditionalFormatting sqref="AB24 AB109">
    <cfRule type="expression" dxfId="3480" priority="94" stopIfTrue="1">
      <formula>IF(#REF!&gt;8,0,1)</formula>
    </cfRule>
  </conditionalFormatting>
  <conditionalFormatting sqref="AC23:AE23 AC108:AE108">
    <cfRule type="expression" dxfId="3479" priority="95" stopIfTrue="1">
      <formula>IF(#REF!&gt;9,0,1)</formula>
    </cfRule>
  </conditionalFormatting>
  <conditionalFormatting sqref="AD24 AD109">
    <cfRule type="expression" dxfId="3478" priority="96" stopIfTrue="1">
      <formula>IF(#REF!&gt;9,0,1)</formula>
    </cfRule>
  </conditionalFormatting>
  <conditionalFormatting sqref="AE24 AE109">
    <cfRule type="expression" dxfId="3477" priority="97" stopIfTrue="1">
      <formula>IF(#REF!&gt;9,0,1)</formula>
    </cfRule>
  </conditionalFormatting>
  <conditionalFormatting sqref="A26 A111">
    <cfRule type="expression" dxfId="3476" priority="98" stopIfTrue="1">
      <formula>IF(#REF!&gt;1,0,1)</formula>
    </cfRule>
  </conditionalFormatting>
  <conditionalFormatting sqref="A27 A112">
    <cfRule type="expression" dxfId="3475" priority="99" stopIfTrue="1">
      <formula>IF(#REF!&gt;2,0,1)</formula>
    </cfRule>
  </conditionalFormatting>
  <conditionalFormatting sqref="A28 A113">
    <cfRule type="expression" dxfId="3474" priority="100" stopIfTrue="1">
      <formula>IF(#REF!&gt;3,0,1)</formula>
    </cfRule>
  </conditionalFormatting>
  <conditionalFormatting sqref="A29 A114">
    <cfRule type="expression" dxfId="3473" priority="101" stopIfTrue="1">
      <formula>IF(#REF!&gt;4,0,1)</formula>
    </cfRule>
  </conditionalFormatting>
  <conditionalFormatting sqref="B25:D25 B110:D110">
    <cfRule type="expression" dxfId="3472" priority="102" stopIfTrue="1">
      <formula>IF(#REF!&gt;0,0,1)</formula>
    </cfRule>
  </conditionalFormatting>
  <conditionalFormatting sqref="B26:D26 B111:D111">
    <cfRule type="expression" dxfId="3471" priority="103" stopIfTrue="1">
      <formula>IF(#REF!&lt;1,1,IF(#REF!&lt;2,1,0))</formula>
    </cfRule>
  </conditionalFormatting>
  <conditionalFormatting sqref="B27:D27 B112:D112">
    <cfRule type="expression" dxfId="3470" priority="104" stopIfTrue="1">
      <formula>IF(#REF!&lt;1,1,IF(#REF!&lt;3,1,0))</formula>
    </cfRule>
  </conditionalFormatting>
  <conditionalFormatting sqref="B28:D28 B113:D113">
    <cfRule type="expression" dxfId="3469" priority="105" stopIfTrue="1">
      <formula>IF(#REF!&lt;1,1,IF(#REF!&lt;4,1,0))</formula>
    </cfRule>
  </conditionalFormatting>
  <conditionalFormatting sqref="B29:D29 B114:D114">
    <cfRule type="expression" dxfId="3468" priority="106" stopIfTrue="1">
      <formula>IF(#REF!&lt;1,1,IF(#REF!&lt;5,1,0))</formula>
    </cfRule>
  </conditionalFormatting>
  <conditionalFormatting sqref="AG23 AG108">
    <cfRule type="expression" dxfId="3467" priority="107" stopIfTrue="1">
      <formula>IF(#REF!&lt;1,1,0)</formula>
    </cfRule>
  </conditionalFormatting>
  <conditionalFormatting sqref="AH23 AH108">
    <cfRule type="expression" dxfId="3466" priority="108" stopIfTrue="1">
      <formula>IF(#REF!&lt;2,1,0)</formula>
    </cfRule>
  </conditionalFormatting>
  <conditionalFormatting sqref="AI23 AI108">
    <cfRule type="expression" dxfId="3465" priority="109" stopIfTrue="1">
      <formula>IF(#REF!&lt;3,1,0)</formula>
    </cfRule>
  </conditionalFormatting>
  <conditionalFormatting sqref="AJ23 AJ108">
    <cfRule type="expression" dxfId="3464" priority="110" stopIfTrue="1">
      <formula>IF(#REF!&lt;4,1,0)</formula>
    </cfRule>
  </conditionalFormatting>
  <conditionalFormatting sqref="AK23 AK108">
    <cfRule type="expression" dxfId="3463" priority="111" stopIfTrue="1">
      <formula>IF(#REF!&lt;5,1,0)</formula>
    </cfRule>
  </conditionalFormatting>
  <conditionalFormatting sqref="AL23 AL108">
    <cfRule type="expression" dxfId="3462" priority="112" stopIfTrue="1">
      <formula>IF(#REF!&lt;6,1,0)</formula>
    </cfRule>
  </conditionalFormatting>
  <conditionalFormatting sqref="AM23 AM108">
    <cfRule type="expression" dxfId="3461" priority="113" stopIfTrue="1">
      <formula>IF(#REF!&lt;7,1,0)</formula>
    </cfRule>
  </conditionalFormatting>
  <conditionalFormatting sqref="AN23 AN108">
    <cfRule type="expression" dxfId="3460" priority="114" stopIfTrue="1">
      <formula>IF(#REF!&lt;8,1,0)</formula>
    </cfRule>
  </conditionalFormatting>
  <conditionalFormatting sqref="AO23 AO108">
    <cfRule type="expression" dxfId="3459" priority="115" stopIfTrue="1">
      <formula>IF(#REF!&lt;9,1,0)</formula>
    </cfRule>
  </conditionalFormatting>
  <conditionalFormatting sqref="AP23 AP108">
    <cfRule type="expression" dxfId="3458" priority="116" stopIfTrue="1">
      <formula>IF(#REF!&lt;10,1,0)</formula>
    </cfRule>
  </conditionalFormatting>
  <conditionalFormatting sqref="AQ24 AQ109">
    <cfRule type="expression" dxfId="3457" priority="117" stopIfTrue="1">
      <formula>IF(#REF!&gt;0,0,1)</formula>
    </cfRule>
  </conditionalFormatting>
  <conditionalFormatting sqref="AQ25 AQ110">
    <cfRule type="expression" dxfId="3456" priority="118" stopIfTrue="1">
      <formula>IF(#REF!&gt;1,0,1)</formula>
    </cfRule>
  </conditionalFormatting>
  <conditionalFormatting sqref="AQ26 H25:J25 AQ111 H110:J110">
    <cfRule type="expression" dxfId="3455" priority="119" stopIfTrue="1">
      <formula>IF(#REF!&gt;2,0,1)</formula>
    </cfRule>
  </conditionalFormatting>
  <conditionalFormatting sqref="K25:M25 K110:M110">
    <cfRule type="expression" dxfId="3454" priority="120" stopIfTrue="1">
      <formula>IF(#REF!&gt;3,0,1)</formula>
    </cfRule>
  </conditionalFormatting>
  <conditionalFormatting sqref="AQ28 AQ113">
    <cfRule type="expression" dxfId="3453" priority="121" stopIfTrue="1">
      <formula>IF(#REF!&gt;4,0,1)</formula>
    </cfRule>
  </conditionalFormatting>
  <conditionalFormatting sqref="E26:G26 E111:G111">
    <cfRule type="expression" dxfId="3452" priority="122" stopIfTrue="1">
      <formula>IF(#REF!&lt;2,1,IF(#REF!&lt;2,1,0))</formula>
    </cfRule>
  </conditionalFormatting>
  <conditionalFormatting sqref="E27:G27 E112:G112">
    <cfRule type="expression" dxfId="3451" priority="123" stopIfTrue="1">
      <formula>IF(#REF!&lt;2,1,IF(#REF!&lt;3,1,0))</formula>
    </cfRule>
  </conditionalFormatting>
  <conditionalFormatting sqref="E28:G28 E113:G113">
    <cfRule type="expression" dxfId="3450" priority="124" stopIfTrue="1">
      <formula>IF(#REF!&lt;2,1,IF(#REF!&lt;4,1,0))</formula>
    </cfRule>
  </conditionalFormatting>
  <conditionalFormatting sqref="E29:G29 E114:G114">
    <cfRule type="expression" dxfId="3449" priority="125" stopIfTrue="1">
      <formula>IF(#REF!&lt;2,1,IF(#REF!&lt;5,1,0))</formula>
    </cfRule>
  </conditionalFormatting>
  <conditionalFormatting sqref="N25:P25 N110:P110">
    <cfRule type="expression" dxfId="3448" priority="126" stopIfTrue="1">
      <formula>IF(#REF!&gt;4,0,1)</formula>
    </cfRule>
  </conditionalFormatting>
  <conditionalFormatting sqref="Q25:S25 Q110:S110">
    <cfRule type="expression" dxfId="3447" priority="127" stopIfTrue="1">
      <formula>IF(#REF!&gt;5,0,1)</formula>
    </cfRule>
  </conditionalFormatting>
  <conditionalFormatting sqref="T25:V25 T110:V110">
    <cfRule type="expression" dxfId="3446" priority="128" stopIfTrue="1">
      <formula>IF(#REF!&gt;6,0,1)</formula>
    </cfRule>
  </conditionalFormatting>
  <conditionalFormatting sqref="W25:Y25 W110:Y110">
    <cfRule type="expression" dxfId="3445" priority="129" stopIfTrue="1">
      <formula>IF(#REF!&gt;7,0,1)</formula>
    </cfRule>
  </conditionalFormatting>
  <conditionalFormatting sqref="Z25:AB25 Z110:AB110">
    <cfRule type="expression" dxfId="3444" priority="130" stopIfTrue="1">
      <formula>IF(#REF!&gt;8,0,1)</formula>
    </cfRule>
  </conditionalFormatting>
  <conditionalFormatting sqref="AC25:AE25 AC110:AE110">
    <cfRule type="expression" dxfId="3443" priority="131" stopIfTrue="1">
      <formula>IF(#REF!&gt;9,0,1)</formula>
    </cfRule>
  </conditionalFormatting>
  <conditionalFormatting sqref="H26:J26 H111:J111">
    <cfRule type="expression" dxfId="3442" priority="132" stopIfTrue="1">
      <formula>IF(#REF!&lt;3,1,IF(#REF!&lt;2,1,0))</formula>
    </cfRule>
  </conditionalFormatting>
  <conditionalFormatting sqref="K26:M26 K111:M111">
    <cfRule type="expression" dxfId="3441" priority="133" stopIfTrue="1">
      <formula>IF(#REF!&lt;4,1,IF(#REF!&lt;2,1,0))</formula>
    </cfRule>
  </conditionalFormatting>
  <conditionalFormatting sqref="N26:P26 N111:P111">
    <cfRule type="expression" dxfId="3440" priority="134" stopIfTrue="1">
      <formula>IF(#REF!&lt;5,1,IF(#REF!&lt;2,1,0))</formula>
    </cfRule>
  </conditionalFormatting>
  <conditionalFormatting sqref="Q26:S26 Q111:S111">
    <cfRule type="expression" dxfId="3439" priority="135" stopIfTrue="1">
      <formula>IF(#REF!&lt;6,1,IF(#REF!&lt;2,1,0))</formula>
    </cfRule>
  </conditionalFormatting>
  <conditionalFormatting sqref="T26:V26 T111:V111">
    <cfRule type="expression" dxfId="3438" priority="136" stopIfTrue="1">
      <formula>IF(#REF!&lt;7,1,IF(#REF!&lt;2,1,0))</formula>
    </cfRule>
  </conditionalFormatting>
  <conditionalFormatting sqref="W26:Y26 W111:Y111">
    <cfRule type="expression" dxfId="3437" priority="137" stopIfTrue="1">
      <formula>IF(#REF!&lt;8,1,IF(#REF!&lt;2,1,0))</formula>
    </cfRule>
  </conditionalFormatting>
  <conditionalFormatting sqref="Z26:AB26 Z111:AB111">
    <cfRule type="expression" dxfId="3436" priority="138" stopIfTrue="1">
      <formula>IF(#REF!&lt;9,1,IF(#REF!&lt;2,1,0))</formula>
    </cfRule>
  </conditionalFormatting>
  <conditionalFormatting sqref="AC26:AE26 AC111:AE111">
    <cfRule type="expression" dxfId="3435" priority="139" stopIfTrue="1">
      <formula>IF(#REF!&lt;10,1,IF(#REF!&lt;2,1,0))</formula>
    </cfRule>
  </conditionalFormatting>
  <conditionalFormatting sqref="H27:J27 H112:J112">
    <cfRule type="expression" dxfId="3434" priority="140" stopIfTrue="1">
      <formula>IF(#REF!&lt;3,1,IF(#REF!&lt;3,1,0))</formula>
    </cfRule>
  </conditionalFormatting>
  <conditionalFormatting sqref="K27:M27 K112:M112">
    <cfRule type="expression" dxfId="3433" priority="141" stopIfTrue="1">
      <formula>IF(#REF!&lt;4,1,IF(#REF!&lt;3,1,0))</formula>
    </cfRule>
  </conditionalFormatting>
  <conditionalFormatting sqref="N27:P27 N112:P112">
    <cfRule type="expression" dxfId="3432" priority="142" stopIfTrue="1">
      <formula>IF(#REF!&lt;5,1,IF(#REF!&lt;3,1,0))</formula>
    </cfRule>
  </conditionalFormatting>
  <conditionalFormatting sqref="Q27:S27 Q112:S112">
    <cfRule type="expression" dxfId="3431" priority="143" stopIfTrue="1">
      <formula>IF(#REF!&lt;6,1,IF(#REF!&lt;3,1,0))</formula>
    </cfRule>
  </conditionalFormatting>
  <conditionalFormatting sqref="T27:V27 T112:V112">
    <cfRule type="expression" dxfId="3430" priority="144" stopIfTrue="1">
      <formula>IF(#REF!&lt;7,1,IF(#REF!&lt;3,1,0))</formula>
    </cfRule>
  </conditionalFormatting>
  <conditionalFormatting sqref="W27:Y27 W112:Y112">
    <cfRule type="expression" dxfId="3429" priority="145" stopIfTrue="1">
      <formula>IF(#REF!&lt;8,1,IF(#REF!&lt;3,1,0))</formula>
    </cfRule>
  </conditionalFormatting>
  <conditionalFormatting sqref="Z27:AB27 Z112:AB112">
    <cfRule type="expression" dxfId="3428" priority="146" stopIfTrue="1">
      <formula>IF(#REF!&lt;9,1,IF(#REF!&lt;3,1,0))</formula>
    </cfRule>
  </conditionalFormatting>
  <conditionalFormatting sqref="AC27:AE27 AC112:AE112">
    <cfRule type="expression" dxfId="3427" priority="147" stopIfTrue="1">
      <formula>IF(#REF!&lt;10,1,IF(#REF!&lt;3,1,0))</formula>
    </cfRule>
  </conditionalFormatting>
  <conditionalFormatting sqref="H28:J28 H113:J113">
    <cfRule type="expression" dxfId="3426" priority="148" stopIfTrue="1">
      <formula>IF(#REF!&lt;3,1,IF(#REF!&lt;4,1,0))</formula>
    </cfRule>
  </conditionalFormatting>
  <conditionalFormatting sqref="K28:M28 K113:M113">
    <cfRule type="expression" dxfId="3425" priority="149" stopIfTrue="1">
      <formula>IF(#REF!&lt;4,1,IF(#REF!&lt;4,1,0))</formula>
    </cfRule>
  </conditionalFormatting>
  <conditionalFormatting sqref="N28:P28 N113:P113">
    <cfRule type="expression" dxfId="3424" priority="150" stopIfTrue="1">
      <formula>IF(#REF!&lt;5,1,IF(#REF!&lt;4,1,0))</formula>
    </cfRule>
  </conditionalFormatting>
  <conditionalFormatting sqref="Q28:S28 Q113:S113">
    <cfRule type="expression" dxfId="3423" priority="151" stopIfTrue="1">
      <formula>IF(#REF!&lt;6,1,IF(#REF!&lt;4,1,0))</formula>
    </cfRule>
  </conditionalFormatting>
  <conditionalFormatting sqref="T28:V28 T113:V113">
    <cfRule type="expression" dxfId="3422" priority="152" stopIfTrue="1">
      <formula>IF(#REF!&lt;7,1,IF(#REF!&lt;4,1,0))</formula>
    </cfRule>
  </conditionalFormatting>
  <conditionalFormatting sqref="W28:Y28 W113:Y113">
    <cfRule type="expression" dxfId="3421" priority="153" stopIfTrue="1">
      <formula>IF(#REF!&lt;8,1,IF(#REF!&lt;4,1,0))</formula>
    </cfRule>
  </conditionalFormatting>
  <conditionalFormatting sqref="Z28:AB28 Z113:AB113">
    <cfRule type="expression" dxfId="3420" priority="154" stopIfTrue="1">
      <formula>IF(#REF!&lt;9,1,IF(#REF!&lt;4,1,0))</formula>
    </cfRule>
  </conditionalFormatting>
  <conditionalFormatting sqref="AC28:AE28 AC113:AE113">
    <cfRule type="expression" dxfId="3419" priority="155" stopIfTrue="1">
      <formula>IF(#REF!&lt;10,1,IF(#REF!&lt;4,1,0))</formula>
    </cfRule>
  </conditionalFormatting>
  <conditionalFormatting sqref="H29:J29 H114:J114">
    <cfRule type="expression" dxfId="3418" priority="156" stopIfTrue="1">
      <formula>IF(#REF!&lt;3,1,IF(#REF!&lt;5,1,0))</formula>
    </cfRule>
  </conditionalFormatting>
  <conditionalFormatting sqref="K29:M29 K114:M114">
    <cfRule type="expression" dxfId="3417" priority="157" stopIfTrue="1">
      <formula>IF(#REF!&lt;4,1,IF(#REF!&lt;5,1,0))</formula>
    </cfRule>
  </conditionalFormatting>
  <conditionalFormatting sqref="N29:P29 N114:P114">
    <cfRule type="expression" dxfId="3416" priority="158" stopIfTrue="1">
      <formula>IF(#REF!&lt;5,1,IF(#REF!&lt;5,1,0))</formula>
    </cfRule>
  </conditionalFormatting>
  <conditionalFormatting sqref="Q29:S29 Q114:S114">
    <cfRule type="expression" dxfId="3415" priority="159" stopIfTrue="1">
      <formula>IF(#REF!&lt;6,1,IF(#REF!&lt;5,1,0))</formula>
    </cfRule>
  </conditionalFormatting>
  <conditionalFormatting sqref="T29:V29 T114:V114">
    <cfRule type="expression" dxfId="3414" priority="160" stopIfTrue="1">
      <formula>IF(#REF!&lt;7,1,IF(#REF!&lt;5,1,0))</formula>
    </cfRule>
  </conditionalFormatting>
  <conditionalFormatting sqref="W29:Y29 W114:Y114">
    <cfRule type="expression" dxfId="3413" priority="161" stopIfTrue="1">
      <formula>IF(#REF!&lt;8,1,IF(#REF!&lt;5,1,0))</formula>
    </cfRule>
  </conditionalFormatting>
  <conditionalFormatting sqref="Z29:AB29 Z114:AB114">
    <cfRule type="expression" dxfId="3412" priority="162" stopIfTrue="1">
      <formula>IF(#REF!&lt;9,1,IF(#REF!&lt;5,1,0))</formula>
    </cfRule>
  </conditionalFormatting>
  <conditionalFormatting sqref="AC29:AE29 AC114:AE114">
    <cfRule type="expression" dxfId="3411" priority="163" stopIfTrue="1">
      <formula>IF(#REF!&lt;10,1,IF(#REF!&lt;5,1,0))</formula>
    </cfRule>
  </conditionalFormatting>
  <conditionalFormatting sqref="R14:AB15 AF14:AF15 L14:P15 R99:AB100 AF99:AF100 L99:P100 AG14 AG99">
    <cfRule type="expression" dxfId="3410" priority="164" stopIfTrue="1">
      <formula>IF(#REF!&gt;3,0,1)</formula>
    </cfRule>
  </conditionalFormatting>
  <conditionalFormatting sqref="R16:AB17 AF16:AF17 L16:P17 R101:AB102 AF101:AF102 L101:P102 AG16 AG101">
    <cfRule type="expression" dxfId="3409" priority="165" stopIfTrue="1">
      <formula>IF(#REF!&gt;4,0,1)</formula>
    </cfRule>
  </conditionalFormatting>
  <conditionalFormatting sqref="R8:AB9 AF8:AF9 L8:P9 R93:AB94 AF93:AF94 L93:P94 AG8 AG93">
    <cfRule type="expression" dxfId="3408" priority="166" stopIfTrue="1">
      <formula>IF($AK9&gt;0,0,1)</formula>
    </cfRule>
  </conditionalFormatting>
  <conditionalFormatting sqref="R10:AB11 AF10:AF11 L10:P11 R95:AB96 AF95:AF96 L95:P96 AG10 AG95">
    <cfRule type="expression" dxfId="3407" priority="167" stopIfTrue="1">
      <formula>IF(#REF!&gt;1,0,1)</formula>
    </cfRule>
  </conditionalFormatting>
  <conditionalFormatting sqref="R12:AB13 AF12:AF13 L12:P13 R97:AB98 AF97:AF98 L97:P98 AG12 AG97">
    <cfRule type="expression" dxfId="3406" priority="168" stopIfTrue="1">
      <formula>IF(#REF!&gt;2,0,1)</formula>
    </cfRule>
  </conditionalFormatting>
  <conditionalFormatting sqref="E24 E109">
    <cfRule type="expression" dxfId="3405" priority="169" stopIfTrue="1">
      <formula>IF(#REF!&gt;1,0,1)</formula>
    </cfRule>
  </conditionalFormatting>
  <conditionalFormatting sqref="H24 H109">
    <cfRule type="expression" dxfId="3404" priority="170" stopIfTrue="1">
      <formula>IF(#REF!&gt;2,0,1)</formula>
    </cfRule>
  </conditionalFormatting>
  <conditionalFormatting sqref="K24 K109">
    <cfRule type="expression" dxfId="3403" priority="171" stopIfTrue="1">
      <formula>IF(#REF!&gt;3,0,1)</formula>
    </cfRule>
  </conditionalFormatting>
  <conditionalFormatting sqref="N24 N109">
    <cfRule type="expression" dxfId="3402" priority="172" stopIfTrue="1">
      <formula>IF(#REF!&gt;4,0,1)</formula>
    </cfRule>
  </conditionalFormatting>
  <conditionalFormatting sqref="Q24 Q109">
    <cfRule type="expression" dxfId="3401" priority="173" stopIfTrue="1">
      <formula>IF(#REF!&gt;5,0,1)</formula>
    </cfRule>
  </conditionalFormatting>
  <conditionalFormatting sqref="T24 T109">
    <cfRule type="expression" dxfId="3400" priority="174" stopIfTrue="1">
      <formula>IF(#REF!&gt;6,0,1)</formula>
    </cfRule>
  </conditionalFormatting>
  <conditionalFormatting sqref="W24 W109">
    <cfRule type="expression" dxfId="3399" priority="175" stopIfTrue="1">
      <formula>IF(#REF!&gt;7,0,1)</formula>
    </cfRule>
  </conditionalFormatting>
  <conditionalFormatting sqref="Z24 Z109">
    <cfRule type="expression" dxfId="3398" priority="176" stopIfTrue="1">
      <formula>IF(#REF!&gt;8,0,1)</formula>
    </cfRule>
  </conditionalFormatting>
  <conditionalFormatting sqref="AC24 AC109">
    <cfRule type="expression" dxfId="3397" priority="177" stopIfTrue="1">
      <formula>IF(#REF!&gt;9,0,1)</formula>
    </cfRule>
  </conditionalFormatting>
  <conditionalFormatting sqref="AQ27 AQ112">
    <cfRule type="expression" dxfId="3396" priority="178" stopIfTrue="1">
      <formula>IF(#REF!&gt;3,0,1)</formula>
    </cfRule>
  </conditionalFormatting>
  <conditionalFormatting sqref="E25:G25 E110:G110">
    <cfRule type="expression" dxfId="3395" priority="179" stopIfTrue="1">
      <formula>IF(#REF!&gt;1,0,1)</formula>
    </cfRule>
  </conditionalFormatting>
  <conditionalFormatting sqref="B21:D21 B106:D106">
    <cfRule type="expression" dxfId="3394" priority="180" stopIfTrue="1">
      <formula>IF(#REF!&gt;0,0,1)</formula>
    </cfRule>
  </conditionalFormatting>
  <conditionalFormatting sqref="E21:G21 E106:G106">
    <cfRule type="expression" dxfId="3393" priority="181" stopIfTrue="1">
      <formula>IF(#REF!&gt;1,0,1)</formula>
    </cfRule>
  </conditionalFormatting>
  <conditionalFormatting sqref="H21:J21 H106:J106">
    <cfRule type="expression" dxfId="3392" priority="182" stopIfTrue="1">
      <formula>IF(#REF!&gt;2,0,1)</formula>
    </cfRule>
  </conditionalFormatting>
  <conditionalFormatting sqref="K21:M21 K106:M106">
    <cfRule type="expression" dxfId="3391" priority="183" stopIfTrue="1">
      <formula>IF(#REF!&gt;3,0,1)</formula>
    </cfRule>
  </conditionalFormatting>
  <conditionalFormatting sqref="N21:P21 N106:P106">
    <cfRule type="expression" dxfId="3390" priority="184" stopIfTrue="1">
      <formula>IF(#REF!&gt;4,0,1)</formula>
    </cfRule>
  </conditionalFormatting>
  <conditionalFormatting sqref="Q21:S21 Q106:S106">
    <cfRule type="expression" dxfId="3389" priority="185" stopIfTrue="1">
      <formula>IF(#REF!&gt;5,0,1)</formula>
    </cfRule>
  </conditionalFormatting>
  <conditionalFormatting sqref="T21:V21 T106:V106">
    <cfRule type="expression" dxfId="3388" priority="186" stopIfTrue="1">
      <formula>IF(#REF!&gt;6,0,1)</formula>
    </cfRule>
  </conditionalFormatting>
  <conditionalFormatting sqref="W21:Y21 W106:Y106">
    <cfRule type="expression" dxfId="3387" priority="187" stopIfTrue="1">
      <formula>IF(#REF!&gt;7,0,1)</formula>
    </cfRule>
  </conditionalFormatting>
  <conditionalFormatting sqref="Z21:AB21 Z106:AB106">
    <cfRule type="expression" dxfId="3386" priority="188" stopIfTrue="1">
      <formula>IF(#REF!&gt;8,0,1)</formula>
    </cfRule>
  </conditionalFormatting>
  <conditionalFormatting sqref="AC21:AE21 AC106:AE106">
    <cfRule type="expression" dxfId="3385" priority="189" stopIfTrue="1">
      <formula>IF(#REF!&gt;9,0,1)</formula>
    </cfRule>
  </conditionalFormatting>
  <conditionalFormatting sqref="X224:X225 W215:W216 X215:Y215 W218:Y223 Z219:AE222 AA223:AA225 F223:F225 B215:B216 C215:D215 B218:D223 C224:C225 I223:I225 E219:J222 AD223:AD225">
    <cfRule type="expression" dxfId="3384" priority="190" stopIfTrue="1">
      <formula>IF(#REF!&gt;0,0,1)</formula>
    </cfRule>
  </conditionalFormatting>
  <conditionalFormatting sqref="AA215:AB215 AB223 AA218:AB218 Z223 Z215:Z218 G223 F218:G218 E223 E215:E218 F215:G215">
    <cfRule type="expression" dxfId="3383" priority="191" stopIfTrue="1">
      <formula>IF(#REF!&gt;1,0,1)</formula>
    </cfRule>
  </conditionalFormatting>
  <conditionalFormatting sqref="AC215:AC218 AD215:AE215 AE223 AD218:AE218 AC223 H223 H215:H218 I215:J215 I218:J218 J223">
    <cfRule type="expression" dxfId="3382" priority="192" stopIfTrue="1">
      <formula>IF(#REF!&gt;2,0,1)</formula>
    </cfRule>
  </conditionalFormatting>
  <conditionalFormatting sqref="W224 Y224 B224 D224">
    <cfRule type="expression" dxfId="3381" priority="193" stopIfTrue="1">
      <formula>IF(#REF!&lt;1,1,IF(#REF!&lt;2,1,0))</formula>
    </cfRule>
  </conditionalFormatting>
  <conditionalFormatting sqref="Z224 AB224 E224 G224">
    <cfRule type="expression" dxfId="3380" priority="194" stopIfTrue="1">
      <formula>IF(#REF!&lt;2,1,IF(#REF!&lt;2,1,0))</formula>
    </cfRule>
  </conditionalFormatting>
  <conditionalFormatting sqref="AC224 AE224 H224 J224">
    <cfRule type="expression" dxfId="3379" priority="195" stopIfTrue="1">
      <formula>IF(#REF!&lt;3,1,IF(#REF!&lt;2,1,0))</formula>
    </cfRule>
  </conditionalFormatting>
  <conditionalFormatting sqref="Y225 B225 D225 W225">
    <cfRule type="expression" dxfId="3378" priority="196" stopIfTrue="1">
      <formula>IF(#REF!&lt;1,1,IF(#REF!&lt;3,1,0))</formula>
    </cfRule>
  </conditionalFormatting>
  <conditionalFormatting sqref="AB225 E225 G225 Z225">
    <cfRule type="expression" dxfId="3377" priority="197" stopIfTrue="1">
      <formula>IF(#REF!&lt;2,1,IF(#REF!&lt;3,1,0))</formula>
    </cfRule>
  </conditionalFormatting>
  <conditionalFormatting sqref="AE225 H225 J225 AC225">
    <cfRule type="expression" dxfId="3376" priority="198" stopIfTrue="1">
      <formula>IF(#REF!&lt;3,1,IF(#REF!&lt;3,1,0))</formula>
    </cfRule>
  </conditionalFormatting>
  <conditionalFormatting sqref="AG24:AP28 AG109:AP113">
    <cfRule type="cellIs" dxfId="3375" priority="199" stopIfTrue="1" operator="notBetween">
      <formula>-9999</formula>
      <formula>9999</formula>
    </cfRule>
  </conditionalFormatting>
  <conditionalFormatting sqref="AC7 AC92">
    <cfRule type="expression" dxfId="3374" priority="200" stopIfTrue="1">
      <formula>IF($AK$11=0,1,0)</formula>
    </cfRule>
  </conditionalFormatting>
  <conditionalFormatting sqref="B18 B103">
    <cfRule type="expression" dxfId="3373" priority="201" stopIfTrue="1">
      <formula>IF($AK$9&gt;0,0,1)</formula>
    </cfRule>
  </conditionalFormatting>
  <conditionalFormatting sqref="B22:D23 B107:D108">
    <cfRule type="cellIs" dxfId="3372" priority="202" stopIfTrue="1" operator="equal">
      <formula>99</formula>
    </cfRule>
  </conditionalFormatting>
  <conditionalFormatting sqref="X226 AA226 C226 F226">
    <cfRule type="expression" dxfId="3371" priority="203" stopIfTrue="1">
      <formula>IF(#REF!&gt;0,0,1)</formula>
    </cfRule>
  </conditionalFormatting>
  <conditionalFormatting sqref="K215">
    <cfRule type="expression" dxfId="3370" priority="3" stopIfTrue="1">
      <formula>IF(#REF!&gt;2,0,1)</formula>
    </cfRule>
  </conditionalFormatting>
  <conditionalFormatting sqref="K215">
    <cfRule type="expression" dxfId="3369" priority="2" stopIfTrue="1">
      <formula>IF(ISNUMBER(K223),0,1)</formula>
    </cfRule>
  </conditionalFormatting>
  <conditionalFormatting sqref="AF215">
    <cfRule type="expression" dxfId="3368" priority="1" stopIfTrue="1">
      <formula>IF(ISNUMBER(AF223),0,1)</formula>
    </cfRule>
  </conditionalFormatting>
  <pageMargins left="0.25" right="0.25" top="0.25" bottom="0.25" header="0" footer="0"/>
  <pageSetup scale="78" fitToHeight="4" orientation="landscape"/>
  <headerFooter alignWithMargins="0"/>
  <rowBreaks count="2" manualBreakCount="2">
    <brk id="90" max="43" man="1"/>
    <brk id="181" max="42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theme="1"/>
  </sheetPr>
  <dimension ref="A1:BY658"/>
  <sheetViews>
    <sheetView topLeftCell="E1" zoomScale="70" zoomScaleNormal="70" workbookViewId="0">
      <selection activeCell="AW4" sqref="AW4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30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3"/>
      <c r="AW1" s="194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302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 t="s">
        <v>303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304</v>
      </c>
      <c r="AV3" s="15" t="s">
        <v>305</v>
      </c>
      <c r="AW3" s="16">
        <f>VLOOKUP(AV3,Initial!G:K,5,FALSE)</f>
        <v>2550.4882821127521</v>
      </c>
      <c r="AX3" s="17">
        <f t="shared" ref="AX3:AX12" si="0">VLOOKUP(AU3,AT$79:AU$174,2,FALSE)</f>
        <v>2582.6337956345133</v>
      </c>
      <c r="AY3" s="18">
        <f t="shared" ref="AY3:AY12" si="1">IF(ISNA(VLOOKUP(AU3,AT$182:AU$234,2,FALSE)),AX3,VLOOKUP(AU3,AT$182:AU$234,2,FALSE))</f>
        <v>2602.0670906930518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26</v>
      </c>
      <c r="F4" s="210"/>
      <c r="G4" s="210"/>
      <c r="H4" s="210"/>
      <c r="I4" s="210"/>
      <c r="J4" s="210"/>
      <c r="K4" s="210"/>
      <c r="L4" s="210"/>
      <c r="M4" s="211"/>
      <c r="N4" s="206" t="s">
        <v>27</v>
      </c>
      <c r="O4" s="207"/>
      <c r="P4" s="207"/>
      <c r="Q4" s="208"/>
      <c r="R4" s="212" t="s">
        <v>28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29</v>
      </c>
      <c r="AC4" s="207"/>
      <c r="AD4" s="207"/>
      <c r="AE4" s="208"/>
      <c r="AF4" s="407">
        <v>42759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306</v>
      </c>
      <c r="AV4" s="15" t="s">
        <v>307</v>
      </c>
      <c r="AW4" s="16">
        <f>VLOOKUP(AV4,Initial!G:K,5,FALSE)</f>
        <v>2504.8525408531418</v>
      </c>
      <c r="AX4" s="20">
        <f t="shared" si="0"/>
        <v>2497.3788195621469</v>
      </c>
      <c r="AY4" s="21">
        <f t="shared" si="1"/>
        <v>2485.2280075007443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308</v>
      </c>
      <c r="AV5" s="15" t="s">
        <v>309</v>
      </c>
      <c r="AW5" s="16">
        <f>VLOOKUP(AV5,Initial!G:K,5,FALSE)</f>
        <v>2200</v>
      </c>
      <c r="AX5" s="20">
        <f t="shared" si="0"/>
        <v>2362.6204348617684</v>
      </c>
      <c r="AY5" s="21">
        <f t="shared" si="1"/>
        <v>2375.211979799888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310</v>
      </c>
      <c r="AV6" s="15" t="s">
        <v>311</v>
      </c>
      <c r="AW6" s="16">
        <f>VLOOKUP(AV6,Initial!G:K,5,FALSE)</f>
        <v>2400</v>
      </c>
      <c r="AX6" s="20">
        <f t="shared" si="0"/>
        <v>2419.5058168561241</v>
      </c>
      <c r="AY6" s="21">
        <f t="shared" si="1"/>
        <v>2440.2815498712666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Games Won</v>
      </c>
      <c r="M7" s="255"/>
      <c r="N7" s="255"/>
      <c r="O7" s="255"/>
      <c r="P7" s="255"/>
      <c r="Q7" s="256"/>
      <c r="R7" s="254" t="str">
        <f>IF($AK10=0,"Games Lost","Matches Lost")</f>
        <v>Games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312</v>
      </c>
      <c r="AV7" s="15" t="s">
        <v>313</v>
      </c>
      <c r="AW7" s="16">
        <f>VLOOKUP(AV7,Initial!G:K,5,FALSE)</f>
        <v>2400</v>
      </c>
      <c r="AX7" s="20">
        <f t="shared" si="0"/>
        <v>2448.4481678791185</v>
      </c>
      <c r="AY7" s="21">
        <f t="shared" si="1"/>
        <v>2428.574139943863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Beaufort Sweet 16's</v>
      </c>
      <c r="F8" s="233"/>
      <c r="G8" s="233"/>
      <c r="H8" s="233"/>
      <c r="I8" s="233"/>
      <c r="J8" s="233"/>
      <c r="K8" s="234"/>
      <c r="L8" s="235">
        <f>IF($AK10=0,AF64,AF46)</f>
        <v>7</v>
      </c>
      <c r="M8" s="236"/>
      <c r="N8" s="236"/>
      <c r="O8" s="236"/>
      <c r="P8" s="236"/>
      <c r="Q8" s="256"/>
      <c r="R8" s="235">
        <f>IF($AK10=0,AG64,AG46)</f>
        <v>1</v>
      </c>
      <c r="S8" s="236"/>
      <c r="T8" s="236"/>
      <c r="U8" s="236"/>
      <c r="V8" s="236"/>
      <c r="W8" s="235">
        <f>AQ24</f>
        <v>26</v>
      </c>
      <c r="X8" s="236"/>
      <c r="Y8" s="236"/>
      <c r="Z8" s="239">
        <f>IF(AF58&gt;0,(AQ24/AF58),0)</f>
        <v>0.13</v>
      </c>
      <c r="AA8" s="240"/>
      <c r="AB8" s="240"/>
      <c r="AC8" s="262">
        <f>IF(AF72=0,0,(AF64/AF72))</f>
        <v>0.875</v>
      </c>
      <c r="AD8" s="263"/>
      <c r="AE8" s="264"/>
      <c r="AF8" s="268">
        <v>1</v>
      </c>
      <c r="AG8" s="268"/>
      <c r="AH8" s="270">
        <v>1</v>
      </c>
      <c r="AI8" s="271"/>
      <c r="AJ8" s="27"/>
      <c r="AK8" s="28">
        <v>10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314</v>
      </c>
      <c r="AV8" s="15" t="s">
        <v>315</v>
      </c>
      <c r="AW8" s="16">
        <f>VLOOKUP(AV8,Initial!G:K,5,FALSE)</f>
        <v>2366.6059849945268</v>
      </c>
      <c r="AX8" s="20">
        <f t="shared" si="0"/>
        <v>2348.8324742187001</v>
      </c>
      <c r="AY8" s="21">
        <f t="shared" si="1"/>
        <v>2337.9679777779384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fj6beauf1pm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5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316</v>
      </c>
      <c r="AV9" s="15" t="s">
        <v>317</v>
      </c>
      <c r="AW9" s="16">
        <f>VLOOKUP(AV9,Initial!G:K,5,FALSE)</f>
        <v>2330.3909835910367</v>
      </c>
      <c r="AX9" s="20">
        <f t="shared" si="0"/>
        <v>2236.6379994866888</v>
      </c>
      <c r="AY9" s="21">
        <f t="shared" si="1"/>
        <v>2228.3592034324347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Upward Stars 16 Tonja</v>
      </c>
      <c r="F10" s="233"/>
      <c r="G10" s="233"/>
      <c r="H10" s="233"/>
      <c r="I10" s="233"/>
      <c r="J10" s="233"/>
      <c r="K10" s="234"/>
      <c r="L10" s="235">
        <f>IF($AK10=0,AF65,AF47)</f>
        <v>5</v>
      </c>
      <c r="M10" s="236"/>
      <c r="N10" s="236"/>
      <c r="O10" s="236"/>
      <c r="P10" s="236"/>
      <c r="Q10" s="256"/>
      <c r="R10" s="235">
        <f>IF($AK10=0,AG65,AG47)</f>
        <v>3</v>
      </c>
      <c r="S10" s="236"/>
      <c r="T10" s="236"/>
      <c r="U10" s="236"/>
      <c r="V10" s="236"/>
      <c r="W10" s="235">
        <f>AQ25</f>
        <v>48</v>
      </c>
      <c r="X10" s="236"/>
      <c r="Y10" s="236"/>
      <c r="Z10" s="239">
        <f>IF(AF59&gt;0,(AQ25/AF59),0)</f>
        <v>0.24</v>
      </c>
      <c r="AA10" s="240"/>
      <c r="AB10" s="240"/>
      <c r="AC10" s="262">
        <f>IF(AF73=0,0,(AF65/AF73))</f>
        <v>0.625</v>
      </c>
      <c r="AD10" s="263"/>
      <c r="AE10" s="264"/>
      <c r="AF10" s="268">
        <v>3</v>
      </c>
      <c r="AG10" s="268"/>
      <c r="AH10" s="270">
        <v>5</v>
      </c>
      <c r="AI10" s="271"/>
      <c r="AJ10" s="27"/>
      <c r="AK10" s="28">
        <v>0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318</v>
      </c>
      <c r="AV10" s="15" t="s">
        <v>319</v>
      </c>
      <c r="AW10" s="16">
        <f>VLOOKUP(AV10,Initial!G:K,5,FALSE)</f>
        <v>2314.8207408110184</v>
      </c>
      <c r="AX10" s="20">
        <f t="shared" si="0"/>
        <v>2227.3143583110036</v>
      </c>
      <c r="AY10" s="21">
        <f t="shared" si="1"/>
        <v>2227.3143583110036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fj6upwrd4pm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5" t="s">
        <v>320</v>
      </c>
      <c r="AV11" s="15" t="s">
        <v>321</v>
      </c>
      <c r="AW11" s="16">
        <f>VLOOKUP(AV11,Initial!G:K,5,FALSE)</f>
        <v>2266.9866046582174</v>
      </c>
      <c r="AX11" s="20">
        <f t="shared" si="0"/>
        <v>2254.3934889012285</v>
      </c>
      <c r="AY11" s="21">
        <f t="shared" si="1"/>
        <v>2252.7610483811018</v>
      </c>
    </row>
    <row r="12" spans="1:53" ht="18.75" customHeight="1" thickBot="1" x14ac:dyDescent="0.25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Upward Stars 16 Mark C</v>
      </c>
      <c r="F12" s="233"/>
      <c r="G12" s="233"/>
      <c r="H12" s="233"/>
      <c r="I12" s="233"/>
      <c r="J12" s="233"/>
      <c r="K12" s="234"/>
      <c r="L12" s="235">
        <f>IF($AK10=0,AF66,AF48)</f>
        <v>6</v>
      </c>
      <c r="M12" s="236"/>
      <c r="N12" s="236"/>
      <c r="O12" s="236"/>
      <c r="P12" s="236"/>
      <c r="Q12" s="256"/>
      <c r="R12" s="235">
        <f>IF($AK10=0,AG66,AG48)</f>
        <v>2</v>
      </c>
      <c r="S12" s="236"/>
      <c r="T12" s="236"/>
      <c r="U12" s="236"/>
      <c r="V12" s="236"/>
      <c r="W12" s="235">
        <f>AQ26</f>
        <v>41</v>
      </c>
      <c r="X12" s="236"/>
      <c r="Y12" s="236"/>
      <c r="Z12" s="239">
        <f>IF(AF60&gt;0,(AQ26/AF60),0)</f>
        <v>0.20297029702970298</v>
      </c>
      <c r="AA12" s="240"/>
      <c r="AB12" s="240"/>
      <c r="AC12" s="262">
        <f>IF(AF74=0,0,(AF66/AF74))</f>
        <v>0.75</v>
      </c>
      <c r="AD12" s="263"/>
      <c r="AE12" s="264"/>
      <c r="AF12" s="268">
        <v>2</v>
      </c>
      <c r="AG12" s="268"/>
      <c r="AH12" s="270">
        <v>3</v>
      </c>
      <c r="AI12" s="271"/>
      <c r="AJ12" s="31"/>
      <c r="AK12" s="28">
        <v>8</v>
      </c>
      <c r="AL12" s="32" t="s">
        <v>61</v>
      </c>
      <c r="AM12" s="29"/>
      <c r="AN12" s="29"/>
      <c r="AO12" s="29"/>
      <c r="AP12" s="29"/>
      <c r="AQ12" s="29"/>
      <c r="AR12" s="30"/>
      <c r="AT12" s="33">
        <v>10</v>
      </c>
      <c r="AU12" s="15" t="s">
        <v>322</v>
      </c>
      <c r="AV12" s="15" t="s">
        <v>323</v>
      </c>
      <c r="AW12" s="16">
        <f>VLOOKUP(AV12,Initial!G:K,5,FALSE)</f>
        <v>2201.5596850765965</v>
      </c>
      <c r="AX12" s="34">
        <f t="shared" si="0"/>
        <v>2157.9394663859975</v>
      </c>
      <c r="AY12" s="35">
        <f t="shared" si="1"/>
        <v>2157.9394663859975</v>
      </c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fj6upwrd5pm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39" t="s">
        <v>64</v>
      </c>
      <c r="AU13" s="340"/>
      <c r="AV13" s="340"/>
      <c r="AW13" s="340"/>
      <c r="AX13" s="340"/>
      <c r="AY13" s="341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MBVC 16 Red Todd</v>
      </c>
      <c r="F14" s="233"/>
      <c r="G14" s="233"/>
      <c r="H14" s="233"/>
      <c r="I14" s="233"/>
      <c r="J14" s="233"/>
      <c r="K14" s="234"/>
      <c r="L14" s="235">
        <f>IF($AK10=0,AF67,AF49)</f>
        <v>0</v>
      </c>
      <c r="M14" s="236"/>
      <c r="N14" s="236"/>
      <c r="O14" s="236"/>
      <c r="P14" s="236"/>
      <c r="Q14" s="256"/>
      <c r="R14" s="235">
        <f>IF($AK10=0,AG67,AG49)</f>
        <v>8</v>
      </c>
      <c r="S14" s="236"/>
      <c r="T14" s="236"/>
      <c r="U14" s="236"/>
      <c r="V14" s="236"/>
      <c r="W14" s="235">
        <f>AQ27</f>
        <v>-82</v>
      </c>
      <c r="X14" s="236"/>
      <c r="Y14" s="236"/>
      <c r="Z14" s="239">
        <f>IF(AF61&gt;0,(AQ27/AF61),0)</f>
        <v>-0.41</v>
      </c>
      <c r="AA14" s="240"/>
      <c r="AB14" s="240"/>
      <c r="AC14" s="262">
        <f>IF(AF75=0,0,(AF67/AF75))</f>
        <v>0</v>
      </c>
      <c r="AD14" s="263"/>
      <c r="AE14" s="264"/>
      <c r="AF14" s="268">
        <v>5</v>
      </c>
      <c r="AG14" s="268"/>
      <c r="AH14" s="270">
        <v>10</v>
      </c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42"/>
      <c r="AU14" s="343"/>
      <c r="AV14" s="343"/>
      <c r="AW14" s="343"/>
      <c r="AX14" s="343"/>
      <c r="AY14" s="344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fj6mbeac1pm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  <c r="AW15" s="97"/>
      <c r="AX15" s="97"/>
      <c r="AY15" s="97"/>
    </row>
    <row r="16" spans="1:53" ht="18.75" customHeight="1" x14ac:dyDescent="0.2">
      <c r="A16" s="227" t="str">
        <f>IF($AK9&gt;4,"5","")</f>
        <v>5</v>
      </c>
      <c r="B16" s="286" t="s">
        <v>10</v>
      </c>
      <c r="C16" s="287"/>
      <c r="D16" s="287"/>
      <c r="E16" s="232" t="str">
        <f>AU11</f>
        <v>SCWE16RAPTORS</v>
      </c>
      <c r="F16" s="233"/>
      <c r="G16" s="233"/>
      <c r="H16" s="233"/>
      <c r="I16" s="233"/>
      <c r="J16" s="233"/>
      <c r="K16" s="234"/>
      <c r="L16" s="235">
        <f>IF($AK10=0,AF68,AF50)</f>
        <v>2</v>
      </c>
      <c r="M16" s="236"/>
      <c r="N16" s="236"/>
      <c r="O16" s="236"/>
      <c r="P16" s="236"/>
      <c r="Q16" s="256"/>
      <c r="R16" s="235">
        <f>IF($AK10=0,AG68,AG50)</f>
        <v>6</v>
      </c>
      <c r="S16" s="236"/>
      <c r="T16" s="236"/>
      <c r="U16" s="236"/>
      <c r="V16" s="236"/>
      <c r="W16" s="235">
        <f>AQ28</f>
        <v>-33</v>
      </c>
      <c r="X16" s="236"/>
      <c r="Y16" s="236"/>
      <c r="Z16" s="239">
        <f>IF(AF62&gt;0,(AQ28/AF62),0)</f>
        <v>-0.16336633663366337</v>
      </c>
      <c r="AA16" s="240"/>
      <c r="AB16" s="240"/>
      <c r="AC16" s="262">
        <f>IF(AF76=0,0,(AF68/AF76))</f>
        <v>0.25</v>
      </c>
      <c r="AD16" s="263"/>
      <c r="AE16" s="264"/>
      <c r="AF16" s="268">
        <v>4</v>
      </c>
      <c r="AG16" s="268"/>
      <c r="AH16" s="270">
        <v>7</v>
      </c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T16" s="39"/>
      <c r="AU16" s="97"/>
      <c r="AV16" s="97"/>
      <c r="AW16" s="97"/>
      <c r="AX16" s="97"/>
      <c r="AY16" s="97"/>
    </row>
    <row r="17" spans="1:51" ht="18.75" customHeight="1" thickBot="1" x14ac:dyDescent="0.25">
      <c r="A17" s="228"/>
      <c r="B17" s="296" t="s">
        <v>11</v>
      </c>
      <c r="C17" s="297"/>
      <c r="D17" s="297"/>
      <c r="E17" s="410" t="str">
        <f>AV11</f>
        <v>fj6scwea1pm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T17" s="39"/>
      <c r="AU17" s="97"/>
      <c r="AV17" s="97"/>
      <c r="AW17" s="97"/>
      <c r="AX17" s="97"/>
      <c r="AY17" s="97"/>
    </row>
    <row r="18" spans="1:51" ht="21" customHeight="1" thickTop="1" thickBot="1" x14ac:dyDescent="0.25">
      <c r="A18" s="40"/>
      <c r="B18" s="305" t="s">
        <v>65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T18" s="39"/>
      <c r="AU18" s="97"/>
      <c r="AV18" s="97"/>
      <c r="AW18" s="4"/>
    </row>
    <row r="19" spans="1:51" ht="13.5" thickTop="1" x14ac:dyDescent="0.2">
      <c r="A19" s="4" t="s">
        <v>66</v>
      </c>
      <c r="B19" s="308">
        <v>0.35416666666666669</v>
      </c>
      <c r="C19" s="309"/>
      <c r="D19" s="310"/>
      <c r="E19" s="308">
        <v>0.38541666666666669</v>
      </c>
      <c r="F19" s="309"/>
      <c r="G19" s="310"/>
      <c r="H19" s="308">
        <v>0.41666666666666669</v>
      </c>
      <c r="I19" s="309"/>
      <c r="J19" s="310"/>
      <c r="K19" s="308">
        <v>0.44791666666666669</v>
      </c>
      <c r="L19" s="309"/>
      <c r="M19" s="310"/>
      <c r="N19" s="308">
        <v>0.47916666666666669</v>
      </c>
      <c r="O19" s="309"/>
      <c r="P19" s="310"/>
      <c r="Q19" s="308">
        <v>0.51041666666666663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T19" s="39"/>
      <c r="AU19" s="97"/>
      <c r="AV19" s="97"/>
      <c r="AW19" s="4"/>
    </row>
    <row r="20" spans="1:51" x14ac:dyDescent="0.2">
      <c r="A20" s="41" t="s">
        <v>68</v>
      </c>
      <c r="B20" s="319"/>
      <c r="C20" s="320"/>
      <c r="D20" s="321"/>
      <c r="E20" s="319"/>
      <c r="F20" s="320"/>
      <c r="G20" s="321"/>
      <c r="H20" s="319"/>
      <c r="I20" s="320"/>
      <c r="J20" s="321"/>
      <c r="K20" s="319"/>
      <c r="L20" s="320"/>
      <c r="M20" s="321"/>
      <c r="N20" s="319"/>
      <c r="O20" s="320"/>
      <c r="P20" s="321"/>
      <c r="Q20" s="319"/>
      <c r="R20" s="320"/>
      <c r="S20" s="321"/>
      <c r="T20" s="319"/>
      <c r="U20" s="320"/>
      <c r="V20" s="321"/>
      <c r="W20" s="319"/>
      <c r="X20" s="320"/>
      <c r="Y20" s="321"/>
      <c r="Z20" s="319"/>
      <c r="AA20" s="320"/>
      <c r="AB20" s="321"/>
      <c r="AC20" s="319"/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T20" s="39"/>
      <c r="AU20" s="97"/>
      <c r="AV20" s="97"/>
      <c r="AW20" s="4"/>
    </row>
    <row r="21" spans="1:51" x14ac:dyDescent="0.2">
      <c r="A21" s="41" t="s">
        <v>69</v>
      </c>
      <c r="B21" s="319"/>
      <c r="C21" s="320"/>
      <c r="D21" s="321"/>
      <c r="E21" s="319"/>
      <c r="F21" s="320"/>
      <c r="G21" s="321"/>
      <c r="H21" s="319"/>
      <c r="I21" s="320"/>
      <c r="J21" s="321"/>
      <c r="K21" s="319"/>
      <c r="L21" s="320"/>
      <c r="M21" s="321"/>
      <c r="N21" s="319"/>
      <c r="O21" s="320"/>
      <c r="P21" s="321"/>
      <c r="Q21" s="319"/>
      <c r="R21" s="320"/>
      <c r="S21" s="321"/>
      <c r="T21" s="319"/>
      <c r="U21" s="320"/>
      <c r="V21" s="321"/>
      <c r="W21" s="319"/>
      <c r="X21" s="320"/>
      <c r="Y21" s="321"/>
      <c r="Z21" s="319"/>
      <c r="AA21" s="320"/>
      <c r="AB21" s="321"/>
      <c r="AC21" s="319"/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T21" s="6"/>
      <c r="AU21" s="6"/>
      <c r="AV21" s="6"/>
      <c r="AW21" s="4"/>
    </row>
    <row r="22" spans="1:51" ht="13.5" thickBot="1" x14ac:dyDescent="0.25">
      <c r="A22" s="7"/>
      <c r="B22" s="322" t="s">
        <v>70</v>
      </c>
      <c r="C22" s="323"/>
      <c r="D22" s="324"/>
      <c r="E22" s="322" t="str">
        <f>IF($AK8&gt;1,"Match 2","")</f>
        <v>Match 2</v>
      </c>
      <c r="F22" s="323"/>
      <c r="G22" s="324"/>
      <c r="H22" s="322" t="str">
        <f>IF($AK8&gt;2,"Match 3","")</f>
        <v>Match 3</v>
      </c>
      <c r="I22" s="323"/>
      <c r="J22" s="324"/>
      <c r="K22" s="322" t="str">
        <f>IF($AK8&gt;3,"Match 4","")</f>
        <v>Match 4</v>
      </c>
      <c r="L22" s="323"/>
      <c r="M22" s="324"/>
      <c r="N22" s="322" t="str">
        <f>IF($AK8&gt;4,"Match 5","")</f>
        <v>Match 5</v>
      </c>
      <c r="O22" s="323"/>
      <c r="P22" s="324"/>
      <c r="Q22" s="322" t="str">
        <f>IF($AK8&gt;5,"Match 6","")</f>
        <v>Match 6</v>
      </c>
      <c r="R22" s="323"/>
      <c r="S22" s="324"/>
      <c r="T22" s="322" t="str">
        <f>IF($AK8&gt;6,"Match 7","")</f>
        <v>Match 7</v>
      </c>
      <c r="U22" s="323"/>
      <c r="V22" s="324"/>
      <c r="W22" s="322" t="str">
        <f>IF($AK8&gt;7,"Match 8","")</f>
        <v>Match 8</v>
      </c>
      <c r="X22" s="323"/>
      <c r="Y22" s="324"/>
      <c r="Z22" s="322" t="str">
        <f>IF($AK8&gt;8,"Match 9","")</f>
        <v>Match 9</v>
      </c>
      <c r="AA22" s="323"/>
      <c r="AB22" s="324"/>
      <c r="AC22" s="322" t="str">
        <f>IF($AK8&gt;9,"Match 10","")</f>
        <v>Match 10</v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T22" s="39"/>
      <c r="AU22" s="97"/>
      <c r="AV22" s="97"/>
      <c r="AW22" s="4"/>
    </row>
    <row r="23" spans="1:51" ht="15.75" x14ac:dyDescent="0.25">
      <c r="A23" s="7"/>
      <c r="B23" s="325" t="s">
        <v>71</v>
      </c>
      <c r="C23" s="326"/>
      <c r="D23" s="327"/>
      <c r="E23" s="325" t="s">
        <v>72</v>
      </c>
      <c r="F23" s="326"/>
      <c r="G23" s="327"/>
      <c r="H23" s="325" t="s">
        <v>73</v>
      </c>
      <c r="I23" s="326"/>
      <c r="J23" s="327"/>
      <c r="K23" s="325" t="s">
        <v>74</v>
      </c>
      <c r="L23" s="326"/>
      <c r="M23" s="327"/>
      <c r="N23" s="325" t="s">
        <v>75</v>
      </c>
      <c r="O23" s="326"/>
      <c r="P23" s="327"/>
      <c r="Q23" s="325" t="s">
        <v>73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74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9"/>
      <c r="AU23" s="97"/>
      <c r="AV23" s="97"/>
      <c r="AW23" s="97"/>
      <c r="AX23" s="97"/>
      <c r="AY23" s="97"/>
    </row>
    <row r="24" spans="1:51" ht="15.75" x14ac:dyDescent="0.25">
      <c r="A24" s="7"/>
      <c r="B24" s="45">
        <v>2</v>
      </c>
      <c r="C24" s="46" t="s">
        <v>78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2" t="str">
        <f>IF($AK9&gt;0,"Team 1","")</f>
        <v>Team 1</v>
      </c>
      <c r="AG24" s="48" t="str">
        <f>IF($AK9&lt;1,"",IF($AK8&lt;1,"",IF(B24=1,B30-D30,IF(D24=1,D30-B30,""))))</f>
        <v/>
      </c>
      <c r="AH24" s="48">
        <f>IF($AK9&lt;1,"",IF($AK8&lt;2,"",IF(E24=1,E30-G30,IF(G24=1,G30-E30,""))))</f>
        <v>13</v>
      </c>
      <c r="AI24" s="48" t="str">
        <f>IF($AK9&lt;1,"",IF($AK8&lt;3,"",IF(H24=1,H30-J30,IF(J24=1,J30-H30,""))))</f>
        <v/>
      </c>
      <c r="AJ24" s="48" t="str">
        <f>IF($AK9&lt;1,"",IF($AK8&lt;4,"",IF(K24=1,K30-M30,IF(M24=1,M30-K30,""))))</f>
        <v/>
      </c>
      <c r="AK24" s="48">
        <f>IF($AK9&lt;1,"",IF($AK8&lt;5,"",IF(N24=1,N30-P30,IF(P24=1,P30-N30,""))))</f>
        <v>-2</v>
      </c>
      <c r="AL24" s="48" t="str">
        <f>IF($AK9&lt;1,"",IF($AK8&lt;6,"",IF(Q24=1,Q30-S30,IF(S24=1,S30-Q30,""))))</f>
        <v/>
      </c>
      <c r="AM24" s="48" t="str">
        <f>IF($AK9&lt;1,"",IF($AK8&lt;7,"",IF(T24=1,T30-V30,IF(V24=1,V30-T30,""))))</f>
        <v/>
      </c>
      <c r="AN24" s="48">
        <f>IF($AK9&lt;1,"",IF($AK8&lt;8,"",IF(W24=1,W30-Y30,IF(Y24=1,Y30-W30,""))))</f>
        <v>7</v>
      </c>
      <c r="AO24" s="48" t="str">
        <f>IF($AK9&lt;1,"",IF($AK8&lt;9,"",IF(Z24=1,Z30-AB30,IF(AB24=1,AB30-Z30,""))))</f>
        <v/>
      </c>
      <c r="AP24" s="48">
        <f>IF($AK9&lt;1,"",IF($AK8&lt;10,"",IF(AC24=1,AC30-AE30,IF(AE24=1,AE30-AC30,""))))</f>
        <v>8</v>
      </c>
      <c r="AQ24" s="44">
        <f>SUM(AG24:AP24)</f>
        <v>26</v>
      </c>
      <c r="AT24" s="39"/>
      <c r="AU24" s="97"/>
      <c r="AV24" s="97"/>
      <c r="AW24" s="97"/>
      <c r="AX24" s="97"/>
      <c r="AY24" s="97"/>
    </row>
    <row r="25" spans="1:51" ht="15" x14ac:dyDescent="0.2">
      <c r="A25" s="4" t="s">
        <v>79</v>
      </c>
      <c r="B25" s="49">
        <v>25</v>
      </c>
      <c r="C25" s="50" t="s">
        <v>80</v>
      </c>
      <c r="D25" s="51">
        <v>18</v>
      </c>
      <c r="E25" s="49">
        <v>25</v>
      </c>
      <c r="F25" s="50" t="str">
        <f>IF($AK8&gt;1,"/","")</f>
        <v>/</v>
      </c>
      <c r="G25" s="51">
        <v>17</v>
      </c>
      <c r="H25" s="49">
        <v>27</v>
      </c>
      <c r="I25" s="50" t="str">
        <f>IF($AK8&gt;2,"/","")</f>
        <v>/</v>
      </c>
      <c r="J25" s="51">
        <v>25</v>
      </c>
      <c r="K25" s="49">
        <v>25</v>
      </c>
      <c r="L25" s="50" t="str">
        <f>IF($AK8&gt;3,"/","")</f>
        <v>/</v>
      </c>
      <c r="M25" s="51">
        <v>9</v>
      </c>
      <c r="N25" s="49">
        <v>25</v>
      </c>
      <c r="O25" s="50" t="str">
        <f>IF($AK8&gt;4,"/","")</f>
        <v>/</v>
      </c>
      <c r="P25" s="51">
        <v>21</v>
      </c>
      <c r="Q25" s="49">
        <v>20</v>
      </c>
      <c r="R25" s="50" t="str">
        <f>IF($AK8&gt;5,"/","")</f>
        <v>/</v>
      </c>
      <c r="S25" s="51">
        <v>25</v>
      </c>
      <c r="T25" s="49">
        <v>17</v>
      </c>
      <c r="U25" s="50" t="str">
        <f>IF($AK8&gt;6,"/","")</f>
        <v>/</v>
      </c>
      <c r="V25" s="51">
        <v>25</v>
      </c>
      <c r="W25" s="49">
        <v>25</v>
      </c>
      <c r="X25" s="50" t="str">
        <f>IF($AK8&gt;7,"/","")</f>
        <v>/</v>
      </c>
      <c r="Y25" s="51">
        <v>22</v>
      </c>
      <c r="Z25" s="49">
        <v>25</v>
      </c>
      <c r="AA25" s="50" t="str">
        <f>IF($AK8&gt;8,"/","")</f>
        <v>/</v>
      </c>
      <c r="AB25" s="51">
        <v>14</v>
      </c>
      <c r="AC25" s="49">
        <v>25</v>
      </c>
      <c r="AD25" s="50" t="str">
        <f>IF($AK8&gt;9,"/","")</f>
        <v>/</v>
      </c>
      <c r="AE25" s="51">
        <v>23</v>
      </c>
      <c r="AF25" s="42" t="str">
        <f>IF($AK9&gt;1,"Team 2","")</f>
        <v>Team 2</v>
      </c>
      <c r="AG25" s="48">
        <f>IF($AK9&lt;2,"",IF($AK8&lt;1,"",IF(B24=2,B30-D30,IF(D24=2,D30-B30,""))))</f>
        <v>24</v>
      </c>
      <c r="AH25" s="48" t="str">
        <f>IF($AK9&lt;2,"",IF($AK8&lt;2,"",IF(E24=2,E30-G30,IF(G24=2,G30-E30,""))))</f>
        <v/>
      </c>
      <c r="AI25" s="48" t="str">
        <f>IF($AK9&lt;2,"",IF($AK8&lt;3,"",IF(H24=2,H30-J30,IF(J24=2,J30-H30,""))))</f>
        <v/>
      </c>
      <c r="AJ25" s="48">
        <f>IF($AK9&lt;2,"",IF($AK8&lt;4,"",IF(K24=2,K30-M30,IF(M24=2,M30-K30,""))))</f>
        <v>32</v>
      </c>
      <c r="AK25" s="48" t="str">
        <f>IF($AK9&lt;2,"",IF($AK8&lt;5,"",IF(N24=2,N30-P30,IF(P24=2,P30-N30,""))))</f>
        <v/>
      </c>
      <c r="AL25" s="48" t="str">
        <f>IF($AK9&lt;2,"",IF($AK8&lt;6,"",IF(Q24=2,Q30-S30,IF(S24=2,S30-Q30,""))))</f>
        <v/>
      </c>
      <c r="AM25" s="48">
        <f>IF($AK9&lt;2,"",IF($AK8&lt;7,"",IF(T24=2,T30-V30,IF(V24=2,V30-T30,""))))</f>
        <v>0</v>
      </c>
      <c r="AN25" s="48" t="str">
        <f>IF($AK9&lt;2,"",IF($AK8&lt;8,"",IF(W24=2,W30-Y30,IF(Y24=2,Y30-W30,""))))</f>
        <v/>
      </c>
      <c r="AO25" s="48" t="str">
        <f>IF($AK9&lt;2,"",IF($AK8&lt;9,"",IF(Z24=2,Z30-AB30,IF(AB24=2,AB30-Z30,""))))</f>
        <v/>
      </c>
      <c r="AP25" s="48">
        <f>IF($AK9&lt;2,"",IF($AK8&lt;10,"",IF(AC24=2,AC30-AE30,IF(AE24=2,AE30-AC30,""))))</f>
        <v>-8</v>
      </c>
      <c r="AQ25" s="44">
        <f>SUM(AG25:AP25)</f>
        <v>48</v>
      </c>
      <c r="AW25" s="4"/>
    </row>
    <row r="26" spans="1:51" ht="15" x14ac:dyDescent="0.2">
      <c r="A26" s="3" t="str">
        <f>IF($AK7&gt;1,"Game 2","")</f>
        <v>Game 2</v>
      </c>
      <c r="B26" s="49">
        <v>25</v>
      </c>
      <c r="C26" s="50" t="s">
        <v>80</v>
      </c>
      <c r="D26" s="51">
        <v>8</v>
      </c>
      <c r="E26" s="49">
        <v>25</v>
      </c>
      <c r="F26" s="50" t="str">
        <f>IF($AK8&gt;1,IF($AK7&gt;1,"/",""),"")</f>
        <v>/</v>
      </c>
      <c r="G26" s="51">
        <v>20</v>
      </c>
      <c r="H26" s="49">
        <v>25</v>
      </c>
      <c r="I26" s="50" t="str">
        <f>IF($AK8&gt;2,IF($AK7&gt;1,"/",""),"")</f>
        <v>/</v>
      </c>
      <c r="J26" s="51">
        <v>14</v>
      </c>
      <c r="K26" s="49">
        <v>25</v>
      </c>
      <c r="L26" s="50" t="str">
        <f>IF($AK8&gt;3,IF($AK7&gt;1,"/",""),"")</f>
        <v>/</v>
      </c>
      <c r="M26" s="51">
        <v>9</v>
      </c>
      <c r="N26" s="49">
        <v>19</v>
      </c>
      <c r="O26" s="50" t="str">
        <f>IF($AK8&gt;4,IF($AK7&gt;1,"/",""),"")</f>
        <v>/</v>
      </c>
      <c r="P26" s="51">
        <v>25</v>
      </c>
      <c r="Q26" s="49">
        <v>19</v>
      </c>
      <c r="R26" s="50" t="str">
        <f>IF($AK8&gt;5,IF($AK7&gt;1,"/",""),"")</f>
        <v>/</v>
      </c>
      <c r="S26" s="51">
        <v>25</v>
      </c>
      <c r="T26" s="49">
        <v>25</v>
      </c>
      <c r="U26" s="50" t="str">
        <f>IF($AK8&gt;6,IF($AK7&gt;1,"/",""),"")</f>
        <v>/</v>
      </c>
      <c r="V26" s="51">
        <v>17</v>
      </c>
      <c r="W26" s="49">
        <v>25</v>
      </c>
      <c r="X26" s="50" t="str">
        <f>IF($AK8&gt;7,IF($AK7&gt;1,"/",""),"")</f>
        <v>/</v>
      </c>
      <c r="Y26" s="51">
        <v>21</v>
      </c>
      <c r="Z26" s="49">
        <v>25</v>
      </c>
      <c r="AA26" s="50" t="str">
        <f>IF($AK8&gt;8,IF($AK7&gt;1,"/",""),"")</f>
        <v>/</v>
      </c>
      <c r="AB26" s="51">
        <v>10</v>
      </c>
      <c r="AC26" s="49">
        <v>25</v>
      </c>
      <c r="AD26" s="50" t="str">
        <f>IF($AK8&gt;9,IF($AK7&gt;1,"/",""),"")</f>
        <v>/</v>
      </c>
      <c r="AE26" s="51">
        <v>19</v>
      </c>
      <c r="AF26" s="42" t="str">
        <f>IF($AK9&gt;2,"Team 3","")</f>
        <v>Team 3</v>
      </c>
      <c r="AG26" s="48" t="str">
        <f>IF($AK9&lt;3,"",IF($AK8&lt;1,"",IF(B24=3,B30-D30,IF(D24=3,D30-B30,""))))</f>
        <v/>
      </c>
      <c r="AH26" s="48" t="str">
        <f>IF($AK9&lt;3,"",IF($AK8&lt;2,"",IF(E24=3,E30-G30,IF(G24=3,G30-E30,""))))</f>
        <v/>
      </c>
      <c r="AI26" s="48">
        <f>IF($AK9&lt;3,"",IF($AK8&lt;3,"",IF(H24=3,H30-J30,IF(J24=3,J30-H30,""))))</f>
        <v>13</v>
      </c>
      <c r="AJ26" s="48" t="str">
        <f>IF($AK9&lt;3,"",IF($AK8&lt;4,"",IF(K24=3,K30-M30,IF(M24=3,M30-K30,""))))</f>
        <v/>
      </c>
      <c r="AK26" s="48">
        <f>IF($AK9&lt;3,"",IF($AK8&lt;5,"",IF(N24=3,N30-P30,IF(P24=3,P30-N30,""))))</f>
        <v>2</v>
      </c>
      <c r="AL26" s="48" t="str">
        <f>IF($AK9&lt;3,"",IF($AK8&lt;6,"",IF(Q24=3,Q30-S30,IF(S24=3,S30-Q30,""))))</f>
        <v/>
      </c>
      <c r="AM26" s="48">
        <f>IF($AK9&lt;3,"",IF($AK8&lt;7,"",IF(T24=3,T30-V30,IF(V24=3,V30-T30,""))))</f>
        <v>0</v>
      </c>
      <c r="AN26" s="48" t="str">
        <f>IF($AK9&lt;3,"",IF($AK8&lt;8,"",IF(W24=3,W30-Y30,IF(Y24=3,Y30-W30,""))))</f>
        <v/>
      </c>
      <c r="AO26" s="48">
        <f>IF($AK9&lt;3,"",IF($AK8&lt;9,"",IF(Z24=3,Z30-AB30,IF(AB24=3,AB30-Z30,""))))</f>
        <v>26</v>
      </c>
      <c r="AP26" s="48" t="str">
        <f>IF($AK9&lt;3,"",IF($AK8&lt;9,"",IF(AC24=3,AC30-AE30,IF(AE24=3,AE30-AC30,""))))</f>
        <v/>
      </c>
      <c r="AQ26" s="44">
        <f>SUM(AG26:AP26)</f>
        <v>41</v>
      </c>
      <c r="AW26" s="4"/>
    </row>
    <row r="27" spans="1:51" ht="15" x14ac:dyDescent="0.2">
      <c r="A27" s="3" t="str">
        <f>IF($AK7&gt;2,"Game 3","")</f>
        <v/>
      </c>
      <c r="B27" s="49"/>
      <c r="C27" s="50" t="s">
        <v>80</v>
      </c>
      <c r="D27" s="51"/>
      <c r="E27" s="49"/>
      <c r="F27" s="50" t="str">
        <f>IF($AK8&gt;1,IF($AK7&gt;2,"/",""),"")</f>
        <v/>
      </c>
      <c r="G27" s="51"/>
      <c r="H27" s="49"/>
      <c r="I27" s="50" t="str">
        <f>IF($AK8&gt;2,IF($AK7&gt;2,"/",""),"")</f>
        <v/>
      </c>
      <c r="J27" s="51"/>
      <c r="K27" s="49"/>
      <c r="L27" s="50" t="str">
        <f>IF($AK8&gt;3,IF($AK7&gt;2,"/",""),"")</f>
        <v/>
      </c>
      <c r="M27" s="51"/>
      <c r="N27" s="49"/>
      <c r="O27" s="50" t="str">
        <f>IF($AK8&gt;4,IF($AK7&gt;2,"/",""),"")</f>
        <v/>
      </c>
      <c r="P27" s="51"/>
      <c r="Q27" s="49"/>
      <c r="R27" s="50" t="str">
        <f>IF($AK8&gt;5,IF($AK7&gt;2,"/",""),"")</f>
        <v/>
      </c>
      <c r="S27" s="51"/>
      <c r="T27" s="49"/>
      <c r="U27" s="50" t="str">
        <f>IF($AK8&gt;6,IF($AK7&gt;2,"/",""),"")</f>
        <v/>
      </c>
      <c r="V27" s="51"/>
      <c r="W27" s="49"/>
      <c r="X27" s="50" t="str">
        <f>IF($AK8&gt;7,IF($AK7&gt;2,"/",""),"")</f>
        <v/>
      </c>
      <c r="Y27" s="51"/>
      <c r="Z27" s="49"/>
      <c r="AA27" s="50" t="str">
        <f>IF($AK8&gt;8,IF($AK7&gt;2,"/",""),"")</f>
        <v/>
      </c>
      <c r="AB27" s="51"/>
      <c r="AC27" s="49"/>
      <c r="AD27" s="50" t="str">
        <f>IF($AK8&gt;9,IF($AK7&gt;2,"/",""),"")</f>
        <v/>
      </c>
      <c r="AE27" s="51"/>
      <c r="AF27" s="42" t="str">
        <f>IF($AK9&gt;3,"Team 4","")</f>
        <v>Team 4</v>
      </c>
      <c r="AG27" s="48" t="str">
        <f>IF($AK9&lt;4,"",IF($AK8&lt;1,"",IF(B24=4,B30-D30,IF(D24=4,D30-B30,""))))</f>
        <v/>
      </c>
      <c r="AH27" s="48">
        <f>IF($AK9&lt;4,"",IF($AK8&lt;2,"",IF(E24=4,E30-G30,IF(G24=4,G30-E30,""))))</f>
        <v>-13</v>
      </c>
      <c r="AI27" s="48" t="str">
        <f>IF($AK9&lt;4,"",IF($AK8&lt;3,"",IF(H24=4,H30-J30,IF(J24=4,J30-H30,""))))</f>
        <v/>
      </c>
      <c r="AJ27" s="48">
        <f>IF($AK9&lt;4,"",IF($AK8&lt;4,"",IF(K24=4,K30-M30,IF(M24=4,M30-K30,""))))</f>
        <v>-32</v>
      </c>
      <c r="AK27" s="48" t="str">
        <f>IF($AK9&lt;4,"",IF($AK8&lt;5,"",IF(N24=4,N30-P30,IF(P24=4,P30-N30,""))))</f>
        <v/>
      </c>
      <c r="AL27" s="48">
        <f>IF($AK9&lt;4,"",IF($AK8&lt;6,"",IF(Q24=4,Q30-S30,IF(S24=4,S30-Q30,""))))</f>
        <v>-11</v>
      </c>
      <c r="AM27" s="48" t="str">
        <f>IF($AK9&lt;4,"",IF($AK8&lt;7,"",IF(T24=4,T30-V30,IF(V24=4,V30-T30,""))))</f>
        <v/>
      </c>
      <c r="AN27" s="48" t="str">
        <f>IF($AK9&lt;4,"",IF($AK8&lt;8,"",IF(W24=4,W30-Y30,IF(Y24=4,Y30-W30,""))))</f>
        <v/>
      </c>
      <c r="AO27" s="48">
        <f>IF($AK9&lt;4,"",IF($AK8&lt;9,"",IF(Z24=4,Z30-AB30,IF(AB24=4,AB30-Z30,""))))</f>
        <v>-26</v>
      </c>
      <c r="AP27" s="48" t="str">
        <f>IF($AK9&lt;4,"",IF($AK8&lt;10,"",IF(AC24=4,AC30-AE30,IF(AE24=4,AE30-AC30,""))))</f>
        <v/>
      </c>
      <c r="AQ27" s="44">
        <f>SUM(AG27:AP27)</f>
        <v>-82</v>
      </c>
      <c r="AW27" s="4"/>
    </row>
    <row r="28" spans="1:51" ht="15" x14ac:dyDescent="0.2">
      <c r="A28" s="3" t="str">
        <f>IF($AK7&gt;3,"Game 4","")</f>
        <v/>
      </c>
      <c r="B28" s="49"/>
      <c r="C28" s="50" t="s">
        <v>80</v>
      </c>
      <c r="D28" s="51"/>
      <c r="E28" s="49"/>
      <c r="F28" s="50" t="str">
        <f>IF($AK8&gt;1,IF($AK7&gt;3,"/",""),"")</f>
        <v/>
      </c>
      <c r="G28" s="51"/>
      <c r="H28" s="49"/>
      <c r="I28" s="50" t="str">
        <f>IF($AK8&gt;2,IF($AK7&gt;3,"/",""),"")</f>
        <v/>
      </c>
      <c r="J28" s="51"/>
      <c r="K28" s="49"/>
      <c r="L28" s="50" t="str">
        <f>IF($AK8&gt;3,IF($AK7&gt;3,"/",""),"")</f>
        <v/>
      </c>
      <c r="M28" s="51"/>
      <c r="N28" s="49"/>
      <c r="O28" s="50" t="str">
        <f>IF($AK8&gt;4,IF($AK7&gt;3,"/",""),"")</f>
        <v/>
      </c>
      <c r="P28" s="51"/>
      <c r="Q28" s="49"/>
      <c r="R28" s="50" t="str">
        <f>IF($AK8&gt;5,IF($AK7&gt;3,"/",""),"")</f>
        <v/>
      </c>
      <c r="S28" s="51"/>
      <c r="T28" s="49"/>
      <c r="U28" s="50" t="str">
        <f>IF($AK8&gt;6,IF($AK7&gt;3,"/",""),"")</f>
        <v/>
      </c>
      <c r="V28" s="51"/>
      <c r="W28" s="49"/>
      <c r="X28" s="50" t="str">
        <f>IF($AK8&gt;7,IF($AK7&gt;3,"/",""),"")</f>
        <v/>
      </c>
      <c r="Y28" s="51"/>
      <c r="Z28" s="49"/>
      <c r="AA28" s="50" t="str">
        <f>IF($AK8&gt;8,IF($AK7&gt;3,"/",""),"")</f>
        <v/>
      </c>
      <c r="AB28" s="51"/>
      <c r="AC28" s="49"/>
      <c r="AD28" s="50" t="str">
        <f>IF($AK8&gt;9,IF($AK7&gt;3,"/",""),"")</f>
        <v/>
      </c>
      <c r="AE28" s="51"/>
      <c r="AF28" s="42" t="str">
        <f>IF($AK9&gt;4,"Team 5","")</f>
        <v>Team 5</v>
      </c>
      <c r="AG28" s="52">
        <f>IF($AK9&lt;5,"",IF($AK8&lt;1,"",IF(B24=5,B30-D30,IF(D24=5,D30-B30,""))))</f>
        <v>-24</v>
      </c>
      <c r="AH28" s="48" t="str">
        <f>IF($AK9&lt;5,"",IF($AK8&lt;2,"",IF(E24=5,E30-G30,IF(G24=5,G30-E30,""))))</f>
        <v/>
      </c>
      <c r="AI28" s="48">
        <f>IF($AK9&lt;5,"",IF($AK8&lt;3,"",IF(H24=5,H30-J30,IF(J24=5,J30-H30,""))))</f>
        <v>-13</v>
      </c>
      <c r="AJ28" s="48" t="str">
        <f>IF($AK9&lt;5,"",IF($AK8&lt;4,"",IF(K24=5,K30-M30,IF(M24=5,M30-K30,""))))</f>
        <v/>
      </c>
      <c r="AK28" s="48" t="str">
        <f>IF($AK9&lt;5,"",IF($AK8&lt;5,"",IF(N24=5,N30-P30,IF(P24=5,P30-N30,""))))</f>
        <v/>
      </c>
      <c r="AL28" s="48">
        <f>IF($AK9&lt;5,"",IF($AK8&lt;6,"",IF(Q24=5,Q30-S30,IF(S24=5,S30-Q30,""))))</f>
        <v>11</v>
      </c>
      <c r="AM28" s="48" t="str">
        <f>IF($AK9&lt;5,"",IF($AK8&lt;7,"",IF(T24=5,T30-V30,IF(V24=5,V30-T30,""))))</f>
        <v/>
      </c>
      <c r="AN28" s="48">
        <f>IF($AK9&lt;5,"",IF($AK8&lt;8,"",IF(W24=5,W30-Y30,IF(Y24=5,Y30-W30,""))))</f>
        <v>-7</v>
      </c>
      <c r="AO28" s="48" t="str">
        <f>IF($AK9&lt;5,"",IF($AK8&lt;9,"",IF(Z24=5,Z30-AB30,IF(AB24=5,AB30-Z30,""))))</f>
        <v/>
      </c>
      <c r="AP28" s="48" t="str">
        <f>IF($AK9&lt;5,"",IF($AK8&lt;10,"",IF(AC24=5,AC30-AE30,IF(AE24=5,AE30-AC30,""))))</f>
        <v/>
      </c>
      <c r="AQ28" s="44">
        <f>SUM(AG28:AP28)</f>
        <v>-33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49"/>
      <c r="C29" s="50" t="s">
        <v>80</v>
      </c>
      <c r="D29" s="51"/>
      <c r="E29" s="49"/>
      <c r="F29" s="50" t="str">
        <f>IF($AK8&gt;1,IF($AK7&gt;4,"/",""),"")</f>
        <v/>
      </c>
      <c r="G29" s="51"/>
      <c r="H29" s="49"/>
      <c r="I29" s="50" t="str">
        <f>IF($AK8&gt;2,IF($AK7&gt;4,"/",""),"")</f>
        <v/>
      </c>
      <c r="J29" s="51"/>
      <c r="K29" s="49"/>
      <c r="L29" s="50" t="str">
        <f>IF($AK8&gt;3,IF($AK7&gt;4,"/",""),"")</f>
        <v/>
      </c>
      <c r="M29" s="51"/>
      <c r="N29" s="49"/>
      <c r="O29" s="50" t="str">
        <f>IF($AK8&gt;4,IF($AK7&gt;4,"/",""),"")</f>
        <v/>
      </c>
      <c r="P29" s="51"/>
      <c r="Q29" s="49"/>
      <c r="R29" s="50" t="str">
        <f>IF($AK8&gt;5,IF($AK7&gt;4,"/",""),"")</f>
        <v/>
      </c>
      <c r="S29" s="51"/>
      <c r="T29" s="49"/>
      <c r="U29" s="50" t="str">
        <f>IF($AK8&gt;6,IF($AK7&gt;4,"/",""),"")</f>
        <v/>
      </c>
      <c r="V29" s="51"/>
      <c r="W29" s="49"/>
      <c r="X29" s="50" t="str">
        <f>IF($AK8&gt;7,IF($AK7&gt;4,"/",""),"")</f>
        <v/>
      </c>
      <c r="Y29" s="51"/>
      <c r="Z29" s="49"/>
      <c r="AA29" s="50" t="str">
        <f>IF($AK8&gt;8,IF($AK7&gt;4,"/",""),"")</f>
        <v/>
      </c>
      <c r="AB29" s="51"/>
      <c r="AC29" s="49"/>
      <c r="AD29" s="50" t="str">
        <f>IF($AK8&gt;9,IF($AK7&gt;4,"/",""),"")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3"/>
      <c r="B30" s="53">
        <f>IF($AK7=5,SUM(B25:B29),IF($AK7=4,SUM(B25:B28),IF($AK7=3,SUM(B25:B27),IF($AK7=2,SUM(B25:B26),B25))))</f>
        <v>50</v>
      </c>
      <c r="C30" s="53"/>
      <c r="D30" s="53">
        <f>IF($AK7=5,SUM(D25:D29),IF($AK7=4,SUM(D25:D28),IF($AK7=3,SUM(D25:D27),IF($AK7=2,SUM(D25:D26),D25))))</f>
        <v>26</v>
      </c>
      <c r="E30" s="53">
        <f>IF($AK7=5,SUM(E25:E29),IF($AK7=4,SUM(E25:E28),IF($AK7=3,SUM(E25:E27),IF($AK7=2,SUM(E25:E26),E25))))</f>
        <v>50</v>
      </c>
      <c r="F30" s="53"/>
      <c r="G30" s="53">
        <f>IF($AK7=5,SUM(G25:G29),IF($AK7=4,SUM(G25:G28),IF($AK7=3,SUM(G25:G27),IF($AK7=2,SUM(G25:G26),G25))))</f>
        <v>37</v>
      </c>
      <c r="H30" s="53">
        <f>IF($AK7=5,SUM(H25:H29),IF($AK7=4,SUM(H25:H28),IF($AK7=3,SUM(H25:H27),IF($AK7=2,SUM(H25:H26),H25))))</f>
        <v>52</v>
      </c>
      <c r="I30" s="53"/>
      <c r="J30" s="53">
        <f>IF($AK7=5,SUM(J25:J29),IF($AK7=4,SUM(J25:J28),IF($AK7=3,SUM(J25:J27),IF($AK7=2,SUM(J25:J26),J25))))</f>
        <v>39</v>
      </c>
      <c r="K30" s="53">
        <f>IF($AK7=5,SUM(K25:K29),IF($AK7=4,SUM(K25:K28),IF($AK7=3,SUM(K25:K27),IF($AK7=2,SUM(K25:K26),K25))))</f>
        <v>50</v>
      </c>
      <c r="L30" s="53"/>
      <c r="M30" s="53">
        <f>IF($AK7=5,SUM(M25:M29),IF($AK7=4,SUM(M25:M28),IF($AK7=3,SUM(M25:M27),IF($AK7=2,SUM(M25:M26),M25))))</f>
        <v>18</v>
      </c>
      <c r="N30" s="53">
        <f>IF($AK7=5,SUM(N25:N29),IF($AK7=4,SUM(N25:N28),IF($AK7=3,SUM(N25:N27),IF($AK7=2,SUM(N25:N26),N25))))</f>
        <v>44</v>
      </c>
      <c r="O30" s="53"/>
      <c r="P30" s="53">
        <f>IF($AK7=5,SUM(P25:P29),IF($AK7=4,SUM(P25:P28),IF($AK7=3,SUM(P25:P27),IF($AK7=2,SUM(P25:P26),P25))))</f>
        <v>46</v>
      </c>
      <c r="Q30" s="53">
        <f>IF($AK7=5,SUM(Q25:Q29),IF($AK7=4,SUM(Q25:Q28),IF($AK7=3,SUM(Q25:Q27),IF($AK7=2,SUM(Q25:Q26),Q25))))</f>
        <v>39</v>
      </c>
      <c r="R30" s="53"/>
      <c r="S30" s="53">
        <f>IF($AK7=5,SUM(S25:S29),IF($AK7=4,SUM(S25:S28),IF($AK7=3,SUM(S25:S27),IF($AK7=2,SUM(S25:S26),S25))))</f>
        <v>50</v>
      </c>
      <c r="T30" s="53">
        <f>IF($AK7=5,SUM(T25:T29),IF($AK7=4,SUM(T25:T28),IF($AK7=3,SUM(T25:T27),IF($AK7=2,SUM(T25:T26),T25))))</f>
        <v>42</v>
      </c>
      <c r="U30" s="53"/>
      <c r="V30" s="53">
        <f>IF($AK7=5,SUM(V25:V29),IF($AK7=4,SUM(V25:V28),IF($AK7=3,SUM(V25:V27),IF($AK7=2,SUM(V25:V26),V25))))</f>
        <v>42</v>
      </c>
      <c r="W30" s="53">
        <f>IF($AK7=5,SUM(W25:W29),IF($AK7=4,SUM(W25:W28),IF($AK7=3,SUM(W25:W27),IF($AK7=2,SUM(W25:W26),W25))))</f>
        <v>50</v>
      </c>
      <c r="X30" s="53"/>
      <c r="Y30" s="53">
        <f>IF($AK7=5,SUM(Y25:Y29),IF($AK7=4,SUM(Y25:Y28),IF($AK7=3,SUM(Y25:Y27),IF($AK7=2,SUM(Y25:Y26),Y25))))</f>
        <v>43</v>
      </c>
      <c r="Z30" s="53">
        <f>IF($AK7=5,SUM(Z25:Z29),IF($AK7=4,SUM(Z25:Z28),IF($AK7=3,SUM(Z25:Z27),IF($AK7=2,SUM(Z25:Z26),Z25))))</f>
        <v>50</v>
      </c>
      <c r="AA30" s="53"/>
      <c r="AB30" s="53">
        <f>IF($AK7=5,SUM(AB25:AB29),IF($AK7=4,SUM(AB25:AB28),IF($AK7=3,SUM(AB25:AB27),IF($AK7=2,SUM(AB25:AB26),AB25))))</f>
        <v>24</v>
      </c>
      <c r="AC30" s="53">
        <f>IF($AK7=5,SUM(AC25:AC29),IF($AK7=4,SUM(AC25:AC28),IF($AK7=3,SUM(AC25:AC27),IF($AK7=2,SUM(AC25:AC26),AC25))))</f>
        <v>50</v>
      </c>
      <c r="AD30" s="53"/>
      <c r="AE30" s="53">
        <f>IF($AK7=5,SUM(AE25:AE29),IF($AK7=4,SUM(AE25:AE28),IF($AK7=3,SUM(AE25:AE27),IF($AK7=2,SUM(AE25:AE26),AE25))))</f>
        <v>42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5" customFormat="1" ht="12.75" hidden="1" customHeight="1" x14ac:dyDescent="0.2">
      <c r="A31" s="55" t="s">
        <v>81</v>
      </c>
      <c r="B31" s="56">
        <f>IF(AND(B25&gt;D25,$AK8&gt;0,ISNUMBER(B25),ISNUMBER(D25)),1,0)</f>
        <v>1</v>
      </c>
      <c r="C31" s="56"/>
      <c r="D31" s="57">
        <f>IF(AND(D25&gt;B25,$AK8&gt;0,ISNUMBER(B25),ISNUMBER(D25)),1,0)</f>
        <v>0</v>
      </c>
      <c r="E31" s="56">
        <f>IF(AND(E25&gt;G25,$AK8&gt;1,ISNUMBER(E25),ISNUMBER(G25)),1,0)</f>
        <v>1</v>
      </c>
      <c r="F31" s="56"/>
      <c r="G31" s="57">
        <f>IF(AND(G25&gt;E25,$AK8&gt;1,ISNUMBER(E25),ISNUMBER(G25)),1,0)</f>
        <v>0</v>
      </c>
      <c r="H31" s="56">
        <f>IF(AND(H25&gt;J25,$AK8&gt;2,ISNUMBER(H25),ISNUMBER(J25)),1,0)</f>
        <v>1</v>
      </c>
      <c r="I31" s="56"/>
      <c r="J31" s="57">
        <f>IF(AND(J25&gt;H25,$AK8&gt;2,ISNUMBER(H25),ISNUMBER(J25)),1,0)</f>
        <v>0</v>
      </c>
      <c r="K31" s="56">
        <f>IF(AND(K25&gt;M25,$AK8&gt;3,ISNUMBER(K25),ISNUMBER(M25)),1,0)</f>
        <v>1</v>
      </c>
      <c r="L31" s="56"/>
      <c r="M31" s="57">
        <f>IF(AND(M25&gt;K25,$AK8&gt;3,ISNUMBER(K25),ISNUMBER(M25)),1,0)</f>
        <v>0</v>
      </c>
      <c r="N31" s="56">
        <f>IF(AND(N25&gt;P25,$AK8&gt;4,ISNUMBER(N25),ISNUMBER(P25)),1,0)</f>
        <v>1</v>
      </c>
      <c r="O31" s="56"/>
      <c r="P31" s="57">
        <f>IF(AND(P25&gt;N25,$AK8&gt;4,ISNUMBER(N25),ISNUMBER(P25)),1,0)</f>
        <v>0</v>
      </c>
      <c r="Q31" s="56">
        <f>IF(AND(Q25&gt;S25,$AK8&gt;5,ISNUMBER(Q25),ISNUMBER(S25)),1,0)</f>
        <v>0</v>
      </c>
      <c r="R31" s="56"/>
      <c r="S31" s="57">
        <f>IF(AND(S25&gt;Q25,$AK8&gt;5,ISNUMBER(Q25),ISNUMBER(S25)),1,0)</f>
        <v>1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1</v>
      </c>
      <c r="W31" s="56">
        <f>IF(AND(W25&gt;Y25,$AK8&gt;7,ISNUMBER(W25),ISNUMBER(Y25)),1,0)</f>
        <v>1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1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1</v>
      </c>
      <c r="AD31" s="56"/>
      <c r="AE31" s="57">
        <f>IF(AND(AE25&gt;AC25,$AK8&gt;9,ISNUMBER(AC25),ISNUMBER(AE25)),1,0)</f>
        <v>0</v>
      </c>
      <c r="AW31" s="58"/>
    </row>
    <row r="32" spans="1:51" s="55" customFormat="1" ht="12.75" hidden="1" customHeight="1" x14ac:dyDescent="0.2">
      <c r="A32" s="55" t="s">
        <v>82</v>
      </c>
      <c r="B32" s="56">
        <f>IF(AND(B26&gt;D26,$AK8&gt;0,$AK7&gt;1,ISNUMBER(B26),ISNUMBER(D26)),1,0)</f>
        <v>1</v>
      </c>
      <c r="C32" s="56"/>
      <c r="D32" s="57">
        <f>IF(AND(D26&gt;B26,$AK8&gt;0,$AK7&gt;1,ISNUMBER(B26),ISNUMBER(D26)),1,0)</f>
        <v>0</v>
      </c>
      <c r="E32" s="56">
        <f>IF(AND(E26&gt;G26,$AK8&gt;1,$AK7&gt;1,ISNUMBER(E26),ISNUMBER(G26)),1,0)</f>
        <v>1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1</v>
      </c>
      <c r="I32" s="56"/>
      <c r="J32" s="57">
        <f>IF(AND(J26&gt;H26,$AK8&gt;2,$AK7&gt;1,ISNUMBER(H26),ISNUMBER(J26)),1,0)</f>
        <v>0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1</v>
      </c>
      <c r="Q32" s="56">
        <f>IF(AND(Q26&gt;S26,$AK8&gt;5,$AK7&gt;1,ISNUMBER(Q26),ISNUMBER(S26)),1,0)</f>
        <v>0</v>
      </c>
      <c r="R32" s="56"/>
      <c r="S32" s="57">
        <f>IF(AND(S26&gt;Q26,$AK8&gt;5,$AK7&gt;1,ISNUMBER(Q26),ISNUMBER(S26)),1,0)</f>
        <v>1</v>
      </c>
      <c r="T32" s="56">
        <f>IF(AND(T26&gt;V26,$AK8&gt;6,$AK7&gt;1,ISNUMBER(T26),ISNUMBER(V26)),1,0)</f>
        <v>1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1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1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1</v>
      </c>
      <c r="AD32" s="56"/>
      <c r="AE32" s="57">
        <f>IF(AND(AE26&gt;AC26,$AK8&gt;9,$AK7&gt;1,ISNUMBER(AC26),ISNUMBER(AE26)),1,0)</f>
        <v>0</v>
      </c>
      <c r="AW32" s="58"/>
    </row>
    <row r="33" spans="1:49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  <c r="AW33" s="58"/>
    </row>
    <row r="34" spans="1:49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  <c r="AW34" s="58"/>
    </row>
    <row r="35" spans="1:49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  <c r="AW35" s="58"/>
    </row>
    <row r="36" spans="1:49" s="55" customFormat="1" ht="38.25" hidden="1" customHeight="1" x14ac:dyDescent="0.2">
      <c r="A36" s="59" t="s">
        <v>86</v>
      </c>
      <c r="B36" s="55">
        <f>SUM(B31:B35)</f>
        <v>2</v>
      </c>
      <c r="D36" s="60">
        <f>SUM(D31:D35)</f>
        <v>0</v>
      </c>
      <c r="E36" s="55">
        <f>SUM(E31:E35)</f>
        <v>2</v>
      </c>
      <c r="G36" s="60">
        <f>SUM(G31:G35)</f>
        <v>0</v>
      </c>
      <c r="H36" s="55">
        <f>SUM(H31:H35)</f>
        <v>2</v>
      </c>
      <c r="J36" s="60">
        <f>SUM(J31:J35)</f>
        <v>0</v>
      </c>
      <c r="K36" s="55">
        <f>SUM(K31:K35)</f>
        <v>2</v>
      </c>
      <c r="M36" s="60">
        <f>SUM(M31:M35)</f>
        <v>0</v>
      </c>
      <c r="N36" s="55">
        <f>SUM(N31:N35)</f>
        <v>1</v>
      </c>
      <c r="P36" s="60">
        <f>SUM(P31:P35)</f>
        <v>1</v>
      </c>
      <c r="Q36" s="55">
        <f>SUM(Q31:Q35)</f>
        <v>0</v>
      </c>
      <c r="S36" s="60">
        <f>SUM(S31:S35)</f>
        <v>2</v>
      </c>
      <c r="T36" s="55">
        <f>SUM(T31:T35)</f>
        <v>1</v>
      </c>
      <c r="V36" s="60">
        <f>SUM(V31:V35)</f>
        <v>1</v>
      </c>
      <c r="W36" s="55">
        <f>SUM(W31:W35)</f>
        <v>2</v>
      </c>
      <c r="Y36" s="60">
        <f>SUM(Y31:Y35)</f>
        <v>0</v>
      </c>
      <c r="Z36" s="55">
        <f>SUM(Z31:Z35)</f>
        <v>2</v>
      </c>
      <c r="AB36" s="60">
        <f>SUM(AB31:AB35)</f>
        <v>0</v>
      </c>
      <c r="AC36" s="55">
        <f>SUM(AC31:AC35)</f>
        <v>2</v>
      </c>
      <c r="AE36" s="60">
        <f>SUM(AE31:AE35)</f>
        <v>0</v>
      </c>
      <c r="AW36" s="58"/>
    </row>
    <row r="37" spans="1:49" s="55" customFormat="1" ht="25.5" hidden="1" customHeight="1" x14ac:dyDescent="0.2">
      <c r="A37" s="59" t="s">
        <v>87</v>
      </c>
      <c r="B37" s="55">
        <f>IF(B36&gt;D36,IF(C71=AK7,1,IF(C71=AK7-1,1,0)),0)</f>
        <v>1</v>
      </c>
      <c r="C37" s="55">
        <f>B37+D37</f>
        <v>1</v>
      </c>
      <c r="D37" s="60">
        <f>IF(D36&gt;B36,IF(C71=AK7,1,IF(C71=AK7-1,1,0)),0)</f>
        <v>0</v>
      </c>
      <c r="E37" s="55">
        <f>IF(E36&gt;G36,IF(F71=AK7,1,IF(F71=AK7-1,1,0)),0)</f>
        <v>1</v>
      </c>
      <c r="F37" s="55">
        <f>E37+G37</f>
        <v>1</v>
      </c>
      <c r="G37" s="60">
        <f>IF(G36&gt;E36,IF(F71=AK7,1,IF(F71=AK7-1,1,0)),0)</f>
        <v>0</v>
      </c>
      <c r="H37" s="55">
        <f>IF(H36&gt;J36,IF(I71=AK7,1,IF(I71=AK7-1,1,0)),0)</f>
        <v>1</v>
      </c>
      <c r="I37" s="55">
        <f>H37+J37</f>
        <v>1</v>
      </c>
      <c r="J37" s="60">
        <f>IF(J36&gt;H36,IF(I71=AK7,1,IF(I71=AK7-1,1,0)),0)</f>
        <v>0</v>
      </c>
      <c r="K37" s="55">
        <f>IF(K36&gt;M36,IF(L71=AK7,1,IF(L71=AK7-1,1,0)),0)</f>
        <v>1</v>
      </c>
      <c r="L37" s="55">
        <f>K37+M37</f>
        <v>1</v>
      </c>
      <c r="M37" s="60">
        <f>IF(M36&gt;K36,IF(L71=AK7,1,IF(L71=AK7-1,1,0)),0)</f>
        <v>0</v>
      </c>
      <c r="N37" s="55">
        <f>IF(N36&gt;P36,IF(O71=AK7,1,IF(O71=AK7-1,1,0)),0)</f>
        <v>0</v>
      </c>
      <c r="O37" s="55">
        <f>N37+P37</f>
        <v>0</v>
      </c>
      <c r="P37" s="60">
        <f>IF(P36&gt;N36,IF(O71=AK7,1,IF(O71=AK7-1,1,0)),0)</f>
        <v>0</v>
      </c>
      <c r="Q37" s="55">
        <f>IF(Q36&gt;S36,IF(R71=AK7,1,IF(R71=AK7-1,1,0)),0)</f>
        <v>0</v>
      </c>
      <c r="R37" s="55">
        <f>Q37+S37</f>
        <v>1</v>
      </c>
      <c r="S37" s="60">
        <f>IF(S36&gt;Q36,IF(R71=AK7,1,IF(R71=AK7-1,1,0)),0)</f>
        <v>1</v>
      </c>
      <c r="T37" s="55">
        <f>IF(T36&gt;V36,IF(U71=AK7,1,IF(U71=AK7-1,1,0)),0)</f>
        <v>0</v>
      </c>
      <c r="U37" s="55">
        <f>T37+V37</f>
        <v>0</v>
      </c>
      <c r="V37" s="60">
        <f>IF(V36&gt;T36,IF(U71=AK7,1,IF(U71=AK7-1,1,0)),0)</f>
        <v>0</v>
      </c>
      <c r="W37" s="55">
        <f>IF(W36&gt;Y36,IF(X71=AK7,1,IF(X71=AK7-1,1,0)),0)</f>
        <v>1</v>
      </c>
      <c r="X37" s="55">
        <f>W37+Y37</f>
        <v>1</v>
      </c>
      <c r="Y37" s="60">
        <f>IF(Y36&gt;W36,IF(X71=AK7,1,IF(X71=AK7-1,1,0)),0)</f>
        <v>0</v>
      </c>
      <c r="Z37" s="55">
        <f>IF(Z36&gt;AB36,IF(AA71=AK7,1,IF(AA71=AK7-1,1,0)),0)</f>
        <v>1</v>
      </c>
      <c r="AA37" s="55">
        <f>Z37+AB37</f>
        <v>1</v>
      </c>
      <c r="AB37" s="60">
        <f>IF(AB36&gt;Z36,IF(AA71=AK7,1,IF(AA71=AK7-1,1,0)),0)</f>
        <v>0</v>
      </c>
      <c r="AC37" s="55">
        <f>IF(AC36&gt;AE36,IF(AD71=AK7,1,IF(AD71=AK7-1,1,0)),0)</f>
        <v>1</v>
      </c>
      <c r="AD37" s="55">
        <f>AC37+AE37</f>
        <v>1</v>
      </c>
      <c r="AE37" s="60">
        <f>IF(AE36&gt;AC36,IF(AD71=AK7,1,IF(AD71=AK7-1,1,0)),0)</f>
        <v>0</v>
      </c>
      <c r="AW37" s="58"/>
    </row>
    <row r="38" spans="1:49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  <c r="AW38" s="58"/>
    </row>
    <row r="39" spans="1:49" s="55" customFormat="1" ht="12.75" hidden="1" customHeight="1" x14ac:dyDescent="0.2">
      <c r="A39" s="55" t="s">
        <v>88</v>
      </c>
      <c r="B39" s="55">
        <f>IF(B31=1,B25,0)</f>
        <v>25</v>
      </c>
      <c r="D39" s="60">
        <f t="shared" ref="D39:E43" si="2">IF(D31=1,D25,0)</f>
        <v>0</v>
      </c>
      <c r="E39" s="55">
        <f t="shared" si="2"/>
        <v>25</v>
      </c>
      <c r="G39" s="60">
        <f t="shared" ref="G39:H43" si="3">IF(G31=1,G25,0)</f>
        <v>0</v>
      </c>
      <c r="H39" s="55">
        <f t="shared" si="3"/>
        <v>27</v>
      </c>
      <c r="J39" s="60">
        <f t="shared" ref="J39:K43" si="4">IF(J31=1,J25,0)</f>
        <v>0</v>
      </c>
      <c r="K39" s="55">
        <f t="shared" si="4"/>
        <v>25</v>
      </c>
      <c r="M39" s="60">
        <f t="shared" ref="M39:N43" si="5">IF(M31=1,M25,0)</f>
        <v>0</v>
      </c>
      <c r="N39" s="55">
        <f t="shared" si="5"/>
        <v>25</v>
      </c>
      <c r="P39" s="60">
        <f t="shared" ref="P39:Q43" si="6">IF(P31=1,P25,0)</f>
        <v>0</v>
      </c>
      <c r="Q39" s="55">
        <f t="shared" si="6"/>
        <v>0</v>
      </c>
      <c r="S39" s="60">
        <f t="shared" ref="S39:T43" si="7">IF(S31=1,S25,0)</f>
        <v>25</v>
      </c>
      <c r="T39" s="55">
        <f t="shared" si="7"/>
        <v>0</v>
      </c>
      <c r="V39" s="60">
        <f t="shared" ref="V39:W43" si="8">IF(V31=1,V25,0)</f>
        <v>25</v>
      </c>
      <c r="W39" s="55">
        <f t="shared" si="8"/>
        <v>25</v>
      </c>
      <c r="Y39" s="60">
        <f t="shared" ref="Y39:Z43" si="9">IF(Y31=1,Y25,0)</f>
        <v>0</v>
      </c>
      <c r="Z39" s="55">
        <f t="shared" si="9"/>
        <v>25</v>
      </c>
      <c r="AB39" s="60">
        <f t="shared" ref="AB39:AC43" si="10">IF(AB31=1,AB25,0)</f>
        <v>0</v>
      </c>
      <c r="AC39" s="55">
        <f t="shared" si="10"/>
        <v>25</v>
      </c>
      <c r="AE39" s="60">
        <f>IF(AE31=1,AE25,0)</f>
        <v>0</v>
      </c>
      <c r="AW39" s="58"/>
    </row>
    <row r="40" spans="1:49" s="55" customFormat="1" ht="12.75" hidden="1" customHeight="1" x14ac:dyDescent="0.2">
      <c r="A40" s="55" t="s">
        <v>89</v>
      </c>
      <c r="B40" s="55">
        <f>IF(B32=1,B26,0)</f>
        <v>25</v>
      </c>
      <c r="D40" s="60">
        <f t="shared" si="2"/>
        <v>0</v>
      </c>
      <c r="E40" s="55">
        <f t="shared" si="2"/>
        <v>25</v>
      </c>
      <c r="G40" s="60">
        <f t="shared" si="3"/>
        <v>0</v>
      </c>
      <c r="H40" s="55">
        <f t="shared" si="3"/>
        <v>25</v>
      </c>
      <c r="J40" s="60">
        <f t="shared" si="4"/>
        <v>0</v>
      </c>
      <c r="K40" s="55">
        <f t="shared" si="4"/>
        <v>25</v>
      </c>
      <c r="M40" s="60">
        <f t="shared" si="5"/>
        <v>0</v>
      </c>
      <c r="N40" s="55">
        <f t="shared" si="5"/>
        <v>0</v>
      </c>
      <c r="P40" s="60">
        <f t="shared" si="6"/>
        <v>25</v>
      </c>
      <c r="Q40" s="55">
        <f t="shared" si="6"/>
        <v>0</v>
      </c>
      <c r="S40" s="60">
        <f t="shared" si="7"/>
        <v>25</v>
      </c>
      <c r="T40" s="55">
        <f t="shared" si="7"/>
        <v>25</v>
      </c>
      <c r="V40" s="60">
        <f t="shared" si="8"/>
        <v>0</v>
      </c>
      <c r="W40" s="55">
        <f t="shared" si="8"/>
        <v>25</v>
      </c>
      <c r="Y40" s="60">
        <f t="shared" si="9"/>
        <v>0</v>
      </c>
      <c r="Z40" s="55">
        <f t="shared" si="9"/>
        <v>25</v>
      </c>
      <c r="AB40" s="60">
        <f t="shared" si="10"/>
        <v>0</v>
      </c>
      <c r="AC40" s="55">
        <f t="shared" si="10"/>
        <v>25</v>
      </c>
      <c r="AE40" s="60">
        <f>IF(AE32=1,AE26,0)</f>
        <v>0</v>
      </c>
      <c r="AW40" s="58"/>
    </row>
    <row r="41" spans="1:49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  <c r="AW41" s="58"/>
    </row>
    <row r="42" spans="1:49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  <c r="AW42" s="58"/>
    </row>
    <row r="43" spans="1:49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  <c r="AW43" s="58"/>
    </row>
    <row r="44" spans="1:49" s="55" customFormat="1" ht="38.25" hidden="1" customHeight="1" x14ac:dyDescent="0.2">
      <c r="A44" s="59" t="s">
        <v>93</v>
      </c>
      <c r="B44" s="55">
        <f>SUM(B39:D43)</f>
        <v>50</v>
      </c>
      <c r="D44" s="60"/>
      <c r="E44" s="55">
        <f>SUM(E39:G43)</f>
        <v>50</v>
      </c>
      <c r="G44" s="60"/>
      <c r="H44" s="55">
        <f>SUM(H39:J43)</f>
        <v>52</v>
      </c>
      <c r="J44" s="60"/>
      <c r="K44" s="55">
        <f>SUM(K39:M43)</f>
        <v>50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50</v>
      </c>
      <c r="V44" s="60"/>
      <c r="W44" s="55">
        <f>SUM(W39:Y43)</f>
        <v>50</v>
      </c>
      <c r="Y44" s="60"/>
      <c r="Z44" s="55">
        <f>SUM(Z39:AB43)</f>
        <v>50</v>
      </c>
      <c r="AB44" s="60"/>
      <c r="AC44" s="55">
        <f>SUM(AC39:AE43)</f>
        <v>50</v>
      </c>
      <c r="AE44" s="60"/>
      <c r="AW44" s="58"/>
    </row>
    <row r="45" spans="1:49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  <c r="AW45" s="58"/>
    </row>
    <row r="46" spans="1:49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1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1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1</v>
      </c>
      <c r="AE46" s="60">
        <f>IF(AE24=1,IF(AE37=1,1,0),0)</f>
        <v>0</v>
      </c>
      <c r="AF46" s="55">
        <f>SUM(B46:AE46)</f>
        <v>3</v>
      </c>
      <c r="AG46" s="55">
        <f>AF52-AF46</f>
        <v>0</v>
      </c>
      <c r="AW46" s="58"/>
    </row>
    <row r="47" spans="1:49" s="55" customFormat="1" ht="12.75" hidden="1" customHeight="1" x14ac:dyDescent="0.2">
      <c r="A47" s="55" t="s">
        <v>98</v>
      </c>
      <c r="B47" s="55">
        <f>IF(B24=2,IF(B37=1,1,0),0)</f>
        <v>1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1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2</v>
      </c>
      <c r="AG47" s="55">
        <f>AF53-AF47</f>
        <v>1</v>
      </c>
      <c r="AW47" s="58"/>
    </row>
    <row r="48" spans="1:49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1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1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2</v>
      </c>
      <c r="AG48" s="55">
        <f>AF54-AF48</f>
        <v>0</v>
      </c>
      <c r="AW48" s="58"/>
    </row>
    <row r="49" spans="1:49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0</v>
      </c>
      <c r="AG49" s="55">
        <f>AF55-AF49</f>
        <v>4</v>
      </c>
      <c r="AW49" s="58"/>
    </row>
    <row r="50" spans="1:49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1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1</v>
      </c>
      <c r="AG50" s="55">
        <f>AF56-AF50</f>
        <v>3</v>
      </c>
      <c r="AW50" s="58"/>
    </row>
    <row r="51" spans="1:49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  <c r="AW51" s="58"/>
    </row>
    <row r="52" spans="1:49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0</v>
      </c>
      <c r="P52" s="60">
        <f>IF(P24=1,IF(O37=1,1,0),0)</f>
        <v>0</v>
      </c>
      <c r="Q52" s="55">
        <f>IF(Q24=1,IF(R37=1,1,0),0)</f>
        <v>0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1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1</v>
      </c>
      <c r="AE52" s="60">
        <f>IF(AE24=1,IF(AD37=1,1,0),0)</f>
        <v>0</v>
      </c>
      <c r="AF52" s="55">
        <f>SUM(B52:AE52)</f>
        <v>3</v>
      </c>
      <c r="AW52" s="58"/>
    </row>
    <row r="53" spans="1:49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0</v>
      </c>
      <c r="J53" s="60">
        <f>IF(J24=2,IF(I37=1,1,0),0)</f>
        <v>0</v>
      </c>
      <c r="K53" s="55">
        <f>IF(K24=2,IF(L37=1,1,0),0)</f>
        <v>1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0</v>
      </c>
      <c r="T53" s="55">
        <f>IF(T24=2,IF(U37=1,1,0),0)</f>
        <v>0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1</v>
      </c>
      <c r="AF53" s="55">
        <f>SUM(B53:AE53)</f>
        <v>3</v>
      </c>
      <c r="AW53" s="58"/>
    </row>
    <row r="54" spans="1:49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0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1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0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0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1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2</v>
      </c>
      <c r="AW54" s="58"/>
    </row>
    <row r="55" spans="1:49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0</v>
      </c>
      <c r="K55" s="55">
        <f>IF(K24=4,IF(L37=1,1,0),0)</f>
        <v>0</v>
      </c>
      <c r="M55" s="60">
        <f>IF(M24=4,IF(L37=1,1,0),0)</f>
        <v>1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1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1</v>
      </c>
      <c r="AC55" s="55">
        <f>IF(AC24=4,IF(AD37=1,1,0),0)</f>
        <v>0</v>
      </c>
      <c r="AE55" s="60">
        <f>IF(AE24=4,IF(AD37=1,1,0),0)</f>
        <v>0</v>
      </c>
      <c r="AF55" s="55">
        <f>SUM(B55:AE55)</f>
        <v>4</v>
      </c>
      <c r="AW55" s="58"/>
    </row>
    <row r="56" spans="1:49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1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1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1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1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4</v>
      </c>
      <c r="AW56" s="58"/>
    </row>
    <row r="57" spans="1:49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  <c r="AW57" s="58"/>
    </row>
    <row r="58" spans="1:49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50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0</v>
      </c>
      <c r="M58" s="60">
        <f>IF(M24=1,K44,0)</f>
        <v>0</v>
      </c>
      <c r="N58" s="55">
        <f>IF(N24=1,N44,0)</f>
        <v>50</v>
      </c>
      <c r="P58" s="60">
        <f>IF(P24=1,N44,0)</f>
        <v>0</v>
      </c>
      <c r="Q58" s="55">
        <f>IF(Q24=1,Q44,0)</f>
        <v>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50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50</v>
      </c>
      <c r="AE58" s="60">
        <f>IF(AE24=1,AC44,0)</f>
        <v>0</v>
      </c>
      <c r="AF58" s="55">
        <f>SUM(B58:AE58)</f>
        <v>200</v>
      </c>
      <c r="AW58" s="58"/>
    </row>
    <row r="59" spans="1:49" s="55" customFormat="1" ht="12.75" hidden="1" customHeight="1" x14ac:dyDescent="0.2">
      <c r="A59" s="55" t="s">
        <v>104</v>
      </c>
      <c r="B59" s="55">
        <f>IF(B24=2,B44,0)</f>
        <v>50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0</v>
      </c>
      <c r="J59" s="60">
        <f>IF(J24=2,H44,0)</f>
        <v>0</v>
      </c>
      <c r="K59" s="55">
        <f>IF(K24=2,K44,0)</f>
        <v>50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0</v>
      </c>
      <c r="T59" s="55">
        <f>IF(T24=2,T44,0)</f>
        <v>50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50</v>
      </c>
      <c r="AF59" s="55">
        <f>SUM(B59:AE59)</f>
        <v>200</v>
      </c>
      <c r="AW59" s="58"/>
    </row>
    <row r="60" spans="1:49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0</v>
      </c>
      <c r="E60" s="55">
        <f>IF(E24=3,E44,0)</f>
        <v>0</v>
      </c>
      <c r="G60" s="60">
        <f>IF(G24=3,E44,0)</f>
        <v>0</v>
      </c>
      <c r="H60" s="55">
        <f>IF(H24=3,H44,0)</f>
        <v>52</v>
      </c>
      <c r="J60" s="60">
        <f>IF(J24=3,H44,0)</f>
        <v>0</v>
      </c>
      <c r="K60" s="55">
        <f>IF(K24=3,K44,0)</f>
        <v>0</v>
      </c>
      <c r="M60" s="60">
        <f>IF(M24=3,K44,0)</f>
        <v>0</v>
      </c>
      <c r="N60" s="55">
        <f>IF(N24=3,N44,0)</f>
        <v>0</v>
      </c>
      <c r="P60" s="60">
        <f>IF(P24=3,N44,0)</f>
        <v>50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50</v>
      </c>
      <c r="W60" s="55">
        <f>IF(W24=3,W44,0)</f>
        <v>0</v>
      </c>
      <c r="Y60" s="60">
        <f>IF(Y24=3,W44,0)</f>
        <v>0</v>
      </c>
      <c r="Z60" s="55">
        <f>IF(Z24=3,Z44,0)</f>
        <v>50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202</v>
      </c>
      <c r="AW60" s="58"/>
    </row>
    <row r="61" spans="1:49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50</v>
      </c>
      <c r="H61" s="55">
        <f>IF(H24=4,H44,0)</f>
        <v>0</v>
      </c>
      <c r="J61" s="60">
        <f>IF(J24=4,H44,0)</f>
        <v>0</v>
      </c>
      <c r="K61" s="55">
        <f>IF(K24=4,K44,0)</f>
        <v>0</v>
      </c>
      <c r="M61" s="60">
        <f>IF(M24=4,K44,0)</f>
        <v>50</v>
      </c>
      <c r="N61" s="55">
        <f>IF(N24=4,N44,0)</f>
        <v>0</v>
      </c>
      <c r="P61" s="60">
        <f>IF(P24=4,N44,0)</f>
        <v>0</v>
      </c>
      <c r="Q61" s="55">
        <f>IF(Q24=4,Q44,0)</f>
        <v>50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50</v>
      </c>
      <c r="AC61" s="55">
        <f>IF(AC24=4,AC44,0)</f>
        <v>0</v>
      </c>
      <c r="AE61" s="60">
        <f>IF(AE24=4,AC44,0)</f>
        <v>0</v>
      </c>
      <c r="AF61" s="55">
        <f>SUM(B61:AE61)</f>
        <v>200</v>
      </c>
      <c r="AW61" s="58"/>
    </row>
    <row r="62" spans="1:49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50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52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50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50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202</v>
      </c>
      <c r="AW62" s="58"/>
    </row>
    <row r="63" spans="1:49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  <c r="AW63" s="58"/>
    </row>
    <row r="64" spans="1:49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2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1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2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2</v>
      </c>
      <c r="AE64" s="60">
        <f>IF(AE24=1,SUMIF(AE31:AE35,"&gt;0"),0)</f>
        <v>0</v>
      </c>
      <c r="AF64" s="55">
        <f>SUM(B64:AE64)</f>
        <v>7</v>
      </c>
      <c r="AG64" s="55">
        <f>AF72-AF64</f>
        <v>1</v>
      </c>
      <c r="AW64" s="58"/>
    </row>
    <row r="65" spans="1:54" s="55" customFormat="1" ht="12.75" hidden="1" customHeight="1" x14ac:dyDescent="0.2">
      <c r="A65" s="55" t="s">
        <v>98</v>
      </c>
      <c r="B65" s="55">
        <f>IF(B24=2,SUMIF(B31:B35,"&gt;0"),0)</f>
        <v>2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2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1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5</v>
      </c>
      <c r="AG65" s="55">
        <f>AF73-AF65</f>
        <v>3</v>
      </c>
      <c r="AW65" s="58"/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2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1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1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2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6</v>
      </c>
      <c r="AG66" s="55">
        <f>AF74-AF66</f>
        <v>2</v>
      </c>
      <c r="AW66" s="58"/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0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0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0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0</v>
      </c>
      <c r="AG67" s="55">
        <f>AF75-AF67</f>
        <v>8</v>
      </c>
      <c r="AW67" s="58"/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2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2</v>
      </c>
      <c r="AG68" s="55">
        <f>AF76-AF68</f>
        <v>6</v>
      </c>
      <c r="AW68" s="58"/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  <c r="AW69" s="58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  <c r="AW70" s="58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2</v>
      </c>
      <c r="V71" s="60"/>
      <c r="X71" s="55">
        <f>SUMIF(W64:Y68,"&gt;0")</f>
        <v>2</v>
      </c>
      <c r="Y71" s="60"/>
      <c r="AA71" s="55">
        <f>SUMIF(Z64:AB68,"&gt;0")</f>
        <v>2</v>
      </c>
      <c r="AB71" s="60"/>
      <c r="AD71" s="55">
        <f>SUMIF(AC64:AE68,"&gt;0")</f>
        <v>2</v>
      </c>
      <c r="AE71" s="60"/>
      <c r="AF71" s="59" t="s">
        <v>113</v>
      </c>
      <c r="AW71" s="58"/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0</v>
      </c>
      <c r="M72" s="60">
        <f>IF(M24=1,L71,0)</f>
        <v>0</v>
      </c>
      <c r="N72" s="55">
        <f>IF(N24=1,O71,0)</f>
        <v>2</v>
      </c>
      <c r="P72" s="60">
        <f>IF(P24=1,O71,0)</f>
        <v>0</v>
      </c>
      <c r="Q72" s="55">
        <f>IF(Q24=1,R71,0)</f>
        <v>0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2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2</v>
      </c>
      <c r="AE72" s="60">
        <f>IF(AE24=1,AD71,0)</f>
        <v>0</v>
      </c>
      <c r="AF72" s="55">
        <f>SUM(B72:AE72)</f>
        <v>8</v>
      </c>
      <c r="AW72" s="58"/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0</v>
      </c>
      <c r="J73" s="60">
        <f>IF(J24=2,I71,0)</f>
        <v>0</v>
      </c>
      <c r="K73" s="55">
        <f>IF(K24=2,L71,0)</f>
        <v>2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0</v>
      </c>
      <c r="T73" s="55">
        <f>IF(T24=2,U71,0)</f>
        <v>2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2</v>
      </c>
      <c r="AF73" s="55">
        <f>SUM(B73:AE73)</f>
        <v>8</v>
      </c>
      <c r="AW73" s="58"/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0</v>
      </c>
      <c r="E74" s="55">
        <f>IF(E24=3,F71,0)</f>
        <v>0</v>
      </c>
      <c r="G74" s="60">
        <f>IF(G24=3,F71,0)</f>
        <v>0</v>
      </c>
      <c r="H74" s="55">
        <f>IF(H24=3,I71,0)</f>
        <v>2</v>
      </c>
      <c r="J74" s="60">
        <f>IF(J24=3,I71,0)</f>
        <v>0</v>
      </c>
      <c r="K74" s="55">
        <f>IF(K24=3,L71,0)</f>
        <v>0</v>
      </c>
      <c r="M74" s="60">
        <f>IF(M24=3,L71,0)</f>
        <v>0</v>
      </c>
      <c r="N74" s="55">
        <f>IF(N24=3,O71,0)</f>
        <v>0</v>
      </c>
      <c r="P74" s="60">
        <f>IF(P24=3,O71,0)</f>
        <v>2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2</v>
      </c>
      <c r="W74" s="55">
        <f>IF(W24=3,X71,0)</f>
        <v>0</v>
      </c>
      <c r="Y74" s="60">
        <f>IF(Y24=3,X71,0)</f>
        <v>0</v>
      </c>
      <c r="Z74" s="55">
        <f>IF(Z24=3,AA71,0)</f>
        <v>2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  <c r="AW74" s="58"/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0</v>
      </c>
      <c r="K75" s="55">
        <f>IF(K24=4,L71,0)</f>
        <v>0</v>
      </c>
      <c r="M75" s="60">
        <f>IF(M24=4,L71,0)</f>
        <v>2</v>
      </c>
      <c r="N75" s="55">
        <f>IF(N24=4,O71,0)</f>
        <v>0</v>
      </c>
      <c r="P75" s="60">
        <f>IF(P24=4,O71,0)</f>
        <v>0</v>
      </c>
      <c r="Q75" s="55">
        <f>IF(Q24=4,R71,0)</f>
        <v>2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2</v>
      </c>
      <c r="AC75" s="55">
        <f>IF(AC24=4,AD71,0)</f>
        <v>0</v>
      </c>
      <c r="AE75" s="60">
        <f>IF(AE24=4,AD71,0)</f>
        <v>0</v>
      </c>
      <c r="AF75" s="55">
        <f>SUM(B75:AE75)</f>
        <v>8</v>
      </c>
      <c r="AW75" s="58"/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2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2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2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2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8</v>
      </c>
      <c r="AW76" s="58"/>
    </row>
    <row r="77" spans="1:54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BB77" s="130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Beaufort Sweet 16's</v>
      </c>
      <c r="C79" s="67">
        <f>VLOOKUP(B79,AU$3:AY$12,3,FALSE)</f>
        <v>2550.4882821127521</v>
      </c>
      <c r="D79" s="67">
        <f>IF(B72,B87,IF(D72,D87,C79))</f>
        <v>2550.4882821127521</v>
      </c>
      <c r="E79" s="67"/>
      <c r="F79" s="67"/>
      <c r="G79" s="67">
        <f>IF(E72,E87,IF(G72,G87,D79))</f>
        <v>2563.5949437123836</v>
      </c>
      <c r="H79" s="67"/>
      <c r="I79" s="67"/>
      <c r="J79" s="67">
        <f>IF(H72,H87,IF(J72,J87,G79))</f>
        <v>2563.5949437123836</v>
      </c>
      <c r="K79" s="67"/>
      <c r="L79" s="67"/>
      <c r="M79" s="67">
        <f>IF(K72,K87,IF(M72,M87,J79))</f>
        <v>2563.5949437123836</v>
      </c>
      <c r="N79" s="67"/>
      <c r="O79" s="67"/>
      <c r="P79" s="67">
        <f>IF(N72,N87,IF(P72,P87,M79))</f>
        <v>2550.9752505359415</v>
      </c>
      <c r="Q79" s="67"/>
      <c r="R79" s="67"/>
      <c r="S79" s="67">
        <f>IF(Q72,Q87,IF(S72,S87,P79))</f>
        <v>2550.9752505359415</v>
      </c>
      <c r="T79" s="67"/>
      <c r="U79" s="67"/>
      <c r="V79" s="67">
        <f>IF(T72,T87,IF(V72,V87,S79))</f>
        <v>2550.9752505359415</v>
      </c>
      <c r="W79" s="67"/>
      <c r="X79" s="67"/>
      <c r="Y79" s="67">
        <f>IF(W72,W87,IF(Y72,Y87,V79))</f>
        <v>2561.3052897869725</v>
      </c>
      <c r="Z79" s="67"/>
      <c r="AA79" s="67"/>
      <c r="AB79" s="67">
        <f>IF(Z72,Z87,IF(AB72,AB87,Y79))</f>
        <v>2561.3052897869725</v>
      </c>
      <c r="AC79" s="67"/>
      <c r="AD79" s="67"/>
      <c r="AE79" s="67">
        <f>IF(AC72,AC87,IF(AE72,AE87,AB79))</f>
        <v>2582.6337956345133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Beaufort Sweet 16's</v>
      </c>
      <c r="AU79" s="63">
        <f>AE79</f>
        <v>2582.6337956345133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Upward Stars 16 Tonja</v>
      </c>
      <c r="C80" s="67">
        <f>VLOOKUP(B80,AU$3:AY$12,3,FALSE)</f>
        <v>2400</v>
      </c>
      <c r="D80" s="67">
        <f>IF(B73,B87,IF(D73,D87,C80))</f>
        <v>2420.3144260821236</v>
      </c>
      <c r="E80" s="67"/>
      <c r="F80" s="67"/>
      <c r="G80" s="67">
        <f>IF(E73,E87,IF(G73,G87,D80))</f>
        <v>2420.3144260821236</v>
      </c>
      <c r="H80" s="67"/>
      <c r="I80" s="67"/>
      <c r="J80" s="67">
        <f>IF(H73,H87,IF(J73,J87,G80))</f>
        <v>2420.3144260821236</v>
      </c>
      <c r="K80" s="67"/>
      <c r="L80" s="67"/>
      <c r="M80" s="67">
        <f>IF(K73,K87,IF(M73,M87,J80))</f>
        <v>2441.7963356538808</v>
      </c>
      <c r="N80" s="67"/>
      <c r="O80" s="67"/>
      <c r="P80" s="67">
        <f>IF(N73,N87,IF(P73,P87,M80))</f>
        <v>2441.7963356538808</v>
      </c>
      <c r="Q80" s="67"/>
      <c r="R80" s="67"/>
      <c r="S80" s="67">
        <f>IF(Q73,Q87,IF(S73,S87,P80))</f>
        <v>2441.7963356538808</v>
      </c>
      <c r="T80" s="67"/>
      <c r="U80" s="67"/>
      <c r="V80" s="67">
        <f>IF(T73,T87,IF(V73,V87,S80))</f>
        <v>2440.8343227036648</v>
      </c>
      <c r="W80" s="67"/>
      <c r="X80" s="67"/>
      <c r="Y80" s="67">
        <f>IF(W73,W87,IF(Y73,Y87,V80))</f>
        <v>2440.8343227036648</v>
      </c>
      <c r="Z80" s="67"/>
      <c r="AA80" s="67"/>
      <c r="AB80" s="67">
        <f>IF(Z73,Z87,IF(AB73,AB87,Y80))</f>
        <v>2440.8343227036648</v>
      </c>
      <c r="AC80" s="67"/>
      <c r="AD80" s="67"/>
      <c r="AE80" s="67">
        <f>IF(AC73,AC87,IF(AE73,AE87,AB80))</f>
        <v>2419.5058168561241</v>
      </c>
      <c r="AF80" s="4"/>
      <c r="AG80" s="4"/>
      <c r="AJ80" s="4"/>
      <c r="AL80" s="4"/>
      <c r="AM80" s="4"/>
      <c r="AN80" s="4"/>
      <c r="AO80" s="4"/>
      <c r="AT80" s="63" t="str">
        <f>B80</f>
        <v>Upward Stars 16 Tonja</v>
      </c>
      <c r="AU80" s="63">
        <f>AE80</f>
        <v>2419.5058168561241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Upward Stars 16 Mark C</v>
      </c>
      <c r="C81" s="67">
        <f>VLOOKUP(B81,AU$3:AY$12,3,FALSE)</f>
        <v>2400</v>
      </c>
      <c r="D81" s="67">
        <f>IF(B74,B87,IF(D74,D87,C81))</f>
        <v>2400</v>
      </c>
      <c r="E81" s="67"/>
      <c r="F81" s="67"/>
      <c r="G81" s="67">
        <f>IF(E74,E87,IF(G74,G87,D81))</f>
        <v>2400</v>
      </c>
      <c r="H81" s="67"/>
      <c r="I81" s="67"/>
      <c r="J81" s="67">
        <f>IF(H74,H87,IF(J74,J87,G81))</f>
        <v>2418.7285712437274</v>
      </c>
      <c r="K81" s="67"/>
      <c r="L81" s="67"/>
      <c r="M81" s="67">
        <f>IF(K74,K87,IF(M74,M87,J81))</f>
        <v>2418.7285712437274</v>
      </c>
      <c r="N81" s="67"/>
      <c r="O81" s="67"/>
      <c r="P81" s="67">
        <f>IF(N74,N87,IF(P74,P87,M81))</f>
        <v>2431.3482644201695</v>
      </c>
      <c r="Q81" s="67"/>
      <c r="R81" s="67"/>
      <c r="S81" s="67">
        <f>IF(Q74,Q87,IF(S74,S87,P81))</f>
        <v>2431.3482644201695</v>
      </c>
      <c r="T81" s="67"/>
      <c r="U81" s="67"/>
      <c r="V81" s="67">
        <f>IF(T74,T87,IF(V74,V87,S81))</f>
        <v>2432.3102773703854</v>
      </c>
      <c r="W81" s="67"/>
      <c r="X81" s="67"/>
      <c r="Y81" s="67">
        <f>IF(W74,W87,IF(Y74,Y87,V81))</f>
        <v>2432.3102773703854</v>
      </c>
      <c r="Z81" s="67"/>
      <c r="AA81" s="67"/>
      <c r="AB81" s="67">
        <f>IF(Z74,Z87,IF(AB74,AB87,Y81))</f>
        <v>2448.4481678791185</v>
      </c>
      <c r="AC81" s="67"/>
      <c r="AD81" s="67"/>
      <c r="AE81" s="67">
        <f>IF(AC74,AC87,IF(AE74,AE87,AB81))</f>
        <v>2448.4481678791185</v>
      </c>
      <c r="AF81" s="4"/>
      <c r="AG81" s="4"/>
      <c r="AJ81" s="4"/>
      <c r="AL81" s="4"/>
      <c r="AM81" s="4"/>
      <c r="AN81" s="4"/>
      <c r="AO81" s="4"/>
      <c r="AT81" s="63" t="str">
        <f>B81</f>
        <v>Upward Stars 16 Mark C</v>
      </c>
      <c r="AU81" s="63">
        <f>AE81</f>
        <v>2448.4481678791185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MBVC 16 Red Todd</v>
      </c>
      <c r="C82" s="67">
        <f>VLOOKUP(B82,AU$3:AY$12,3,FALSE)</f>
        <v>2314.8207408110184</v>
      </c>
      <c r="D82" s="67">
        <f>IF(B75,B87,IF(D75,D87,C82))</f>
        <v>2314.8207408110184</v>
      </c>
      <c r="E82" s="67"/>
      <c r="F82" s="67"/>
      <c r="G82" s="67">
        <f>IF(E75,E87,IF(G75,G87,D82))</f>
        <v>2301.7140792113869</v>
      </c>
      <c r="H82" s="67"/>
      <c r="I82" s="67"/>
      <c r="J82" s="67">
        <f>IF(H75,H87,IF(J75,J87,G82))</f>
        <v>2301.7140792113869</v>
      </c>
      <c r="K82" s="67"/>
      <c r="L82" s="67"/>
      <c r="M82" s="67">
        <f>IF(K75,K87,IF(M75,M87,J82))</f>
        <v>2280.2321696396298</v>
      </c>
      <c r="N82" s="67"/>
      <c r="O82" s="67"/>
      <c r="P82" s="67">
        <f>IF(N75,N87,IF(P75,P87,M82))</f>
        <v>2280.2321696396298</v>
      </c>
      <c r="Q82" s="67"/>
      <c r="R82" s="67"/>
      <c r="S82" s="67">
        <f>IF(Q75,Q87,IF(S75,S87,P82))</f>
        <v>2243.4522488197367</v>
      </c>
      <c r="T82" s="67"/>
      <c r="U82" s="67"/>
      <c r="V82" s="67">
        <f>IF(T75,T87,IF(V75,V87,S82))</f>
        <v>2243.4522488197367</v>
      </c>
      <c r="W82" s="67"/>
      <c r="X82" s="67"/>
      <c r="Y82" s="67">
        <f>IF(W75,W87,IF(Y75,Y87,V82))</f>
        <v>2243.4522488197367</v>
      </c>
      <c r="Z82" s="67"/>
      <c r="AA82" s="67"/>
      <c r="AB82" s="67">
        <f>IF(Z75,Z87,IF(AB75,AB87,Y82))</f>
        <v>2227.3143583110036</v>
      </c>
      <c r="AC82" s="67"/>
      <c r="AD82" s="67"/>
      <c r="AE82" s="67">
        <f>IF(AC75,AC87,IF(AE75,AE87,AB82))</f>
        <v>2227.3143583110036</v>
      </c>
      <c r="AF82" s="4"/>
      <c r="AG82" s="4"/>
      <c r="AJ82" s="4"/>
      <c r="AL82" s="4"/>
      <c r="AM82" s="4"/>
      <c r="AN82" s="4"/>
      <c r="AO82" s="4"/>
      <c r="AT82" s="63" t="str">
        <f>B82</f>
        <v>MBVC 16 Red Todd</v>
      </c>
      <c r="AU82" s="63">
        <f>AE82</f>
        <v>2227.3143583110036</v>
      </c>
      <c r="AW82" s="66"/>
      <c r="BB82" s="66"/>
    </row>
    <row r="83" spans="1:54" s="63" customFormat="1" hidden="1" x14ac:dyDescent="0.2">
      <c r="A83" s="67">
        <v>5</v>
      </c>
      <c r="B83" s="67" t="str">
        <f>E16</f>
        <v>SCWE16RAPTORS</v>
      </c>
      <c r="C83" s="67">
        <f>VLOOKUP(B83,AU$3:AY$12,3,FALSE)</f>
        <v>2266.9866046582174</v>
      </c>
      <c r="D83" s="67">
        <f>IF(B76,B87,IF(D76,D87,C83))</f>
        <v>2246.6721785760938</v>
      </c>
      <c r="E83" s="67"/>
      <c r="F83" s="67"/>
      <c r="G83" s="67">
        <f>IF(E76,E87,IF(G76,G87,D83))</f>
        <v>2246.6721785760938</v>
      </c>
      <c r="H83" s="67"/>
      <c r="I83" s="67"/>
      <c r="J83" s="67">
        <f>IF(H76,H87,IF(J76,J87,G83))</f>
        <v>2227.9436073323664</v>
      </c>
      <c r="K83" s="67"/>
      <c r="L83" s="67"/>
      <c r="M83" s="67">
        <f>IF(K76,K87,IF(M76,M87,J83))</f>
        <v>2227.9436073323664</v>
      </c>
      <c r="N83" s="67"/>
      <c r="O83" s="67"/>
      <c r="P83" s="67">
        <f>IF(N76,N87,IF(P76,P87,M83))</f>
        <v>2227.9436073323664</v>
      </c>
      <c r="Q83" s="67"/>
      <c r="R83" s="67"/>
      <c r="S83" s="67">
        <f>IF(Q76,Q87,IF(S76,S87,P83))</f>
        <v>2264.7235281522594</v>
      </c>
      <c r="T83" s="67"/>
      <c r="U83" s="67"/>
      <c r="V83" s="67">
        <f>IF(T76,T87,IF(V76,V87,S83))</f>
        <v>2264.7235281522594</v>
      </c>
      <c r="W83" s="67"/>
      <c r="X83" s="67"/>
      <c r="Y83" s="67">
        <f>IF(W76,W87,IF(Y76,Y87,V83))</f>
        <v>2254.3934889012285</v>
      </c>
      <c r="Z83" s="67"/>
      <c r="AA83" s="67"/>
      <c r="AB83" s="67">
        <f>IF(Z76,Z87,IF(AB76,AB87,Y83))</f>
        <v>2254.3934889012285</v>
      </c>
      <c r="AC83" s="67"/>
      <c r="AD83" s="67"/>
      <c r="AE83" s="67">
        <f>IF(AC76,AC87,IF(AE76,AE87,AB83))</f>
        <v>2254.3934889012285</v>
      </c>
      <c r="AF83" s="4"/>
      <c r="AG83" s="4"/>
      <c r="AJ83" s="4"/>
      <c r="AL83" s="4"/>
      <c r="AM83" s="4"/>
      <c r="AN83" s="4"/>
      <c r="AO83" s="4"/>
      <c r="AT83" s="63" t="str">
        <f>B83</f>
        <v>SCWE16RAPTORS</v>
      </c>
      <c r="AU83" s="63">
        <f>AE83</f>
        <v>2254.3934889012285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2400</v>
      </c>
      <c r="C85" s="67">
        <v>1</v>
      </c>
      <c r="D85" s="67">
        <f>VLOOKUP(D24,$A79:$AE83,3,FALSE)</f>
        <v>2266.9866046582174</v>
      </c>
      <c r="E85" s="67">
        <f>VLOOKUP(E24,$A79:$AE83,4,FALSE)</f>
        <v>2550.4882821127521</v>
      </c>
      <c r="F85" s="67">
        <v>2</v>
      </c>
      <c r="G85" s="67">
        <f>VLOOKUP(G24,$A79:$AE83,4,FALSE)</f>
        <v>2314.8207408110184</v>
      </c>
      <c r="H85" s="67">
        <f>VLOOKUP(H24,$A79:$AE83,7,FALSE)</f>
        <v>2400</v>
      </c>
      <c r="I85" s="67">
        <v>3</v>
      </c>
      <c r="J85" s="67">
        <f>VLOOKUP(J24,$A79:$AE83,7,FALSE)</f>
        <v>2246.6721785760938</v>
      </c>
      <c r="K85" s="67">
        <f>VLOOKUP(K24,$A79:$AE83,10,FALSE)</f>
        <v>2420.3144260821236</v>
      </c>
      <c r="L85" s="67">
        <v>4</v>
      </c>
      <c r="M85" s="67">
        <f>VLOOKUP(M24,$A79:$AE83,10,FALSE)</f>
        <v>2301.7140792113869</v>
      </c>
      <c r="N85" s="67">
        <f>VLOOKUP(N24,$A79:$AE83,13,FALSE)</f>
        <v>2563.5949437123836</v>
      </c>
      <c r="O85" s="67">
        <v>5</v>
      </c>
      <c r="P85" s="67">
        <f>VLOOKUP(P24,$A79:$AE83,13,FALSE)</f>
        <v>2418.7285712437274</v>
      </c>
      <c r="Q85" s="67">
        <f>VLOOKUP(Q24,$A79:$AE83,16,FALSE)</f>
        <v>2280.2321696396298</v>
      </c>
      <c r="R85" s="67">
        <v>6</v>
      </c>
      <c r="S85" s="67">
        <f>VLOOKUP(S24,$A79:$AE83,16,FALSE)</f>
        <v>2227.9436073323664</v>
      </c>
      <c r="T85" s="67">
        <f>VLOOKUP(T24,$A79:$AE83,19,FALSE)</f>
        <v>2441.7963356538808</v>
      </c>
      <c r="U85" s="67">
        <v>7</v>
      </c>
      <c r="V85" s="67">
        <f>VLOOKUP(V24,$A79:$AE83,19,FALSE)</f>
        <v>2431.3482644201695</v>
      </c>
      <c r="W85" s="67">
        <f>VLOOKUP(W24,$A79:$AE83,22,FALSE)</f>
        <v>2550.9752505359415</v>
      </c>
      <c r="X85" s="67">
        <v>8</v>
      </c>
      <c r="Y85" s="67">
        <f>VLOOKUP(Y24,$A79:$AE83,22,FALSE)</f>
        <v>2264.7235281522594</v>
      </c>
      <c r="Z85" s="67">
        <f>VLOOKUP(Z24,$A79:$AE83,25,FALSE)</f>
        <v>2432.3102773703854</v>
      </c>
      <c r="AA85" s="67">
        <v>9</v>
      </c>
      <c r="AB85" s="67">
        <f>VLOOKUP(AB24,$A79:$AE83,25,FALSE)</f>
        <v>2243.4522488197367</v>
      </c>
      <c r="AC85" s="67">
        <f>VLOOKUP(AC24,$A79:$AE83,28,FALSE)</f>
        <v>2561.3052897869725</v>
      </c>
      <c r="AD85" s="67">
        <v>10</v>
      </c>
      <c r="AE85" s="67">
        <f>VLOOKUP(AE24,$A79:$AE83,28,FALSE)</f>
        <v>2440.8343227036648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1.3651741849336301</v>
      </c>
      <c r="C86" s="68"/>
      <c r="D86" s="68">
        <f>1/(1+(10^-((D85-B85)/400)))*(B36+D36)</f>
        <v>0.63482581506636993</v>
      </c>
      <c r="E86" s="68">
        <f>1/(1+(10^-((E85-G85)/400)))*(E36+G36)</f>
        <v>1.5904168250115138</v>
      </c>
      <c r="F86" s="68"/>
      <c r="G86" s="68">
        <f>1/(1+(10^-((G85-E85)/400)))*(E36+G36)</f>
        <v>0.40958317498848612</v>
      </c>
      <c r="H86" s="68">
        <f>1/(1+(10^-((H85-J85)/400)))*(H36+J36)</f>
        <v>1.4147321486335118</v>
      </c>
      <c r="I86" s="68"/>
      <c r="J86" s="68">
        <f>1/(1+(10^-((J85-H85)/400)))*(H36+J36)</f>
        <v>0.58526785136648829</v>
      </c>
      <c r="K86" s="68">
        <f>1/(1+(10^-((K85-M85)/400)))*(K36+M36)</f>
        <v>1.3286903258825864</v>
      </c>
      <c r="L86" s="68"/>
      <c r="M86" s="68">
        <f>1/(1+(10^-((M85-K85)/400)))*(K36+M36)</f>
        <v>0.67130967411741349</v>
      </c>
      <c r="N86" s="68">
        <f>1/(1+(10^-((N85-P85)/400)))*(N36+P36)</f>
        <v>1.3943654117638193</v>
      </c>
      <c r="O86" s="68"/>
      <c r="P86" s="68">
        <f>1/(1+(10^-((P85-N85)/400)))*(N36+P36)</f>
        <v>0.60563458823618077</v>
      </c>
      <c r="Q86" s="68">
        <f>1/(1+(10^-((Q85-S85)/400)))*(Q36+S36)</f>
        <v>1.149372525621664</v>
      </c>
      <c r="R86" s="68"/>
      <c r="S86" s="68">
        <f>1/(1+(10^-((S85-Q85)/400)))*(Q36+S36)</f>
        <v>0.85062747437833586</v>
      </c>
      <c r="T86" s="68">
        <f>1/(1+(10^-((T85-V85)/400)))*(T36+V36)</f>
        <v>1.0300629046942471</v>
      </c>
      <c r="U86" s="68"/>
      <c r="V86" s="68">
        <f>1/(1+(10^-((V85-T85)/400)))*(T36+V36)</f>
        <v>0.96993709530575289</v>
      </c>
      <c r="W86" s="68">
        <f>1/(1+(10^-((W85-Y85)/400)))*(W36+Y36)</f>
        <v>1.6771862734052896</v>
      </c>
      <c r="X86" s="68"/>
      <c r="Y86" s="68">
        <f>1/(1+(10^-((Y85-W85)/400)))*(W36+Y36)</f>
        <v>0.32281372659471053</v>
      </c>
      <c r="Z86" s="68">
        <f>1/(1+(10^-((Z85-AB85)/400)))*(Z36+AB36)</f>
        <v>1.4956909216020848</v>
      </c>
      <c r="AA86" s="68"/>
      <c r="AB86" s="68">
        <f>1/(1+(10^-((AB85-Z85)/400)))*(Z36+AB36)</f>
        <v>0.50430907839791517</v>
      </c>
      <c r="AC86" s="68">
        <f>1/(1+(10^-((AC85-AE85)/400)))*(AC36+AE36)</f>
        <v>1.3334841922643539</v>
      </c>
      <c r="AD86" s="68"/>
      <c r="AE86" s="68">
        <f>1/(1+(10^-((AE85-AC85)/400)))*(AC36+AE36)</f>
        <v>0.66651580773564623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2420.3144260821236</v>
      </c>
      <c r="C87" s="74"/>
      <c r="D87" s="74">
        <f>D85+(D36-D86)*$BA$1</f>
        <v>2246.6721785760938</v>
      </c>
      <c r="E87" s="74">
        <f>E85+(E36-E86)*$BA$1</f>
        <v>2563.5949437123836</v>
      </c>
      <c r="F87" s="74"/>
      <c r="G87" s="74">
        <f>G85+(G36-G86)*$BA$1</f>
        <v>2301.7140792113869</v>
      </c>
      <c r="H87" s="74">
        <f>H85+(H36-H86)*$BA$1</f>
        <v>2418.7285712437274</v>
      </c>
      <c r="I87" s="74"/>
      <c r="J87" s="74">
        <f>J85+(J36-J86)*$BA$1</f>
        <v>2227.9436073323664</v>
      </c>
      <c r="K87" s="74">
        <f>K85+(K36-K86)*$BA$1</f>
        <v>2441.7963356538808</v>
      </c>
      <c r="L87" s="74"/>
      <c r="M87" s="74">
        <f>M85+(M36-M86)*$BA$1</f>
        <v>2280.2321696396298</v>
      </c>
      <c r="N87" s="74">
        <f>N85+(N36-N86)*$BA$1</f>
        <v>2550.9752505359415</v>
      </c>
      <c r="O87" s="74"/>
      <c r="P87" s="74">
        <f>P85+(P36-P86)*$BA$1</f>
        <v>2431.3482644201695</v>
      </c>
      <c r="Q87" s="74">
        <f>Q85+(Q36-Q86)*$BA$1</f>
        <v>2243.4522488197367</v>
      </c>
      <c r="R87" s="74"/>
      <c r="S87" s="74">
        <f>S85+(S36-S86)*$BA$1</f>
        <v>2264.7235281522594</v>
      </c>
      <c r="T87" s="74">
        <f>T85+(T36-T86)*$BA$1</f>
        <v>2440.8343227036648</v>
      </c>
      <c r="U87" s="74"/>
      <c r="V87" s="74">
        <f>V85+(V36-V86)*$BA$1</f>
        <v>2432.3102773703854</v>
      </c>
      <c r="W87" s="74">
        <f>W85+(W36-W86)*$BA$1</f>
        <v>2561.3052897869725</v>
      </c>
      <c r="X87" s="74"/>
      <c r="Y87" s="74">
        <f>Y85+(Y36-Y86)*$BA$1</f>
        <v>2254.3934889012285</v>
      </c>
      <c r="Z87" s="74">
        <f>Z85+(Z36-Z86)*$BA$1</f>
        <v>2448.4481678791185</v>
      </c>
      <c r="AA87" s="74"/>
      <c r="AB87" s="74">
        <f>AB85+(AB36-AB86)*$BA$1</f>
        <v>2227.3143583110036</v>
      </c>
      <c r="AC87" s="74">
        <f>AC85+(AC36-AC86)*$BA$1</f>
        <v>2582.6337956345133</v>
      </c>
      <c r="AD87" s="74"/>
      <c r="AE87" s="74">
        <f>AE85+(AE36-AE86)*$BA$1</f>
        <v>2419.5058168561241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  <c r="AW89" s="66"/>
    </row>
    <row r="90" spans="1:54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W90" s="66"/>
    </row>
    <row r="91" spans="1:54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Games Won</v>
      </c>
      <c r="M92" s="255"/>
      <c r="N92" s="255"/>
      <c r="O92" s="255"/>
      <c r="P92" s="255"/>
      <c r="Q92" s="256"/>
      <c r="R92" s="254" t="str">
        <f>IF($AK95=0,"Games Lost","Matches Lost")</f>
        <v>Games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KVC 16</v>
      </c>
      <c r="F93" s="233"/>
      <c r="G93" s="233"/>
      <c r="H93" s="233"/>
      <c r="I93" s="233"/>
      <c r="J93" s="233"/>
      <c r="K93" s="234"/>
      <c r="L93" s="235">
        <f>IF($AK95=0,AF149,AF131)</f>
        <v>6</v>
      </c>
      <c r="M93" s="236"/>
      <c r="N93" s="236"/>
      <c r="O93" s="236"/>
      <c r="P93" s="236"/>
      <c r="Q93" s="256"/>
      <c r="R93" s="235">
        <f>IF($AK95=0,AG149,AG131)</f>
        <v>2</v>
      </c>
      <c r="S93" s="236"/>
      <c r="T93" s="236"/>
      <c r="U93" s="236"/>
      <c r="V93" s="236"/>
      <c r="W93" s="235">
        <f>AQ109</f>
        <v>59</v>
      </c>
      <c r="X93" s="236"/>
      <c r="Y93" s="236"/>
      <c r="Z93" s="239">
        <f>IF(AF143&gt;0,(AQ109/AF143),0)</f>
        <v>0.29499999999999998</v>
      </c>
      <c r="AA93" s="240"/>
      <c r="AB93" s="240"/>
      <c r="AC93" s="262">
        <f>IF(AF157=0,0,(AF149/AF157))</f>
        <v>0.75</v>
      </c>
      <c r="AD93" s="263"/>
      <c r="AE93" s="264"/>
      <c r="AF93" s="268">
        <v>2</v>
      </c>
      <c r="AG93" s="268"/>
      <c r="AH93" s="270">
        <v>3</v>
      </c>
      <c r="AI93" s="271"/>
      <c r="AJ93" s="27"/>
      <c r="AK93" s="28">
        <v>10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228"/>
      <c r="B94" s="274" t="s">
        <v>11</v>
      </c>
      <c r="C94" s="275"/>
      <c r="D94" s="276"/>
      <c r="E94" s="277" t="str">
        <f>AV4</f>
        <v>fj6kvcjr1pm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5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Upward Stars 15 Mark</v>
      </c>
      <c r="F95" s="233"/>
      <c r="G95" s="233"/>
      <c r="H95" s="233"/>
      <c r="I95" s="233"/>
      <c r="J95" s="233"/>
      <c r="K95" s="234"/>
      <c r="L95" s="235">
        <f>IF($AK95=0,AF150,AF132)</f>
        <v>8</v>
      </c>
      <c r="M95" s="236"/>
      <c r="N95" s="236"/>
      <c r="O95" s="236"/>
      <c r="P95" s="236"/>
      <c r="Q95" s="256"/>
      <c r="R95" s="235">
        <f>IF($AK95=0,AG150,AG132)</f>
        <v>0</v>
      </c>
      <c r="S95" s="236"/>
      <c r="T95" s="236"/>
      <c r="U95" s="236"/>
      <c r="V95" s="236"/>
      <c r="W95" s="235">
        <f>AQ110</f>
        <v>65</v>
      </c>
      <c r="X95" s="236"/>
      <c r="Y95" s="236"/>
      <c r="Z95" s="239">
        <f>IF(AF144&gt;0,(AQ110/AF144),0)</f>
        <v>0.32500000000000001</v>
      </c>
      <c r="AA95" s="240"/>
      <c r="AB95" s="240"/>
      <c r="AC95" s="262">
        <f>IF(AF158=0,0,(AF150/AF158))</f>
        <v>1</v>
      </c>
      <c r="AD95" s="263"/>
      <c r="AE95" s="264"/>
      <c r="AF95" s="268">
        <v>1</v>
      </c>
      <c r="AG95" s="268"/>
      <c r="AH95" s="270">
        <v>2</v>
      </c>
      <c r="AI95" s="271"/>
      <c r="AJ95" s="27"/>
      <c r="AK95" s="28">
        <v>0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228"/>
      <c r="B96" s="284" t="s">
        <v>11</v>
      </c>
      <c r="C96" s="285"/>
      <c r="D96" s="285"/>
      <c r="E96" s="277" t="str">
        <f>AV5</f>
        <v>fj5upwrd3pm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Lake Murray 16 Black</v>
      </c>
      <c r="F97" s="233"/>
      <c r="G97" s="233"/>
      <c r="H97" s="233"/>
      <c r="I97" s="233"/>
      <c r="J97" s="233"/>
      <c r="K97" s="234"/>
      <c r="L97" s="235">
        <f>IF($AK95=0,AF151,AF133)</f>
        <v>4</v>
      </c>
      <c r="M97" s="236"/>
      <c r="N97" s="236"/>
      <c r="O97" s="236"/>
      <c r="P97" s="236"/>
      <c r="Q97" s="256"/>
      <c r="R97" s="235">
        <f>IF($AK95=0,AG151,AG133)</f>
        <v>4</v>
      </c>
      <c r="S97" s="236"/>
      <c r="T97" s="236"/>
      <c r="U97" s="236"/>
      <c r="V97" s="236"/>
      <c r="W97" s="235">
        <f>AQ111</f>
        <v>6</v>
      </c>
      <c r="X97" s="236"/>
      <c r="Y97" s="236"/>
      <c r="Z97" s="239">
        <f>IF(AF145&gt;0,(AQ111/AF145),0)</f>
        <v>0.03</v>
      </c>
      <c r="AA97" s="240"/>
      <c r="AB97" s="240"/>
      <c r="AC97" s="262">
        <f>IF(AF159=0,0,(AF151/AF159))</f>
        <v>0.5</v>
      </c>
      <c r="AD97" s="263"/>
      <c r="AE97" s="264"/>
      <c r="AF97" s="268">
        <v>3</v>
      </c>
      <c r="AG97" s="268"/>
      <c r="AH97" s="270">
        <v>6</v>
      </c>
      <c r="AI97" s="271"/>
      <c r="AJ97" s="31"/>
      <c r="AK97" s="28">
        <v>8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fj6lakem2pm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Club Coastal 16 White</v>
      </c>
      <c r="F99" s="233"/>
      <c r="G99" s="233"/>
      <c r="H99" s="233"/>
      <c r="I99" s="233"/>
      <c r="J99" s="233"/>
      <c r="K99" s="234"/>
      <c r="L99" s="235">
        <f>IF($AK95=0,AF152,AF134)</f>
        <v>1</v>
      </c>
      <c r="M99" s="236"/>
      <c r="N99" s="236"/>
      <c r="O99" s="236"/>
      <c r="P99" s="236"/>
      <c r="Q99" s="256"/>
      <c r="R99" s="235">
        <f>IF($AK95=0,AG152,AG134)</f>
        <v>7</v>
      </c>
      <c r="S99" s="236"/>
      <c r="T99" s="236"/>
      <c r="U99" s="236"/>
      <c r="V99" s="236"/>
      <c r="W99" s="235">
        <f>AQ112</f>
        <v>-51</v>
      </c>
      <c r="X99" s="236"/>
      <c r="Y99" s="236"/>
      <c r="Z99" s="239">
        <f>IF(AF146&gt;0,(AQ112/AF146),0)</f>
        <v>-0.255</v>
      </c>
      <c r="AA99" s="240"/>
      <c r="AB99" s="240"/>
      <c r="AC99" s="262">
        <f>IF(AF160=0,0,(AF152/AF160))</f>
        <v>0.125</v>
      </c>
      <c r="AD99" s="263"/>
      <c r="AE99" s="264"/>
      <c r="AF99" s="268">
        <v>4</v>
      </c>
      <c r="AG99" s="268"/>
      <c r="AH99" s="270">
        <v>7</v>
      </c>
      <c r="AI99" s="271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fj6ccoas1pm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227" t="str">
        <f>IF($AK94&gt;4,"5","")</f>
        <v>5</v>
      </c>
      <c r="B101" s="286" t="s">
        <v>10</v>
      </c>
      <c r="C101" s="287"/>
      <c r="D101" s="287"/>
      <c r="E101" s="232" t="str">
        <f>AU12</f>
        <v>SC Midlands 16 Black</v>
      </c>
      <c r="F101" s="233"/>
      <c r="G101" s="233"/>
      <c r="H101" s="233"/>
      <c r="I101" s="233"/>
      <c r="J101" s="233"/>
      <c r="K101" s="234"/>
      <c r="L101" s="235">
        <f>IF($AK95=0,AF153,AF135)</f>
        <v>1</v>
      </c>
      <c r="M101" s="236"/>
      <c r="N101" s="236"/>
      <c r="O101" s="236"/>
      <c r="P101" s="236"/>
      <c r="Q101" s="256"/>
      <c r="R101" s="235">
        <f>IF($AK95=0,AG153,AG135)</f>
        <v>7</v>
      </c>
      <c r="S101" s="236"/>
      <c r="T101" s="236"/>
      <c r="U101" s="236"/>
      <c r="V101" s="236"/>
      <c r="W101" s="235">
        <f>AQ113</f>
        <v>-79</v>
      </c>
      <c r="X101" s="236"/>
      <c r="Y101" s="236"/>
      <c r="Z101" s="239">
        <f>IF(AF147&gt;0,(AQ113/AF147),0)</f>
        <v>-0.39500000000000002</v>
      </c>
      <c r="AA101" s="240"/>
      <c r="AB101" s="240"/>
      <c r="AC101" s="262">
        <f>IF(AF161=0,0,(AF153/AF161))</f>
        <v>0.125</v>
      </c>
      <c r="AD101" s="263"/>
      <c r="AE101" s="264"/>
      <c r="AF101" s="268">
        <v>5</v>
      </c>
      <c r="AG101" s="268"/>
      <c r="AH101" s="270">
        <v>9</v>
      </c>
      <c r="AI101" s="271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410" t="str">
        <f>AV12</f>
        <v>fj6scmid3pm</v>
      </c>
      <c r="F102" s="411"/>
      <c r="G102" s="411"/>
      <c r="H102" s="411"/>
      <c r="I102" s="411"/>
      <c r="J102" s="411"/>
      <c r="K102" s="411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305" t="s">
        <v>65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thickTop="1" x14ac:dyDescent="0.2">
      <c r="A104" s="4" t="s">
        <v>66</v>
      </c>
      <c r="B104" s="308">
        <v>0.35416666666666669</v>
      </c>
      <c r="C104" s="309"/>
      <c r="D104" s="310"/>
      <c r="E104" s="308">
        <v>0.38541666666666669</v>
      </c>
      <c r="F104" s="309"/>
      <c r="G104" s="310"/>
      <c r="H104" s="308">
        <v>0.41666666666666669</v>
      </c>
      <c r="I104" s="309"/>
      <c r="J104" s="310"/>
      <c r="K104" s="308">
        <v>0.44791666666666669</v>
      </c>
      <c r="L104" s="309"/>
      <c r="M104" s="310"/>
      <c r="N104" s="308">
        <v>0.47916666666666669</v>
      </c>
      <c r="O104" s="309"/>
      <c r="P104" s="310"/>
      <c r="Q104" s="308">
        <v>0.51041666666666663</v>
      </c>
      <c r="R104" s="309"/>
      <c r="S104" s="310"/>
      <c r="T104" s="308">
        <v>4.1666666666666664E-2</v>
      </c>
      <c r="U104" s="309"/>
      <c r="V104" s="310"/>
      <c r="W104" s="308">
        <v>7.2916666666666671E-2</v>
      </c>
      <c r="X104" s="309"/>
      <c r="Y104" s="310"/>
      <c r="Z104" s="308">
        <v>0.10416666666666667</v>
      </c>
      <c r="AA104" s="309"/>
      <c r="AB104" s="310"/>
      <c r="AC104" s="308">
        <v>0.13541666666666666</v>
      </c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/>
      <c r="C105" s="320"/>
      <c r="D105" s="321"/>
      <c r="E105" s="319"/>
      <c r="F105" s="320"/>
      <c r="G105" s="321"/>
      <c r="H105" s="319"/>
      <c r="I105" s="320"/>
      <c r="J105" s="321"/>
      <c r="K105" s="319"/>
      <c r="L105" s="320"/>
      <c r="M105" s="321"/>
      <c r="N105" s="319"/>
      <c r="O105" s="320"/>
      <c r="P105" s="321"/>
      <c r="Q105" s="319"/>
      <c r="R105" s="320"/>
      <c r="S105" s="321"/>
      <c r="T105" s="319"/>
      <c r="U105" s="320"/>
      <c r="V105" s="321"/>
      <c r="W105" s="319"/>
      <c r="X105" s="320"/>
      <c r="Y105" s="321"/>
      <c r="Z105" s="319"/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/>
      <c r="C106" s="320"/>
      <c r="D106" s="321"/>
      <c r="E106" s="319"/>
      <c r="F106" s="320"/>
      <c r="G106" s="321"/>
      <c r="H106" s="319"/>
      <c r="I106" s="320"/>
      <c r="J106" s="321"/>
      <c r="K106" s="319"/>
      <c r="L106" s="320"/>
      <c r="M106" s="321"/>
      <c r="N106" s="319"/>
      <c r="O106" s="320"/>
      <c r="P106" s="321"/>
      <c r="Q106" s="319"/>
      <c r="R106" s="320"/>
      <c r="S106" s="321"/>
      <c r="T106" s="319"/>
      <c r="U106" s="320"/>
      <c r="V106" s="321"/>
      <c r="W106" s="319"/>
      <c r="X106" s="320"/>
      <c r="Y106" s="321"/>
      <c r="Z106" s="319"/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7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>Match 7</v>
      </c>
      <c r="U107" s="323"/>
      <c r="V107" s="324"/>
      <c r="W107" s="322" t="str">
        <f>IF(AK93&gt;7,"Match 8","")</f>
        <v>Match 8</v>
      </c>
      <c r="X107" s="323"/>
      <c r="Y107" s="324"/>
      <c r="Z107" s="322" t="str">
        <f>IF(AK93&gt;8,"Match 9","")</f>
        <v>Match 9</v>
      </c>
      <c r="AA107" s="323"/>
      <c r="AB107" s="324"/>
      <c r="AC107" s="322" t="str">
        <f>IF(AK93&gt;9,"Match 10","")</f>
        <v>Match 10</v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7"/>
      <c r="B108" s="325" t="s">
        <v>71</v>
      </c>
      <c r="C108" s="326"/>
      <c r="D108" s="327"/>
      <c r="E108" s="325" t="s">
        <v>72</v>
      </c>
      <c r="F108" s="326"/>
      <c r="G108" s="327"/>
      <c r="H108" s="325" t="s">
        <v>73</v>
      </c>
      <c r="I108" s="326"/>
      <c r="J108" s="327"/>
      <c r="K108" s="325" t="s">
        <v>74</v>
      </c>
      <c r="L108" s="326"/>
      <c r="M108" s="327"/>
      <c r="N108" s="325" t="s">
        <v>75</v>
      </c>
      <c r="O108" s="326"/>
      <c r="P108" s="327"/>
      <c r="Q108" s="325" t="s">
        <v>73</v>
      </c>
      <c r="R108" s="326"/>
      <c r="S108" s="327"/>
      <c r="T108" s="325" t="s">
        <v>71</v>
      </c>
      <c r="U108" s="326"/>
      <c r="V108" s="327"/>
      <c r="W108" s="325" t="s">
        <v>75</v>
      </c>
      <c r="X108" s="326"/>
      <c r="Y108" s="327"/>
      <c r="Z108" s="325" t="s">
        <v>74</v>
      </c>
      <c r="AA108" s="326"/>
      <c r="AB108" s="327"/>
      <c r="AC108" s="325" t="s">
        <v>72</v>
      </c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18</v>
      </c>
      <c r="AI109" s="48" t="str">
        <f>IF(AK94&lt;1,"",IF(AK93&lt;3,"",IF(H109=1,H115-J115,IF(J109=1,J115-H115,""))))</f>
        <v/>
      </c>
      <c r="AJ109" s="48" t="str">
        <f>IF(AK94&lt;1,"",IF(AK93&lt;4,"",IF(K109=1,K115-M115,IF(M109=1,M115-K115,""))))</f>
        <v/>
      </c>
      <c r="AK109" s="48">
        <f>IF(AK94&lt;1,"",IF(AK93&lt;5,"",IF(N109=1,N115-P115,IF(P109=1,P115-N115,""))))</f>
        <v>23</v>
      </c>
      <c r="AL109" s="48" t="str">
        <f>IF(AK94&lt;1,"",IF(AK93&lt;6,"",IF(Q109=1,Q115-S115,IF(S109=1,S115-Q115,""))))</f>
        <v/>
      </c>
      <c r="AM109" s="48" t="str">
        <f>IF(AK94&lt;1,"",IF(AK93&lt;7,"",IF(T109=1,T115-V115,IF(V109=1,V115-T115,""))))</f>
        <v/>
      </c>
      <c r="AN109" s="48">
        <f>IF(AK94&lt;1,"",IF(AK93&lt;8,"",IF(W109=1,W115-Y115,IF(Y109=1,Y115-W115,""))))</f>
        <v>29</v>
      </c>
      <c r="AO109" s="48" t="str">
        <f>IF(AK94&lt;1,"",IF(AK93&lt;9,"",IF(Z109=1,Z115-AB115,IF(AB109=1,AB115-Z115,""))))</f>
        <v/>
      </c>
      <c r="AP109" s="48">
        <f>IF(AK94&lt;1,"",IF(AK93&lt;10,"",IF(AC109=1,AC115-AE115,IF(AE109=1,AE115-AC115,""))))</f>
        <v>-11</v>
      </c>
      <c r="AQ109" s="44">
        <f>SUM(AG109:AP109)</f>
        <v>59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14</v>
      </c>
      <c r="E110" s="49">
        <v>25</v>
      </c>
      <c r="F110" s="50" t="str">
        <f>IF(AK93&gt;1,"/","")</f>
        <v>/</v>
      </c>
      <c r="G110" s="51">
        <v>15</v>
      </c>
      <c r="H110" s="49">
        <v>25</v>
      </c>
      <c r="I110" s="50" t="str">
        <f>IF(AK93&gt;2,"/","")</f>
        <v>/</v>
      </c>
      <c r="J110" s="51">
        <v>13</v>
      </c>
      <c r="K110" s="49">
        <v>25</v>
      </c>
      <c r="L110" s="50" t="str">
        <f>IF(AK93&gt;3,"/","")</f>
        <v>/</v>
      </c>
      <c r="M110" s="51">
        <v>21</v>
      </c>
      <c r="N110" s="49">
        <v>25</v>
      </c>
      <c r="O110" s="50" t="str">
        <f>IF(AK93&gt;4,"/","")</f>
        <v>/</v>
      </c>
      <c r="P110" s="51">
        <v>16</v>
      </c>
      <c r="Q110" s="49">
        <v>25</v>
      </c>
      <c r="R110" s="50" t="str">
        <f>IF(AK93&gt;5,"/","")</f>
        <v>/</v>
      </c>
      <c r="S110" s="51">
        <v>14</v>
      </c>
      <c r="T110" s="49">
        <v>25</v>
      </c>
      <c r="U110" s="50" t="str">
        <f>IF(AK93&gt;6,"/","")</f>
        <v>/</v>
      </c>
      <c r="V110" s="51">
        <v>20</v>
      </c>
      <c r="W110" s="49">
        <v>25</v>
      </c>
      <c r="X110" s="50" t="str">
        <f>IF(AK93&gt;7,"/","")</f>
        <v>/</v>
      </c>
      <c r="Y110" s="51">
        <v>10</v>
      </c>
      <c r="Z110" s="49">
        <v>25</v>
      </c>
      <c r="AA110" s="50" t="str">
        <f>IF(AK93&gt;8,"/","")</f>
        <v>/</v>
      </c>
      <c r="AB110" s="51">
        <v>15</v>
      </c>
      <c r="AC110" s="49">
        <v>16</v>
      </c>
      <c r="AD110" s="50" t="str">
        <f>IF(AK93&gt;9,"/","")</f>
        <v>/</v>
      </c>
      <c r="AE110" s="51">
        <v>25</v>
      </c>
      <c r="AF110" s="42" t="str">
        <f>IF(AK94&gt;1,"Team 2","")</f>
        <v>Team 2</v>
      </c>
      <c r="AG110" s="48">
        <f>IF(AK94&lt;2,"",IF(AK93&lt;1,"",IF(B109=2,B115-D115,IF(D109=2,D115-B115,""))))</f>
        <v>25</v>
      </c>
      <c r="AH110" s="48" t="str">
        <f>IF(AK94&lt;2,"",IF(AK93&lt;2,"",IF(E109=2,E115-G115,IF(G109=2,G115-E115,""))))</f>
        <v/>
      </c>
      <c r="AI110" s="48" t="str">
        <f>IF(AK94&lt;2,"",IF(AK93&lt;3,"",IF(H109=2,H115-J115,IF(J109=2,J115-H115,""))))</f>
        <v/>
      </c>
      <c r="AJ110" s="48">
        <f>IF(AK94&lt;2,"",IF(AK93&lt;4,"",IF(K109=2,K115-M115,IF(M109=2,M115-K115,""))))</f>
        <v>21</v>
      </c>
      <c r="AK110" s="48" t="str">
        <f>IF(AK94&lt;2,"",IF(AK93&lt;5,"",IF(N109=2,N115-P115,IF(P109=2,P115-N115,""))))</f>
        <v/>
      </c>
      <c r="AL110" s="48" t="str">
        <f>IF(AK94&lt;2,"",IF(AK93&lt;6,"",IF(Q109=2,Q115-S115,IF(S109=2,S115-Q115,""))))</f>
        <v/>
      </c>
      <c r="AM110" s="48">
        <f>IF(AK94&lt;2,"",IF(AK93&lt;7,"",IF(T109=2,T115-V115,IF(V109=2,V115-T115,""))))</f>
        <v>8</v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>
        <f>IF(AK94&lt;2,"",IF(AK93&lt;10,"",IF(AC109=2,AC115-AE115,IF(AE109=2,AE115-AC115,""))))</f>
        <v>11</v>
      </c>
      <c r="AQ110" s="44">
        <f>SUM(AG110:AP110)</f>
        <v>65</v>
      </c>
    </row>
    <row r="111" spans="1:44" ht="15" x14ac:dyDescent="0.2">
      <c r="A111" s="3" t="str">
        <f>IF(AK92&gt;1,"Game 2","")</f>
        <v>Game 2</v>
      </c>
      <c r="B111" s="49">
        <v>25</v>
      </c>
      <c r="C111" s="50" t="s">
        <v>80</v>
      </c>
      <c r="D111" s="51">
        <v>11</v>
      </c>
      <c r="E111" s="49">
        <v>25</v>
      </c>
      <c r="F111" s="50" t="str">
        <f>IF(AK93&gt;1,IF(AK92&gt;1,"/",""),"")</f>
        <v>/</v>
      </c>
      <c r="G111" s="51">
        <v>17</v>
      </c>
      <c r="H111" s="49">
        <v>25</v>
      </c>
      <c r="I111" s="50" t="str">
        <f>IF(AK93&gt;2,IF(AK92&gt;1,"/",""),"")</f>
        <v>/</v>
      </c>
      <c r="J111" s="51">
        <v>16</v>
      </c>
      <c r="K111" s="49">
        <v>25</v>
      </c>
      <c r="L111" s="50" t="str">
        <f>IF(AK93&gt;3,IF(AK92&gt;1,"/",""),"")</f>
        <v>/</v>
      </c>
      <c r="M111" s="51">
        <v>8</v>
      </c>
      <c r="N111" s="49">
        <v>25</v>
      </c>
      <c r="O111" s="50" t="str">
        <f>IF(AK93&gt;4,IF(AK92&gt;1,"/",""),"")</f>
        <v>/</v>
      </c>
      <c r="P111" s="51">
        <v>11</v>
      </c>
      <c r="Q111" s="49">
        <v>18</v>
      </c>
      <c r="R111" s="50" t="str">
        <f>IF(AK93&gt;5,IF(AK92&gt;1,"/",""),"")</f>
        <v>/</v>
      </c>
      <c r="S111" s="51">
        <v>25</v>
      </c>
      <c r="T111" s="49">
        <v>25</v>
      </c>
      <c r="U111" s="50" t="str">
        <f>IF(AK93&gt;6,IF(AK92&gt;1,"/",""),"")</f>
        <v>/</v>
      </c>
      <c r="V111" s="51">
        <v>22</v>
      </c>
      <c r="W111" s="49">
        <v>25</v>
      </c>
      <c r="X111" s="50" t="str">
        <f>IF(AK93&gt;7,IF(AK92&gt;1,"/",""),"")</f>
        <v>/</v>
      </c>
      <c r="Y111" s="51">
        <v>11</v>
      </c>
      <c r="Z111" s="49">
        <v>25</v>
      </c>
      <c r="AA111" s="50" t="str">
        <f>IF(AK93&gt;8,IF(AK92&gt;1,"/",""),"")</f>
        <v>/</v>
      </c>
      <c r="AB111" s="51">
        <v>19</v>
      </c>
      <c r="AC111" s="49">
        <v>23</v>
      </c>
      <c r="AD111" s="50" t="str">
        <f>IF(AK93&gt;9,IF(AK92&gt;1,"/",""),"")</f>
        <v>/</v>
      </c>
      <c r="AE111" s="51">
        <v>25</v>
      </c>
      <c r="AF111" s="42" t="str">
        <f>IF(AK94&gt;2,"Team 3","")</f>
        <v>Team 3</v>
      </c>
      <c r="AG111" s="48" t="str">
        <f>IF(AK94&lt;3,"",IF(AK93&lt;1,"",IF(B109=3,B115-D115,IF(D109=3,D115-B115,""))))</f>
        <v/>
      </c>
      <c r="AH111" s="48" t="str">
        <f>IF(AK94&lt;3,"",IF(AK93&lt;2,"",IF(E109=3,E115-G115,IF(G109=3,G115-E115,""))))</f>
        <v/>
      </c>
      <c r="AI111" s="48">
        <f>IF(AK94&lt;3,"",IF(AK93&lt;3,"",IF(H109=3,H115-J115,IF(J109=3,J115-H115,""))))</f>
        <v>21</v>
      </c>
      <c r="AJ111" s="48" t="str">
        <f>IF(AK94&lt;3,"",IF(AK93&lt;4,"",IF(K109=3,K115-M115,IF(M109=3,M115-K115,""))))</f>
        <v/>
      </c>
      <c r="AK111" s="48">
        <f>IF(AK94&lt;3,"",IF(AK93&lt;5,"",IF(N109=3,N115-P115,IF(P109=3,P115-N115,""))))</f>
        <v>-23</v>
      </c>
      <c r="AL111" s="48" t="str">
        <f>IF(AK94&lt;3,"",IF(AK93&lt;6,"",IF(Q109=3,Q115-S115,IF(S109=3,S115-Q115,""))))</f>
        <v/>
      </c>
      <c r="AM111" s="48">
        <f>IF(AK94&lt;3,"",IF(AK93&lt;7,"",IF(T109=3,T115-V115,IF(V109=3,V115-T115,""))))</f>
        <v>-8</v>
      </c>
      <c r="AN111" s="48" t="str">
        <f>IF(AK94&lt;3,"",IF(AK93&lt;8,"",IF(W109=3,W115-Y115,IF(Y109=3,Y115-W115,""))))</f>
        <v/>
      </c>
      <c r="AO111" s="48">
        <f>IF(AK94&lt;3,"",IF(AK93&lt;9,"",IF(Z109=3,Z115-AB115,IF(AB109=3,AB115-Z115,""))))</f>
        <v>16</v>
      </c>
      <c r="AP111" s="48" t="str">
        <f>IF(AK94&lt;3,"",IF(AK93&lt;9,"",IF(AC109=3,AC115-AE115,IF(AE109=3,AE115-AC115,""))))</f>
        <v/>
      </c>
      <c r="AQ111" s="44">
        <f>SUM(AG111:AP111)</f>
        <v>6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-18</v>
      </c>
      <c r="AI112" s="48" t="str">
        <f>IF(AK94&lt;4,"",IF(AK93&lt;3,"",IF(H109=4,H115-J115,IF(J109=4,J115-H115,""))))</f>
        <v/>
      </c>
      <c r="AJ112" s="48">
        <f>IF(AK94&lt;4,"",IF(AK93&lt;4,"",IF(K109=4,K115-M115,IF(M109=4,M115-K115,""))))</f>
        <v>-21</v>
      </c>
      <c r="AK112" s="48" t="str">
        <f>IF(AK94&lt;4,"",IF(AK93&lt;5,"",IF(N109=4,N115-P115,IF(P109=4,P115-N115,""))))</f>
        <v/>
      </c>
      <c r="AL112" s="48">
        <f>IF(AK94&lt;4,"",IF(AK93&lt;6,"",IF(Q109=4,Q115-S115,IF(S109=4,S115-Q115,""))))</f>
        <v>4</v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>
        <f>IF(AK94&lt;4,"",IF(AK93&lt;9,"",IF(Z109=4,Z115-AB115,IF(AB109=4,AB115-Z115,""))))</f>
        <v>-16</v>
      </c>
      <c r="AP112" s="48" t="str">
        <f>IF(AK94&lt;4,"",IF(AK93&lt;10,"",IF(AC109=4,AC115-AE115,IF(AE109=4,AE115-AC115,""))))</f>
        <v/>
      </c>
      <c r="AQ112" s="44">
        <f>SUM(AG112:AP112)</f>
        <v>-51</v>
      </c>
    </row>
    <row r="113" spans="1:49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>Team 5</v>
      </c>
      <c r="AG113" s="52">
        <f>IF(AK94&lt;5,"",IF(AK93&lt;1,"",IF(B109=5,B115-D115,IF(D109=5,D115-B115,""))))</f>
        <v>-25</v>
      </c>
      <c r="AH113" s="48" t="str">
        <f>IF(AK94&lt;5,"",IF(AK93&lt;2,"",IF(E109=5,E115-G115,IF(G109=5,G115-E115,""))))</f>
        <v/>
      </c>
      <c r="AI113" s="48">
        <f>IF(AK94&lt;5,"",IF(AK93&lt;3,"",IF(H109=5,H115-J115,IF(J109=5,J115-H115,""))))</f>
        <v>-21</v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>
        <f>IF(AK94&lt;5,"",IF(AK93&lt;6,"",IF(Q109=5,Q115-S115,IF(S109=5,S115-Q115,""))))</f>
        <v>-4</v>
      </c>
      <c r="AM113" s="48" t="str">
        <f>IF(AK94&lt;5,"",IF(AK93&lt;7,"",IF(T109=5,T115-V115,IF(V109=5,V115-T115,""))))</f>
        <v/>
      </c>
      <c r="AN113" s="48">
        <f>IF(AK94&lt;5,"",IF(AK93&lt;8,"",IF(W109=5,W115-Y115,IF(Y109=5,Y115-W115,""))))</f>
        <v>-29</v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-79</v>
      </c>
    </row>
    <row r="114" spans="1:49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3"/>
      <c r="B115" s="53">
        <f>IF($AK92=5,SUM(B110:B114),IF($AK92=4,SUM(B110:B113),IF($AK92=3,SUM(B110:B112),IF($AK92=2,SUM(B110:B111),B110))))</f>
        <v>50</v>
      </c>
      <c r="C115" s="53"/>
      <c r="D115" s="53">
        <f>IF($AK92=5,SUM(D110:D114),IF($AK92=4,SUM(D110:D113),IF($AK92=3,SUM(D110:D112),IF($AK92=2,SUM(D110:D111),D110))))</f>
        <v>25</v>
      </c>
      <c r="E115" s="53">
        <f>IF($AK92=5,SUM(E110:E114),IF($AK92=4,SUM(E110:E113),IF($AK92=3,SUM(E110:E112),IF($AK92=2,SUM(E110:E111),E110))))</f>
        <v>50</v>
      </c>
      <c r="F115" s="53"/>
      <c r="G115" s="53">
        <f>IF($AK92=5,SUM(G110:G114),IF($AK92=4,SUM(G110:G113),IF($AK92=3,SUM(G110:G112),IF($AK92=2,SUM(G110:G111),G110))))</f>
        <v>32</v>
      </c>
      <c r="H115" s="53">
        <f>IF($AK92=5,SUM(H110:H114),IF($AK92=4,SUM(H110:H113),IF($AK92=3,SUM(H110:H112),IF($AK92=2,SUM(H110:H111),H110))))</f>
        <v>50</v>
      </c>
      <c r="I115" s="53"/>
      <c r="J115" s="53">
        <f>IF($AK92=5,SUM(J110:J114),IF($AK92=4,SUM(J110:J113),IF($AK92=3,SUM(J110:J112),IF($AK92=2,SUM(J110:J111),J110))))</f>
        <v>29</v>
      </c>
      <c r="K115" s="53">
        <f>IF($AK92=5,SUM(K110:K114),IF($AK92=4,SUM(K110:K113),IF($AK92=3,SUM(K110:K112),IF($AK92=2,SUM(K110:K111),K110))))</f>
        <v>50</v>
      </c>
      <c r="L115" s="53"/>
      <c r="M115" s="53">
        <f>IF($AK92=5,SUM(M110:M114),IF($AK92=4,SUM(M110:M113),IF($AK92=3,SUM(M110:M112),IF($AK92=2,SUM(M110:M111),M110))))</f>
        <v>29</v>
      </c>
      <c r="N115" s="53">
        <f>IF($AK92=5,SUM(N110:N114),IF($AK92=4,SUM(N110:N113),IF($AK92=3,SUM(N110:N112),IF($AK92=2,SUM(N110:N111),N110))))</f>
        <v>50</v>
      </c>
      <c r="O115" s="53"/>
      <c r="P115" s="53">
        <f>IF($AK92=5,SUM(P110:P114),IF($AK92=4,SUM(P110:P113),IF($AK92=3,SUM(P110:P112),IF($AK92=2,SUM(P110:P111),P110))))</f>
        <v>27</v>
      </c>
      <c r="Q115" s="53">
        <f>IF($AK92=5,SUM(Q110:Q114),IF($AK92=4,SUM(Q110:Q113),IF($AK92=3,SUM(Q110:Q112),IF($AK92=2,SUM(Q110:Q111),Q110))))</f>
        <v>43</v>
      </c>
      <c r="R115" s="53"/>
      <c r="S115" s="53">
        <f>IF($AK92=5,SUM(S110:S114),IF($AK92=4,SUM(S110:S113),IF($AK92=3,SUM(S110:S112),IF($AK92=2,SUM(S110:S111),S110))))</f>
        <v>39</v>
      </c>
      <c r="T115" s="53">
        <f>IF($AK92=5,SUM(T110:T114),IF($AK92=4,SUM(T110:T113),IF($AK92=3,SUM(T110:T112),IF($AK92=2,SUM(T110:T111),T110))))</f>
        <v>50</v>
      </c>
      <c r="U115" s="53"/>
      <c r="V115" s="53">
        <f>IF($AK92=5,SUM(V110:V114),IF($AK92=4,SUM(V110:V113),IF($AK92=3,SUM(V110:V112),IF($AK92=2,SUM(V110:V111),V110))))</f>
        <v>42</v>
      </c>
      <c r="W115" s="53">
        <f>IF($AK92=5,SUM(W110:W114),IF($AK92=4,SUM(W110:W113),IF($AK92=3,SUM(W110:W112),IF($AK92=2,SUM(W110:W111),W110))))</f>
        <v>50</v>
      </c>
      <c r="X115" s="53"/>
      <c r="Y115" s="53">
        <f>IF($AK92=5,SUM(Y110:Y114),IF($AK92=4,SUM(Y110:Y113),IF($AK92=3,SUM(Y110:Y112),IF($AK92=2,SUM(Y110:Y111),Y110))))</f>
        <v>21</v>
      </c>
      <c r="Z115" s="53">
        <f>IF($AK92=5,SUM(Z110:Z114),IF($AK92=4,SUM(Z110:Z113),IF($AK92=3,SUM(Z110:Z112),IF($AK92=2,SUM(Z110:Z111),Z110))))</f>
        <v>50</v>
      </c>
      <c r="AA115" s="53"/>
      <c r="AB115" s="53">
        <f>IF($AK92=5,SUM(AB110:AB114),IF($AK92=4,SUM(AB110:AB113),IF($AK92=3,SUM(AB110:AB112),IF($AK92=2,SUM(AB110:AB111),AB110))))</f>
        <v>34</v>
      </c>
      <c r="AC115" s="53">
        <f>IF($AK92=5,SUM(AC110:AC114),IF($AK92=4,SUM(AC110:AC113),IF($AK92=3,SUM(AC110:AC112),IF($AK92=2,SUM(AC110:AC111),AC110))))</f>
        <v>39</v>
      </c>
      <c r="AD115" s="53"/>
      <c r="AE115" s="53">
        <f>IF($AK92=5,SUM(AE110:AE114),IF($AK92=4,SUM(AE110:AE113),IF($AK92=3,SUM(AE110:AE112),IF($AK92=2,SUM(AE110:AE111),AE110))))</f>
        <v>50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1</v>
      </c>
      <c r="F116" s="56"/>
      <c r="G116" s="57">
        <f>IF(AND(G110&gt;E110,$AK93&gt;1,ISNUMBER(E110),ISNUMBER(G110)),1,0)</f>
        <v>0</v>
      </c>
      <c r="H116" s="56">
        <f>IF(AND(H110&gt;J110,$AK93&gt;2,ISNUMBER(H110),ISNUMBER(J110)),1,0)</f>
        <v>1</v>
      </c>
      <c r="I116" s="56"/>
      <c r="J116" s="57">
        <f>IF(AND(J110&gt;H110,$AK93&gt;2,ISNUMBER(H110),ISNUMBER(J110)),1,0)</f>
        <v>0</v>
      </c>
      <c r="K116" s="56">
        <f>IF(AND(K110&gt;M110,$AK93&gt;3,ISNUMBER(K110),ISNUMBER(M110)),1,0)</f>
        <v>1</v>
      </c>
      <c r="L116" s="56"/>
      <c r="M116" s="57">
        <f>IF(AND(M110&gt;K110,$AK93&gt;3,ISNUMBER(K110),ISNUMBER(M110)),1,0)</f>
        <v>0</v>
      </c>
      <c r="N116" s="56">
        <f>IF(AND(N110&gt;P110,$AK93&gt;4,ISNUMBER(N110),ISNUMBER(P110)),1,0)</f>
        <v>1</v>
      </c>
      <c r="O116" s="56"/>
      <c r="P116" s="57">
        <f>IF(AND(P110&gt;N110,$AK93&gt;4,ISNUMBER(N110),ISNUMBER(P110)),1,0)</f>
        <v>0</v>
      </c>
      <c r="Q116" s="56">
        <f>IF(AND(Q110&gt;S110,$AK93&gt;5,ISNUMBER(Q110),ISNUMBER(S110)),1,0)</f>
        <v>1</v>
      </c>
      <c r="R116" s="56"/>
      <c r="S116" s="57">
        <f>IF(AND(S110&gt;Q110,$AK93&gt;5,ISNUMBER(Q110),ISNUMBER(S110)),1,0)</f>
        <v>0</v>
      </c>
      <c r="T116" s="56">
        <f>IF(AND(T110&gt;V110,$AK93&gt;6,ISNUMBER(T110),ISNUMBER(V110)),1,0)</f>
        <v>1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1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1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0</v>
      </c>
      <c r="AD116" s="56"/>
      <c r="AE116" s="57">
        <f>IF(AND(AE110&gt;AC110,$AK93&gt;9,ISNUMBER(AC110),ISNUMBER(AE110)),1,0)</f>
        <v>1</v>
      </c>
      <c r="AW116" s="58"/>
    </row>
    <row r="117" spans="1:49" s="55" customFormat="1" ht="12.75" hidden="1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1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1</v>
      </c>
      <c r="I117" s="56"/>
      <c r="J117" s="57">
        <f>IF(AND(J111&gt;H111,$AK93&gt;2,$AK92&gt;1,ISNUMBER(H111),ISNUMBER(J111)),1,0)</f>
        <v>0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1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0</v>
      </c>
      <c r="R117" s="56"/>
      <c r="S117" s="57">
        <f>IF(AND(S111&gt;Q111,$AK93&gt;5,$AK92&gt;1,ISNUMBER(Q111),ISNUMBER(S111)),1,0)</f>
        <v>1</v>
      </c>
      <c r="T117" s="56">
        <f>IF(AND(T111&gt;V111,$AK93&gt;6,$AK92&gt;1,ISNUMBER(T111),ISNUMBER(V111)),1,0)</f>
        <v>1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1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1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0</v>
      </c>
      <c r="AD117" s="56"/>
      <c r="AE117" s="57">
        <f>IF(AND(AE111&gt;AC111,$AK93&gt;9,$AK92&gt;1,ISNUMBER(AC111),ISNUMBER(AE111)),1,0)</f>
        <v>1</v>
      </c>
      <c r="AW117" s="58"/>
    </row>
    <row r="118" spans="1:49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  <c r="AW118" s="58"/>
    </row>
    <row r="119" spans="1:49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  <c r="AW119" s="58"/>
    </row>
    <row r="120" spans="1:49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  <c r="AW120" s="58"/>
    </row>
    <row r="121" spans="1:49" s="55" customFormat="1" ht="38.25" hidden="1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2</v>
      </c>
      <c r="G121" s="60">
        <f>SUM(G116:G120)</f>
        <v>0</v>
      </c>
      <c r="H121" s="55">
        <f>SUM(H116:H120)</f>
        <v>2</v>
      </c>
      <c r="J121" s="60">
        <f>SUM(J116:J120)</f>
        <v>0</v>
      </c>
      <c r="K121" s="55">
        <f>SUM(K116:K120)</f>
        <v>2</v>
      </c>
      <c r="M121" s="60">
        <f>SUM(M116:M120)</f>
        <v>0</v>
      </c>
      <c r="N121" s="55">
        <f>SUM(N116:N120)</f>
        <v>2</v>
      </c>
      <c r="P121" s="60">
        <f>SUM(P116:P120)</f>
        <v>0</v>
      </c>
      <c r="Q121" s="55">
        <f>SUM(Q116:Q120)</f>
        <v>1</v>
      </c>
      <c r="S121" s="60">
        <f>SUM(S116:S120)</f>
        <v>1</v>
      </c>
      <c r="T121" s="55">
        <f>SUM(T116:T120)</f>
        <v>2</v>
      </c>
      <c r="V121" s="60">
        <f>SUM(V116:V120)</f>
        <v>0</v>
      </c>
      <c r="W121" s="55">
        <f>SUM(W116:W120)</f>
        <v>2</v>
      </c>
      <c r="Y121" s="60">
        <f>SUM(Y116:Y120)</f>
        <v>0</v>
      </c>
      <c r="Z121" s="55">
        <f>SUM(Z116:Z120)</f>
        <v>2</v>
      </c>
      <c r="AB121" s="60">
        <f>SUM(AB116:AB120)</f>
        <v>0</v>
      </c>
      <c r="AC121" s="55">
        <f>SUM(AC116:AC120)</f>
        <v>0</v>
      </c>
      <c r="AE121" s="60">
        <f>SUM(AE116:AE120)</f>
        <v>2</v>
      </c>
      <c r="AW121" s="58"/>
    </row>
    <row r="122" spans="1:49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1</v>
      </c>
      <c r="F122" s="55">
        <f>E122+G122</f>
        <v>1</v>
      </c>
      <c r="G122" s="60">
        <f>IF(G121&gt;E121,IF(F156=AK92,1,IF(F156=AK92-1,1,0)),0)</f>
        <v>0</v>
      </c>
      <c r="H122" s="55">
        <f>IF(H121&gt;J121,IF(I156=AK92,1,IF(I156=AK92-1,1,0)),0)</f>
        <v>1</v>
      </c>
      <c r="I122" s="55">
        <f>H122+J122</f>
        <v>1</v>
      </c>
      <c r="J122" s="60">
        <f>IF(J121&gt;H121,IF(I156=AK92,1,IF(I156=AK92-1,1,0)),0)</f>
        <v>0</v>
      </c>
      <c r="K122" s="55">
        <f>IF(K121&gt;M121,IF(L156=AK92,1,IF(L156=AK92-1,1,0)),0)</f>
        <v>1</v>
      </c>
      <c r="L122" s="55">
        <f>K122+M122</f>
        <v>1</v>
      </c>
      <c r="M122" s="60">
        <f>IF(M121&gt;K121,IF(L156=AK92,1,IF(L156=AK92-1,1,0)),0)</f>
        <v>0</v>
      </c>
      <c r="N122" s="55">
        <f>IF(N121&gt;P121,IF(O156=AK92,1,IF(O156=AK92-1,1,0)),0)</f>
        <v>1</v>
      </c>
      <c r="O122" s="55">
        <f>N122+P122</f>
        <v>1</v>
      </c>
      <c r="P122" s="60">
        <f>IF(P121&gt;N121,IF(O156=AK92,1,IF(O156=AK92-1,1,0)),0)</f>
        <v>0</v>
      </c>
      <c r="Q122" s="55">
        <f>IF(Q121&gt;S121,IF(R156=AK92,1,IF(R156=AK92-1,1,0)),0)</f>
        <v>0</v>
      </c>
      <c r="R122" s="55">
        <f>Q122+S122</f>
        <v>0</v>
      </c>
      <c r="S122" s="60">
        <f>IF(S121&gt;Q121,IF(R156=AK92,1,IF(R156=AK92-1,1,0)),0)</f>
        <v>0</v>
      </c>
      <c r="T122" s="55">
        <f>IF(T121&gt;V121,IF(U156=AK92,1,IF(U156=AK92-1,1,0)),0)</f>
        <v>1</v>
      </c>
      <c r="U122" s="55">
        <f>T122+V122</f>
        <v>1</v>
      </c>
      <c r="V122" s="60">
        <f>IF(V121&gt;T121,IF(U156=AK92,1,IF(U156=AK92-1,1,0)),0)</f>
        <v>0</v>
      </c>
      <c r="W122" s="55">
        <f>IF(W121&gt;Y121,IF(X156=AK92,1,IF(X156=AK92-1,1,0)),0)</f>
        <v>1</v>
      </c>
      <c r="X122" s="55">
        <f>W122+Y122</f>
        <v>1</v>
      </c>
      <c r="Y122" s="60">
        <f>IF(Y121&gt;W121,IF(X156=AK92,1,IF(X156=AK92-1,1,0)),0)</f>
        <v>0</v>
      </c>
      <c r="Z122" s="55">
        <f>IF(Z121&gt;AB121,IF(AA156=AK92,1,IF(AA156=AK92-1,1,0)),0)</f>
        <v>1</v>
      </c>
      <c r="AA122" s="55">
        <f>Z122+AB122</f>
        <v>1</v>
      </c>
      <c r="AB122" s="60">
        <f>IF(AB121&gt;Z121,IF(AA156=AK92,1,IF(AA156=AK92-1,1,0)),0)</f>
        <v>0</v>
      </c>
      <c r="AC122" s="55">
        <f>IF(AC121&gt;AE121,IF(AD156=AK92,1,IF(AD156=AK92-1,1,0)),0)</f>
        <v>0</v>
      </c>
      <c r="AD122" s="55">
        <f>AC122+AE122</f>
        <v>1</v>
      </c>
      <c r="AE122" s="60">
        <f>IF(AE121&gt;AC121,IF(AD156=AK92,1,IF(AD156=AK92-1,1,0)),0)</f>
        <v>1</v>
      </c>
      <c r="AW122" s="58"/>
    </row>
    <row r="123" spans="1:49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  <c r="AW123" s="58"/>
    </row>
    <row r="124" spans="1:49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25</v>
      </c>
      <c r="G124" s="60">
        <f t="shared" ref="G124:H128" si="12">IF(G116=1,G110,0)</f>
        <v>0</v>
      </c>
      <c r="H124" s="55">
        <f t="shared" si="12"/>
        <v>25</v>
      </c>
      <c r="J124" s="60">
        <f t="shared" ref="J124:K128" si="13">IF(J116=1,J110,0)</f>
        <v>0</v>
      </c>
      <c r="K124" s="55">
        <f t="shared" si="13"/>
        <v>25</v>
      </c>
      <c r="M124" s="60">
        <f t="shared" ref="M124:N128" si="14">IF(M116=1,M110,0)</f>
        <v>0</v>
      </c>
      <c r="N124" s="55">
        <f t="shared" si="14"/>
        <v>25</v>
      </c>
      <c r="P124" s="60">
        <f t="shared" ref="P124:Q128" si="15">IF(P116=1,P110,0)</f>
        <v>0</v>
      </c>
      <c r="Q124" s="55">
        <f t="shared" si="15"/>
        <v>25</v>
      </c>
      <c r="S124" s="60">
        <f t="shared" ref="S124:T128" si="16">IF(S116=1,S110,0)</f>
        <v>0</v>
      </c>
      <c r="T124" s="55">
        <f t="shared" si="16"/>
        <v>25</v>
      </c>
      <c r="V124" s="60">
        <f t="shared" ref="V124:W128" si="17">IF(V116=1,V110,0)</f>
        <v>0</v>
      </c>
      <c r="W124" s="55">
        <f t="shared" si="17"/>
        <v>25</v>
      </c>
      <c r="Y124" s="60">
        <f t="shared" ref="Y124:Z128" si="18">IF(Y116=1,Y110,0)</f>
        <v>0</v>
      </c>
      <c r="Z124" s="55">
        <f t="shared" si="18"/>
        <v>25</v>
      </c>
      <c r="AB124" s="60">
        <f t="shared" ref="AB124:AC128" si="19">IF(AB116=1,AB110,0)</f>
        <v>0</v>
      </c>
      <c r="AC124" s="55">
        <f t="shared" si="19"/>
        <v>0</v>
      </c>
      <c r="AE124" s="60">
        <f>IF(AE116=1,AE110,0)</f>
        <v>25</v>
      </c>
      <c r="AW124" s="58"/>
    </row>
    <row r="125" spans="1:49" s="55" customFormat="1" ht="12.75" hidden="1" customHeight="1" x14ac:dyDescent="0.2">
      <c r="A125" s="55" t="s">
        <v>89</v>
      </c>
      <c r="B125" s="55">
        <f>IF(B117=1,B111,0)</f>
        <v>25</v>
      </c>
      <c r="D125" s="60">
        <f t="shared" si="11"/>
        <v>0</v>
      </c>
      <c r="E125" s="55">
        <f t="shared" si="11"/>
        <v>25</v>
      </c>
      <c r="G125" s="60">
        <f t="shared" si="12"/>
        <v>0</v>
      </c>
      <c r="H125" s="55">
        <f t="shared" si="12"/>
        <v>25</v>
      </c>
      <c r="J125" s="60">
        <f t="shared" si="13"/>
        <v>0</v>
      </c>
      <c r="K125" s="55">
        <f t="shared" si="13"/>
        <v>25</v>
      </c>
      <c r="M125" s="60">
        <f t="shared" si="14"/>
        <v>0</v>
      </c>
      <c r="N125" s="55">
        <f t="shared" si="14"/>
        <v>25</v>
      </c>
      <c r="P125" s="60">
        <f t="shared" si="15"/>
        <v>0</v>
      </c>
      <c r="Q125" s="55">
        <f t="shared" si="15"/>
        <v>0</v>
      </c>
      <c r="S125" s="60">
        <f t="shared" si="16"/>
        <v>25</v>
      </c>
      <c r="T125" s="55">
        <f t="shared" si="16"/>
        <v>25</v>
      </c>
      <c r="V125" s="60">
        <f t="shared" si="17"/>
        <v>0</v>
      </c>
      <c r="W125" s="55">
        <f t="shared" si="17"/>
        <v>25</v>
      </c>
      <c r="Y125" s="60">
        <f t="shared" si="18"/>
        <v>0</v>
      </c>
      <c r="Z125" s="55">
        <f t="shared" si="18"/>
        <v>25</v>
      </c>
      <c r="AB125" s="60">
        <f t="shared" si="19"/>
        <v>0</v>
      </c>
      <c r="AC125" s="55">
        <f t="shared" si="19"/>
        <v>0</v>
      </c>
      <c r="AE125" s="60">
        <f>IF(AE117=1,AE111,0)</f>
        <v>25</v>
      </c>
      <c r="AW125" s="58"/>
    </row>
    <row r="126" spans="1:49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  <c r="AW126" s="58"/>
    </row>
    <row r="127" spans="1:49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  <c r="AW127" s="58"/>
    </row>
    <row r="128" spans="1:49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  <c r="AW128" s="58"/>
    </row>
    <row r="129" spans="1:49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50</v>
      </c>
      <c r="G129" s="60"/>
      <c r="H129" s="55">
        <f>SUM(H124:J128)</f>
        <v>50</v>
      </c>
      <c r="J129" s="60"/>
      <c r="K129" s="55">
        <f>SUM(K124:M128)</f>
        <v>50</v>
      </c>
      <c r="M129" s="60"/>
      <c r="N129" s="55">
        <f>SUM(N124:P128)</f>
        <v>50</v>
      </c>
      <c r="P129" s="60"/>
      <c r="Q129" s="55">
        <f>SUM(Q124:S128)</f>
        <v>50</v>
      </c>
      <c r="S129" s="60"/>
      <c r="T129" s="55">
        <f>SUM(T124:V128)</f>
        <v>50</v>
      </c>
      <c r="V129" s="60"/>
      <c r="W129" s="55">
        <f>SUM(W124:Y128)</f>
        <v>50</v>
      </c>
      <c r="Y129" s="60"/>
      <c r="Z129" s="55">
        <f>SUM(Z124:AB128)</f>
        <v>50</v>
      </c>
      <c r="AB129" s="60"/>
      <c r="AC129" s="55">
        <f>SUM(AC124:AE128)</f>
        <v>50</v>
      </c>
      <c r="AE129" s="60"/>
      <c r="AW129" s="58"/>
    </row>
    <row r="130" spans="1:49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  <c r="AW130" s="58"/>
    </row>
    <row r="131" spans="1:49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1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1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1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3</v>
      </c>
      <c r="AG131" s="55">
        <f>AF137-AF131</f>
        <v>1</v>
      </c>
      <c r="AW131" s="58"/>
    </row>
    <row r="132" spans="1:49" s="55" customFormat="1" ht="12.75" hidden="1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1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1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1</v>
      </c>
      <c r="AF132" s="55">
        <f>SUM(B132:AE132)</f>
        <v>4</v>
      </c>
      <c r="AG132" s="55">
        <f>AF138-AF132</f>
        <v>0</v>
      </c>
      <c r="AW132" s="58"/>
    </row>
    <row r="133" spans="1:49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1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1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2</v>
      </c>
      <c r="AG133" s="55">
        <f>AF139-AF133</f>
        <v>2</v>
      </c>
      <c r="AW133" s="58"/>
    </row>
    <row r="134" spans="1:49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0</v>
      </c>
      <c r="AG134" s="55">
        <f>AF140-AF134</f>
        <v>3</v>
      </c>
      <c r="AW134" s="58"/>
    </row>
    <row r="135" spans="1:49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0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0</v>
      </c>
      <c r="AG135" s="55">
        <f>AF141-AF135</f>
        <v>3</v>
      </c>
      <c r="AW135" s="58"/>
    </row>
    <row r="136" spans="1:49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  <c r="AW136" s="58"/>
    </row>
    <row r="137" spans="1:49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0</v>
      </c>
      <c r="M137" s="60">
        <f>IF(M109=1,IF(L122=1,1,0),0)</f>
        <v>0</v>
      </c>
      <c r="N137" s="55">
        <f>IF(N109=1,IF(O122=1,1,0),0)</f>
        <v>1</v>
      </c>
      <c r="P137" s="60">
        <f>IF(P109=1,IF(O122=1,1,0),0)</f>
        <v>0</v>
      </c>
      <c r="Q137" s="55">
        <f>IF(Q109=1,IF(R122=1,1,0),0)</f>
        <v>0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1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1</v>
      </c>
      <c r="AE137" s="60">
        <f>IF(AE109=1,IF(AD122=1,1,0),0)</f>
        <v>0</v>
      </c>
      <c r="AF137" s="55">
        <f>SUM(B137:AE137)</f>
        <v>4</v>
      </c>
      <c r="AW137" s="58"/>
    </row>
    <row r="138" spans="1:49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0</v>
      </c>
      <c r="K138" s="55">
        <f>IF(K109=2,IF(L122=1,1,0),0)</f>
        <v>1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0</v>
      </c>
      <c r="T138" s="55">
        <f>IF(T109=2,IF(U122=1,1,0),0)</f>
        <v>1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1</v>
      </c>
      <c r="AF138" s="55">
        <f>SUM(B138:AE138)</f>
        <v>4</v>
      </c>
      <c r="AW138" s="58"/>
    </row>
    <row r="139" spans="1:49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0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1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0</v>
      </c>
      <c r="N139" s="55">
        <f>IF(N109=3,IF(O122=1,1,0),0)</f>
        <v>0</v>
      </c>
      <c r="P139" s="60">
        <f>IF(P109=3,IF(O122=1,1,0),0)</f>
        <v>1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1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1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4</v>
      </c>
      <c r="AW139" s="58"/>
    </row>
    <row r="140" spans="1:49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1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0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1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3</v>
      </c>
      <c r="AW140" s="58"/>
    </row>
    <row r="141" spans="1:49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1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1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0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1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3</v>
      </c>
      <c r="AW141" s="58"/>
    </row>
    <row r="142" spans="1:49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  <c r="AW142" s="58"/>
    </row>
    <row r="143" spans="1:49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0</v>
      </c>
      <c r="M143" s="60">
        <f>IF(M109=1,K129,0)</f>
        <v>0</v>
      </c>
      <c r="N143" s="55">
        <f>IF(N109=1,N129,0)</f>
        <v>50</v>
      </c>
      <c r="P143" s="60">
        <f>IF(P109=1,N129,0)</f>
        <v>0</v>
      </c>
      <c r="Q143" s="55">
        <f>IF(Q109=1,Q129,0)</f>
        <v>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50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50</v>
      </c>
      <c r="AE143" s="60">
        <f>IF(AE109=1,AC129,0)</f>
        <v>0</v>
      </c>
      <c r="AF143" s="55">
        <f>SUM(B143:AE143)</f>
        <v>200</v>
      </c>
      <c r="AW143" s="58"/>
    </row>
    <row r="144" spans="1:49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0</v>
      </c>
      <c r="J144" s="60">
        <f>IF(J109=2,H129,0)</f>
        <v>0</v>
      </c>
      <c r="K144" s="55">
        <f>IF(K109=2,K129,0)</f>
        <v>50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0</v>
      </c>
      <c r="T144" s="55">
        <f>IF(T109=2,T129,0)</f>
        <v>50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50</v>
      </c>
      <c r="AF144" s="55">
        <f>SUM(B144:AE144)</f>
        <v>200</v>
      </c>
      <c r="AW144" s="58"/>
    </row>
    <row r="145" spans="1:49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0</v>
      </c>
      <c r="E145" s="55">
        <f>IF(E109=3,E129,0)</f>
        <v>0</v>
      </c>
      <c r="G145" s="60">
        <f>IF(G109=3,E129,0)</f>
        <v>0</v>
      </c>
      <c r="H145" s="55">
        <f>IF(H109=3,H129,0)</f>
        <v>50</v>
      </c>
      <c r="J145" s="60">
        <f>IF(J109=3,H129,0)</f>
        <v>0</v>
      </c>
      <c r="K145" s="55">
        <f>IF(K109=3,K129,0)</f>
        <v>0</v>
      </c>
      <c r="M145" s="60">
        <f>IF(M109=3,K129,0)</f>
        <v>0</v>
      </c>
      <c r="N145" s="55">
        <f>IF(N109=3,N129,0)</f>
        <v>0</v>
      </c>
      <c r="P145" s="60">
        <f>IF(P109=3,N129,0)</f>
        <v>50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50</v>
      </c>
      <c r="W145" s="55">
        <f>IF(W109=3,W129,0)</f>
        <v>0</v>
      </c>
      <c r="Y145" s="60">
        <f>IF(Y109=3,W129,0)</f>
        <v>0</v>
      </c>
      <c r="Z145" s="55">
        <f>IF(Z109=3,Z129,0)</f>
        <v>50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200</v>
      </c>
      <c r="AW145" s="58"/>
    </row>
    <row r="146" spans="1:49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50</v>
      </c>
      <c r="N146" s="55">
        <f>IF(N109=4,N129,0)</f>
        <v>0</v>
      </c>
      <c r="P146" s="60">
        <f>IF(P109=4,N129,0)</f>
        <v>0</v>
      </c>
      <c r="Q146" s="55">
        <f>IF(Q109=4,Q129,0)</f>
        <v>50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50</v>
      </c>
      <c r="AC146" s="55">
        <f>IF(AC109=4,AC129,0)</f>
        <v>0</v>
      </c>
      <c r="AE146" s="60">
        <f>IF(AE109=4,AC129,0)</f>
        <v>0</v>
      </c>
      <c r="AF146" s="55">
        <f>SUM(B146:AE146)</f>
        <v>200</v>
      </c>
      <c r="AW146" s="58"/>
    </row>
    <row r="147" spans="1:49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50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50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50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50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200</v>
      </c>
      <c r="AW147" s="58"/>
    </row>
    <row r="148" spans="1:49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  <c r="AW148" s="58"/>
    </row>
    <row r="149" spans="1:49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2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2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2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0</v>
      </c>
      <c r="AE149" s="60">
        <f>IF(AE109=1,SUMIF(AE116:AE120,"&gt;0"),0)</f>
        <v>0</v>
      </c>
      <c r="AF149" s="55">
        <f>SUM(B149:AE149)</f>
        <v>6</v>
      </c>
      <c r="AG149" s="55">
        <f>AF157-AF149</f>
        <v>2</v>
      </c>
      <c r="AW149" s="58"/>
    </row>
    <row r="150" spans="1:49" s="55" customFormat="1" ht="12.75" hidden="1" customHeight="1" x14ac:dyDescent="0.2">
      <c r="A150" s="55" t="s">
        <v>98</v>
      </c>
      <c r="B150" s="55">
        <f>IF(B109=2,SUMIF(B116:B120,"&gt;0"),0)</f>
        <v>2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2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2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2</v>
      </c>
      <c r="AF150" s="55">
        <f>SUM(B150:AE150)</f>
        <v>8</v>
      </c>
      <c r="AG150" s="55">
        <f>AF158-AF150</f>
        <v>0</v>
      </c>
      <c r="AW150" s="58"/>
    </row>
    <row r="151" spans="1:49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2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0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2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4</v>
      </c>
      <c r="AG151" s="55">
        <f>AF159-AF151</f>
        <v>4</v>
      </c>
      <c r="AW151" s="58"/>
    </row>
    <row r="152" spans="1:49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1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0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1</v>
      </c>
      <c r="AG152" s="55">
        <f>AF160-AF152</f>
        <v>7</v>
      </c>
      <c r="AW152" s="58"/>
    </row>
    <row r="153" spans="1:49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0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1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1</v>
      </c>
      <c r="AG153" s="55">
        <f>AF161-AF153</f>
        <v>7</v>
      </c>
      <c r="AW153" s="58"/>
    </row>
    <row r="154" spans="1:49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  <c r="AW154" s="58"/>
    </row>
    <row r="155" spans="1:49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  <c r="AW155" s="58"/>
    </row>
    <row r="156" spans="1:49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2</v>
      </c>
      <c r="V156" s="60"/>
      <c r="X156" s="55">
        <f>SUMIF(W149:Y153,"&gt;0")</f>
        <v>2</v>
      </c>
      <c r="Y156" s="60"/>
      <c r="AA156" s="55">
        <f>SUMIF(Z149:AB153,"&gt;0")</f>
        <v>2</v>
      </c>
      <c r="AB156" s="60"/>
      <c r="AD156" s="55">
        <f>SUMIF(AC149:AE153,"&gt;0")</f>
        <v>2</v>
      </c>
      <c r="AE156" s="60"/>
      <c r="AF156" s="59" t="s">
        <v>113</v>
      </c>
      <c r="AW156" s="58"/>
    </row>
    <row r="157" spans="1:49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0</v>
      </c>
      <c r="M157" s="60">
        <f>IF(M109=1,L156,0)</f>
        <v>0</v>
      </c>
      <c r="N157" s="55">
        <f>IF(N109=1,O156,0)</f>
        <v>2</v>
      </c>
      <c r="P157" s="60">
        <f>IF(P109=1,O156,0)</f>
        <v>0</v>
      </c>
      <c r="Q157" s="55">
        <f>IF(Q109=1,R156,0)</f>
        <v>0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2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2</v>
      </c>
      <c r="AE157" s="60">
        <f>IF(AE109=1,AD156,0)</f>
        <v>0</v>
      </c>
      <c r="AF157" s="55">
        <f>SUM(B157:AE157)</f>
        <v>8</v>
      </c>
      <c r="AW157" s="58"/>
    </row>
    <row r="158" spans="1:49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0</v>
      </c>
      <c r="J158" s="60">
        <f>IF(J109=2,I156,0)</f>
        <v>0</v>
      </c>
      <c r="K158" s="55">
        <f>IF(K109=2,L156,0)</f>
        <v>2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0</v>
      </c>
      <c r="T158" s="55">
        <f>IF(T109=2,U156,0)</f>
        <v>2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2</v>
      </c>
      <c r="AF158" s="55">
        <f>SUM(B158:AE158)</f>
        <v>8</v>
      </c>
      <c r="AW158" s="58"/>
    </row>
    <row r="159" spans="1:49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0</v>
      </c>
      <c r="E159" s="55">
        <f>IF(E109=3,F156,0)</f>
        <v>0</v>
      </c>
      <c r="G159" s="60">
        <f>IF(G109=3,F156,0)</f>
        <v>0</v>
      </c>
      <c r="H159" s="55">
        <f>IF(H109=3,I156,0)</f>
        <v>2</v>
      </c>
      <c r="J159" s="60">
        <f>IF(J109=3,I156,0)</f>
        <v>0</v>
      </c>
      <c r="K159" s="55">
        <f>IF(K109=3,L156,0)</f>
        <v>0</v>
      </c>
      <c r="M159" s="60">
        <f>IF(M109=3,L156,0)</f>
        <v>0</v>
      </c>
      <c r="N159" s="55">
        <f>IF(N109=3,O156,0)</f>
        <v>0</v>
      </c>
      <c r="P159" s="60">
        <f>IF(P109=3,O156,0)</f>
        <v>2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2</v>
      </c>
      <c r="W159" s="55">
        <f>IF(W109=3,X156,0)</f>
        <v>0</v>
      </c>
      <c r="Y159" s="60">
        <f>IF(Y109=3,X156,0)</f>
        <v>0</v>
      </c>
      <c r="Z159" s="55">
        <f>IF(Z109=3,AA156,0)</f>
        <v>2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8</v>
      </c>
      <c r="AW159" s="58"/>
    </row>
    <row r="160" spans="1:49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2</v>
      </c>
      <c r="N160" s="55">
        <f>IF(N109=4,O156,0)</f>
        <v>0</v>
      </c>
      <c r="P160" s="60">
        <f>IF(P109=4,O156,0)</f>
        <v>0</v>
      </c>
      <c r="Q160" s="55">
        <f>IF(Q109=4,R156,0)</f>
        <v>2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2</v>
      </c>
      <c r="AC160" s="55">
        <f>IF(AC109=4,AD156,0)</f>
        <v>0</v>
      </c>
      <c r="AE160" s="60">
        <f>IF(AE109=4,AD156,0)</f>
        <v>0</v>
      </c>
      <c r="AF160" s="55">
        <f>SUM(B160:AE160)</f>
        <v>8</v>
      </c>
      <c r="AW160" s="58"/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2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2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2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2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8</v>
      </c>
      <c r="AW161" s="58"/>
    </row>
    <row r="162" spans="1:54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BB162" s="130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KVC 16</v>
      </c>
      <c r="C164" s="67">
        <f>VLOOKUP(B164,AU$3:AY$12,3,FALSE)</f>
        <v>2504.8525408531418</v>
      </c>
      <c r="D164" s="67">
        <f>IF(B157,B172,IF(D157,D172,C164))</f>
        <v>2504.8525408531418</v>
      </c>
      <c r="E164" s="67"/>
      <c r="F164" s="67"/>
      <c r="G164" s="67">
        <f>IF(E157,E172,IF(G157,G172,D164))</f>
        <v>2522.010970926794</v>
      </c>
      <c r="H164" s="67"/>
      <c r="I164" s="67"/>
      <c r="J164" s="67">
        <f>IF(H157,H172,IF(J157,J172,G164))</f>
        <v>2522.010970926794</v>
      </c>
      <c r="K164" s="67"/>
      <c r="L164" s="67"/>
      <c r="M164" s="67">
        <f>IF(K157,K172,IF(M157,M172,J164))</f>
        <v>2522.010970926794</v>
      </c>
      <c r="N164" s="67"/>
      <c r="O164" s="67"/>
      <c r="P164" s="67">
        <f>IF(N157,N172,IF(P157,P172,M164))</f>
        <v>2541.7845166173611</v>
      </c>
      <c r="Q164" s="67"/>
      <c r="R164" s="67"/>
      <c r="S164" s="67">
        <f>IF(Q157,Q172,IF(S157,S172,P164))</f>
        <v>2541.7845166173611</v>
      </c>
      <c r="T164" s="67"/>
      <c r="U164" s="67"/>
      <c r="V164" s="67">
        <f>IF(T157,T172,IF(V157,V172,S164))</f>
        <v>2541.7845166173611</v>
      </c>
      <c r="W164" s="67"/>
      <c r="X164" s="67"/>
      <c r="Y164" s="67">
        <f>IF(W157,W172,IF(Y157,Y172,V164))</f>
        <v>2548.3318702201368</v>
      </c>
      <c r="Z164" s="67"/>
      <c r="AA164" s="67"/>
      <c r="AB164" s="67">
        <f>IF(Z157,Z172,IF(AB157,AB172,Y164))</f>
        <v>2548.3318702201368</v>
      </c>
      <c r="AC164" s="67"/>
      <c r="AD164" s="67"/>
      <c r="AE164" s="67">
        <f>IF(AC157,AC172,IF(AE157,AE172,AB164))</f>
        <v>2497.3788195621469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KVC 16</v>
      </c>
      <c r="AU164" s="63">
        <f>AE164</f>
        <v>2497.3788195621469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Upward Stars 15 Mark</v>
      </c>
      <c r="C165" s="67">
        <f>VLOOKUP(B165,AU$3:AY$12,3,FALSE)</f>
        <v>2200</v>
      </c>
      <c r="D165" s="67">
        <f>IF(B158,B172,IF(D158,D172,C165))</f>
        <v>2232.1436513393169</v>
      </c>
      <c r="E165" s="67"/>
      <c r="F165" s="67"/>
      <c r="G165" s="67">
        <f>IF(E158,E172,IF(G158,G172,D165))</f>
        <v>2232.1436513393169</v>
      </c>
      <c r="H165" s="67"/>
      <c r="I165" s="67"/>
      <c r="J165" s="67">
        <f>IF(H158,H172,IF(J158,J172,G165))</f>
        <v>2232.1436513393169</v>
      </c>
      <c r="K165" s="67"/>
      <c r="L165" s="67"/>
      <c r="M165" s="67">
        <f>IF(K158,K172,IF(M158,M172,J165))</f>
        <v>2271.4794967750272</v>
      </c>
      <c r="N165" s="67"/>
      <c r="O165" s="67"/>
      <c r="P165" s="67">
        <f>IF(N158,N172,IF(P158,P172,M165))</f>
        <v>2271.4794967750272</v>
      </c>
      <c r="Q165" s="67"/>
      <c r="R165" s="67"/>
      <c r="S165" s="67">
        <f>IF(Q158,Q172,IF(S158,S172,P165))</f>
        <v>2271.4794967750272</v>
      </c>
      <c r="T165" s="67"/>
      <c r="U165" s="67"/>
      <c r="V165" s="67">
        <f>IF(T158,T172,IF(V158,V172,S165))</f>
        <v>2311.6673842037785</v>
      </c>
      <c r="W165" s="67"/>
      <c r="X165" s="67"/>
      <c r="Y165" s="67">
        <f>IF(W158,W172,IF(Y158,Y172,V165))</f>
        <v>2311.6673842037785</v>
      </c>
      <c r="Z165" s="67"/>
      <c r="AA165" s="67"/>
      <c r="AB165" s="67">
        <f>IF(Z158,Z172,IF(AB158,AB172,Y165))</f>
        <v>2311.6673842037785</v>
      </c>
      <c r="AC165" s="67"/>
      <c r="AD165" s="67"/>
      <c r="AE165" s="67">
        <f>IF(AC158,AC172,IF(AE158,AE172,AB165))</f>
        <v>2362.6204348617684</v>
      </c>
      <c r="AF165" s="4"/>
      <c r="AG165" s="4"/>
      <c r="AJ165" s="4"/>
      <c r="AL165" s="4"/>
      <c r="AM165" s="4"/>
      <c r="AN165" s="4"/>
      <c r="AO165" s="4"/>
      <c r="AT165" s="63" t="str">
        <f>B165</f>
        <v>Upward Stars 15 Mark</v>
      </c>
      <c r="AU165" s="63">
        <f>AE165</f>
        <v>2362.6204348617684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Lake Murray 16 Black</v>
      </c>
      <c r="C166" s="67">
        <f>VLOOKUP(B166,AU$3:AY$12,3,FALSE)</f>
        <v>2366.6059849945268</v>
      </c>
      <c r="D166" s="67">
        <f>IF(B159,B172,IF(D159,D172,C166))</f>
        <v>2366.6059849945268</v>
      </c>
      <c r="E166" s="67"/>
      <c r="F166" s="67"/>
      <c r="G166" s="67">
        <f>IF(E159,E172,IF(G159,G172,D166))</f>
        <v>2366.6059849945268</v>
      </c>
      <c r="H166" s="67"/>
      <c r="I166" s="67"/>
      <c r="J166" s="67">
        <f>IF(H159,H172,IF(J159,J172,G166))</f>
        <v>2382.1719424952803</v>
      </c>
      <c r="K166" s="67"/>
      <c r="L166" s="67"/>
      <c r="M166" s="67">
        <f>IF(K159,K172,IF(M159,M172,J166))</f>
        <v>2382.1719424952803</v>
      </c>
      <c r="N166" s="67"/>
      <c r="O166" s="67"/>
      <c r="P166" s="67">
        <f>IF(N159,N172,IF(P159,P172,M166))</f>
        <v>2362.3983968047132</v>
      </c>
      <c r="Q166" s="67"/>
      <c r="R166" s="67"/>
      <c r="S166" s="67">
        <f>IF(Q159,Q172,IF(S159,S172,P166))</f>
        <v>2362.3983968047132</v>
      </c>
      <c r="T166" s="67"/>
      <c r="U166" s="67"/>
      <c r="V166" s="67">
        <f>IF(T159,T172,IF(V159,V172,S166))</f>
        <v>2322.2105093759619</v>
      </c>
      <c r="W166" s="67"/>
      <c r="X166" s="67"/>
      <c r="Y166" s="67">
        <f>IF(W159,W172,IF(Y159,Y172,V166))</f>
        <v>2322.2105093759619</v>
      </c>
      <c r="Z166" s="67"/>
      <c r="AA166" s="67"/>
      <c r="AB166" s="67">
        <f>IF(Z159,Z172,IF(AB159,AB172,Y166))</f>
        <v>2348.8324742187001</v>
      </c>
      <c r="AC166" s="67"/>
      <c r="AD166" s="67"/>
      <c r="AE166" s="67">
        <f>IF(AC159,AC172,IF(AE159,AE172,AB166))</f>
        <v>2348.8324742187001</v>
      </c>
      <c r="AF166" s="4"/>
      <c r="AG166" s="4"/>
      <c r="AJ166" s="4"/>
      <c r="AL166" s="4"/>
      <c r="AM166" s="4"/>
      <c r="AN166" s="4"/>
      <c r="AO166" s="4"/>
      <c r="AT166" s="63" t="str">
        <f>B166</f>
        <v>Lake Murray 16 Black</v>
      </c>
      <c r="AU166" s="63">
        <f>AE166</f>
        <v>2348.8324742187001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Club Coastal 16 White</v>
      </c>
      <c r="C167" s="67">
        <f>VLOOKUP(B167,AU$3:AY$12,3,FALSE)</f>
        <v>2330.3909835910367</v>
      </c>
      <c r="D167" s="67">
        <f>IF(B160,B172,IF(D160,D172,C167))</f>
        <v>2330.3909835910367</v>
      </c>
      <c r="E167" s="67"/>
      <c r="F167" s="67"/>
      <c r="G167" s="67">
        <f>IF(E160,E172,IF(G160,G172,D167))</f>
        <v>2313.2325535173845</v>
      </c>
      <c r="H167" s="67"/>
      <c r="I167" s="67"/>
      <c r="J167" s="67">
        <f>IF(H160,H172,IF(J160,J172,G167))</f>
        <v>2313.2325535173845</v>
      </c>
      <c r="K167" s="67"/>
      <c r="L167" s="67"/>
      <c r="M167" s="67">
        <f>IF(K160,K172,IF(M160,M172,J167))</f>
        <v>2273.8967080816742</v>
      </c>
      <c r="N167" s="67"/>
      <c r="O167" s="67"/>
      <c r="P167" s="67">
        <f>IF(N160,N172,IF(P160,P172,M167))</f>
        <v>2273.8967080816742</v>
      </c>
      <c r="Q167" s="67"/>
      <c r="R167" s="67"/>
      <c r="S167" s="67">
        <f>IF(Q160,Q172,IF(S160,S172,P167))</f>
        <v>2263.259964329427</v>
      </c>
      <c r="T167" s="67"/>
      <c r="U167" s="67"/>
      <c r="V167" s="67">
        <f>IF(T160,T172,IF(V160,V172,S167))</f>
        <v>2263.259964329427</v>
      </c>
      <c r="W167" s="67"/>
      <c r="X167" s="67"/>
      <c r="Y167" s="67">
        <f>IF(W160,W172,IF(Y160,Y172,V167))</f>
        <v>2263.259964329427</v>
      </c>
      <c r="Z167" s="67"/>
      <c r="AA167" s="67"/>
      <c r="AB167" s="67">
        <f>IF(Z160,Z172,IF(AB160,AB172,Y167))</f>
        <v>2236.6379994866888</v>
      </c>
      <c r="AC167" s="67"/>
      <c r="AD167" s="67"/>
      <c r="AE167" s="67">
        <f>IF(AC160,AC172,IF(AE160,AE172,AB167))</f>
        <v>2236.6379994866888</v>
      </c>
      <c r="AF167" s="4"/>
      <c r="AG167" s="4"/>
      <c r="AJ167" s="4"/>
      <c r="AL167" s="4"/>
      <c r="AM167" s="4"/>
      <c r="AN167" s="4"/>
      <c r="AO167" s="4"/>
      <c r="AT167" s="63" t="str">
        <f>B167</f>
        <v>Club Coastal 16 White</v>
      </c>
      <c r="AU167" s="63">
        <f>AE167</f>
        <v>2236.6379994866888</v>
      </c>
      <c r="AW167" s="66"/>
      <c r="BB167" s="66"/>
    </row>
    <row r="168" spans="1:54" s="63" customFormat="1" hidden="1" x14ac:dyDescent="0.2">
      <c r="A168" s="67">
        <v>5</v>
      </c>
      <c r="B168" s="67" t="str">
        <f>E101</f>
        <v>SC Midlands 16 Black</v>
      </c>
      <c r="C168" s="67">
        <f>VLOOKUP(B168,AU$3:AY$12,3,FALSE)</f>
        <v>2201.5596850765965</v>
      </c>
      <c r="D168" s="67">
        <f>IF(B161,B172,IF(D161,D172,C168))</f>
        <v>2169.4160337372796</v>
      </c>
      <c r="E168" s="67"/>
      <c r="F168" s="67"/>
      <c r="G168" s="67">
        <f>IF(E161,E172,IF(G161,G172,D168))</f>
        <v>2169.4160337372796</v>
      </c>
      <c r="H168" s="67"/>
      <c r="I168" s="67"/>
      <c r="J168" s="67">
        <f>IF(H161,H172,IF(J161,J172,G168))</f>
        <v>2153.8500762365261</v>
      </c>
      <c r="K168" s="67"/>
      <c r="L168" s="67"/>
      <c r="M168" s="67">
        <f>IF(K161,K172,IF(M161,M172,J168))</f>
        <v>2153.8500762365261</v>
      </c>
      <c r="N168" s="67"/>
      <c r="O168" s="67"/>
      <c r="P168" s="67">
        <f>IF(N161,N172,IF(P161,P172,M168))</f>
        <v>2153.8500762365261</v>
      </c>
      <c r="Q168" s="67"/>
      <c r="R168" s="67"/>
      <c r="S168" s="67">
        <f>IF(Q161,Q172,IF(S161,S172,P168))</f>
        <v>2164.4868199887733</v>
      </c>
      <c r="T168" s="67"/>
      <c r="U168" s="67"/>
      <c r="V168" s="67">
        <f>IF(T161,T172,IF(V161,V172,S168))</f>
        <v>2164.4868199887733</v>
      </c>
      <c r="W168" s="67"/>
      <c r="X168" s="67"/>
      <c r="Y168" s="67">
        <f>IF(W161,W172,IF(Y161,Y172,V168))</f>
        <v>2157.9394663859975</v>
      </c>
      <c r="Z168" s="67"/>
      <c r="AA168" s="67"/>
      <c r="AB168" s="67">
        <f>IF(Z161,Z172,IF(AB161,AB172,Y168))</f>
        <v>2157.9394663859975</v>
      </c>
      <c r="AC168" s="67"/>
      <c r="AD168" s="67"/>
      <c r="AE168" s="67">
        <f>IF(AC161,AC172,IF(AE161,AE172,AB168))</f>
        <v>2157.9394663859975</v>
      </c>
      <c r="AF168" s="4"/>
      <c r="AG168" s="4"/>
      <c r="AJ168" s="4"/>
      <c r="AL168" s="4"/>
      <c r="AM168" s="4"/>
      <c r="AN168" s="4"/>
      <c r="AO168" s="4"/>
      <c r="AT168" s="63" t="str">
        <f>B168</f>
        <v>SC Midlands 16 Black</v>
      </c>
      <c r="AU168" s="63">
        <f>AE168</f>
        <v>2157.9394663859975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2200</v>
      </c>
      <c r="C170" s="67">
        <v>1</v>
      </c>
      <c r="D170" s="67">
        <f>VLOOKUP(D109,$A164:$AE168,3,FALSE)</f>
        <v>2201.5596850765965</v>
      </c>
      <c r="E170" s="67">
        <f>VLOOKUP(E109,$A164:$AE168,4,FALSE)</f>
        <v>2504.8525408531418</v>
      </c>
      <c r="F170" s="67">
        <v>2</v>
      </c>
      <c r="G170" s="67">
        <f>VLOOKUP(G109,$A164:$AE168,4,FALSE)</f>
        <v>2330.3909835910367</v>
      </c>
      <c r="H170" s="67">
        <f>VLOOKUP(H109,$A164:$AE168,7,FALSE)</f>
        <v>2366.6059849945268</v>
      </c>
      <c r="I170" s="67">
        <v>3</v>
      </c>
      <c r="J170" s="67">
        <f>VLOOKUP(J109,$A164:$AE168,7,FALSE)</f>
        <v>2169.4160337372796</v>
      </c>
      <c r="K170" s="67">
        <f>VLOOKUP(K109,$A164:$AE168,10,FALSE)</f>
        <v>2232.1436513393169</v>
      </c>
      <c r="L170" s="67">
        <v>4</v>
      </c>
      <c r="M170" s="67">
        <f>VLOOKUP(M109,$A164:$AE168,10,FALSE)</f>
        <v>2313.2325535173845</v>
      </c>
      <c r="N170" s="67">
        <f>VLOOKUP(N109,$A164:$AE168,13,FALSE)</f>
        <v>2522.010970926794</v>
      </c>
      <c r="O170" s="67">
        <v>5</v>
      </c>
      <c r="P170" s="67">
        <f>VLOOKUP(P109,$A164:$AE168,13,FALSE)</f>
        <v>2382.1719424952803</v>
      </c>
      <c r="Q170" s="67">
        <f>VLOOKUP(Q109,$A164:$AE168,16,FALSE)</f>
        <v>2273.8967080816742</v>
      </c>
      <c r="R170" s="67">
        <v>6</v>
      </c>
      <c r="S170" s="67">
        <f>VLOOKUP(S109,$A164:$AE168,16,FALSE)</f>
        <v>2153.8500762365261</v>
      </c>
      <c r="T170" s="67">
        <f>VLOOKUP(T109,$A164:$AE168,19,FALSE)</f>
        <v>2271.4794967750272</v>
      </c>
      <c r="U170" s="67">
        <v>7</v>
      </c>
      <c r="V170" s="67">
        <f>VLOOKUP(V109,$A164:$AE168,19,FALSE)</f>
        <v>2362.3983968047132</v>
      </c>
      <c r="W170" s="67">
        <f>VLOOKUP(W109,$A164:$AE168,22,FALSE)</f>
        <v>2541.7845166173611</v>
      </c>
      <c r="X170" s="67">
        <v>8</v>
      </c>
      <c r="Y170" s="67">
        <f>VLOOKUP(Y109,$A164:$AE168,22,FALSE)</f>
        <v>2164.4868199887733</v>
      </c>
      <c r="Z170" s="67">
        <f>VLOOKUP(Z109,$A164:$AE168,25,FALSE)</f>
        <v>2322.2105093759619</v>
      </c>
      <c r="AA170" s="67">
        <v>9</v>
      </c>
      <c r="AB170" s="67">
        <f>VLOOKUP(AB109,$A164:$AE168,25,FALSE)</f>
        <v>2263.259964329427</v>
      </c>
      <c r="AC170" s="67">
        <f>VLOOKUP(AC109,$A164:$AE168,28,FALSE)</f>
        <v>2548.3318702201368</v>
      </c>
      <c r="AD170" s="67">
        <v>10</v>
      </c>
      <c r="AE170" s="67">
        <f>VLOOKUP(AE109,$A164:$AE168,28,FALSE)</f>
        <v>2311.6673842037785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0.99551089564634121</v>
      </c>
      <c r="C171" s="68"/>
      <c r="D171" s="68">
        <f>1/(1+(10^-((D170-B170)/400)))*(B121+D121)</f>
        <v>1.0044891043536588</v>
      </c>
      <c r="E171" s="68">
        <f>1/(1+(10^-((E170-G170)/400)))*(E121+G121)</f>
        <v>1.4637990601983684</v>
      </c>
      <c r="F171" s="68"/>
      <c r="G171" s="68">
        <f>1/(1+(10^-((G170-E170)/400)))*(E121+G121)</f>
        <v>0.53620093980163164</v>
      </c>
      <c r="H171" s="68">
        <f>1/(1+(10^-((H170-J170)/400)))*(H121+J121)</f>
        <v>1.513563828101453</v>
      </c>
      <c r="I171" s="68"/>
      <c r="J171" s="68">
        <f>1/(1+(10^-((J170-H170)/400)))*(H121+J121)</f>
        <v>0.48643617189854715</v>
      </c>
      <c r="K171" s="68">
        <f>1/(1+(10^-((K170-M170)/400)))*(K121+M121)</f>
        <v>0.77075483013405022</v>
      </c>
      <c r="L171" s="68"/>
      <c r="M171" s="68">
        <f>1/(1+(10^-((M170-K170)/400)))*(K121+M121)</f>
        <v>1.2292451698659499</v>
      </c>
      <c r="N171" s="68">
        <f>1/(1+(10^-((N170-P170)/400)))*(N121+P121)</f>
        <v>1.3820766971697769</v>
      </c>
      <c r="O171" s="68"/>
      <c r="P171" s="68">
        <f>1/(1+(10^-((P170-N170)/400)))*(N121+P121)</f>
        <v>0.61792330283022312</v>
      </c>
      <c r="Q171" s="68">
        <f>1/(1+(10^-((Q170-S170)/400)))*(Q121+S121)</f>
        <v>1.3323982422577236</v>
      </c>
      <c r="R171" s="68"/>
      <c r="S171" s="68">
        <f>1/(1+(10^-((S170-Q170)/400)))*(Q121+S121)</f>
        <v>0.66760175774227626</v>
      </c>
      <c r="T171" s="68">
        <f>1/(1+(10^-((T170-V170)/400)))*(T121+V121)</f>
        <v>0.74412851785151735</v>
      </c>
      <c r="U171" s="68"/>
      <c r="V171" s="68">
        <f>1/(1+(10^-((V170-T170)/400)))*(T121+V121)</f>
        <v>1.2558714821484827</v>
      </c>
      <c r="W171" s="68">
        <f>1/(1+(10^-((W170-Y170)/400)))*(W121+Y121)</f>
        <v>1.7953951999132622</v>
      </c>
      <c r="X171" s="68"/>
      <c r="Y171" s="68">
        <f>1/(1+(10^-((Y170-W170)/400)))*(W121+Y121)</f>
        <v>0.20460480008673784</v>
      </c>
      <c r="Z171" s="68">
        <f>1/(1+(10^-((Z170-AB170)/400)))*(Z121+AB121)</f>
        <v>1.1680635986644252</v>
      </c>
      <c r="AA171" s="68"/>
      <c r="AB171" s="68">
        <f>1/(1+(10^-((AB170-Z170)/400)))*(Z121+AB121)</f>
        <v>0.83193640133557478</v>
      </c>
      <c r="AC171" s="68">
        <f>1/(1+(10^-((AC170-AE170)/400)))*(AC121+AE121)</f>
        <v>1.5922828330621857</v>
      </c>
      <c r="AD171" s="68"/>
      <c r="AE171" s="68">
        <f>1/(1+(10^-((AE170-AC170)/400)))*(AC121+AE121)</f>
        <v>0.40771716693781451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2232.1436513393169</v>
      </c>
      <c r="C172" s="74"/>
      <c r="D172" s="74">
        <f>D170+(D121-D171)*$BA$1</f>
        <v>2169.4160337372796</v>
      </c>
      <c r="E172" s="74">
        <f>E170+(E121-E171)*$BA$1</f>
        <v>2522.010970926794</v>
      </c>
      <c r="F172" s="74"/>
      <c r="G172" s="74">
        <f>G170+(G121-G171)*$BA$1</f>
        <v>2313.2325535173845</v>
      </c>
      <c r="H172" s="74">
        <f>H170+(H121-H171)*$BA$1</f>
        <v>2382.1719424952803</v>
      </c>
      <c r="I172" s="74"/>
      <c r="J172" s="74">
        <f>J170+(J121-J171)*$BA$1</f>
        <v>2153.8500762365261</v>
      </c>
      <c r="K172" s="74">
        <f>K170+(K121-K171)*$BA$1</f>
        <v>2271.4794967750272</v>
      </c>
      <c r="L172" s="74"/>
      <c r="M172" s="74">
        <f>M170+(M121-M171)*$BA$1</f>
        <v>2273.8967080816742</v>
      </c>
      <c r="N172" s="74">
        <f>N170+(N121-N171)*$BA$1</f>
        <v>2541.7845166173611</v>
      </c>
      <c r="O172" s="74"/>
      <c r="P172" s="74">
        <f>P170+(P121-P171)*$BA$1</f>
        <v>2362.3983968047132</v>
      </c>
      <c r="Q172" s="74">
        <f>Q170+(Q121-Q171)*$BA$1</f>
        <v>2263.259964329427</v>
      </c>
      <c r="R172" s="74"/>
      <c r="S172" s="74">
        <f>S170+(S121-S171)*$BA$1</f>
        <v>2164.4868199887733</v>
      </c>
      <c r="T172" s="74">
        <f>T170+(T121-T171)*$BA$1</f>
        <v>2311.6673842037785</v>
      </c>
      <c r="U172" s="74"/>
      <c r="V172" s="74">
        <f>V170+(V121-V171)*$BA$1</f>
        <v>2322.2105093759619</v>
      </c>
      <c r="W172" s="74">
        <f>W170+(W121-W171)*$BA$1</f>
        <v>2548.3318702201368</v>
      </c>
      <c r="X172" s="74"/>
      <c r="Y172" s="74">
        <f>Y170+(Y121-Y171)*$BA$1</f>
        <v>2157.9394663859975</v>
      </c>
      <c r="Z172" s="74">
        <f>Z170+(Z121-Z171)*$BA$1</f>
        <v>2348.8324742187001</v>
      </c>
      <c r="AA172" s="74"/>
      <c r="AB172" s="74">
        <f>AB170+(AB121-AB171)*$BA$1</f>
        <v>2236.6379994866888</v>
      </c>
      <c r="AC172" s="74">
        <f>AC170+(AC121-AC171)*$BA$1</f>
        <v>2497.3788195621469</v>
      </c>
      <c r="AD172" s="74"/>
      <c r="AE172" s="74">
        <f>AE170+(AE121-AE171)*$BA$1</f>
        <v>2362.6204348617684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  <c r="AW174" s="66"/>
    </row>
    <row r="175" spans="1:54" s="63" customFormat="1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W175" s="66"/>
    </row>
    <row r="176" spans="1:54" ht="21" thickBot="1" x14ac:dyDescent="0.35">
      <c r="A176" s="345" t="s">
        <v>120</v>
      </c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</row>
    <row r="177" spans="1:53" ht="13.5" thickBot="1" x14ac:dyDescent="0.25">
      <c r="A177" s="346" t="s">
        <v>121</v>
      </c>
      <c r="B177" s="348" t="s">
        <v>122</v>
      </c>
      <c r="C177" s="349"/>
      <c r="D177" s="349"/>
      <c r="E177" s="349"/>
      <c r="F177" s="349"/>
      <c r="G177" s="349"/>
      <c r="H177" s="349"/>
      <c r="I177" s="349"/>
      <c r="J177" s="349"/>
      <c r="K177" s="350"/>
      <c r="L177" s="348" t="s">
        <v>123</v>
      </c>
      <c r="M177" s="349"/>
      <c r="N177" s="349"/>
      <c r="O177" s="349"/>
      <c r="P177" s="349"/>
      <c r="Q177" s="349"/>
      <c r="R177" s="349"/>
      <c r="S177" s="349"/>
      <c r="T177" s="349"/>
      <c r="U177" s="350"/>
      <c r="V177" s="348" t="s">
        <v>124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348" t="s">
        <v>125</v>
      </c>
      <c r="AG177" s="349"/>
      <c r="AH177" s="349"/>
      <c r="AI177" s="349"/>
      <c r="AJ177" s="349"/>
      <c r="AK177" s="349"/>
      <c r="AL177" s="349"/>
      <c r="AM177" s="349"/>
      <c r="AN177" s="349"/>
      <c r="AO177" s="350"/>
    </row>
    <row r="178" spans="1:53" ht="13.5" thickBot="1" x14ac:dyDescent="0.25">
      <c r="A178" s="347"/>
      <c r="B178" s="354" t="s">
        <v>10</v>
      </c>
      <c r="C178" s="355"/>
      <c r="D178" s="355"/>
      <c r="E178" s="355"/>
      <c r="F178" s="355"/>
      <c r="G178" s="356"/>
      <c r="H178" s="354" t="s">
        <v>126</v>
      </c>
      <c r="I178" s="355"/>
      <c r="J178" s="355"/>
      <c r="K178" s="356"/>
      <c r="L178" s="354" t="s">
        <v>10</v>
      </c>
      <c r="M178" s="355"/>
      <c r="N178" s="355"/>
      <c r="O178" s="355"/>
      <c r="P178" s="355"/>
      <c r="Q178" s="356"/>
      <c r="R178" s="354" t="s">
        <v>126</v>
      </c>
      <c r="S178" s="355"/>
      <c r="T178" s="355"/>
      <c r="U178" s="356"/>
      <c r="V178" s="354" t="s">
        <v>10</v>
      </c>
      <c r="W178" s="355"/>
      <c r="X178" s="355"/>
      <c r="Y178" s="355"/>
      <c r="Z178" s="355"/>
      <c r="AA178" s="356"/>
      <c r="AB178" s="354" t="s">
        <v>126</v>
      </c>
      <c r="AC178" s="355"/>
      <c r="AD178" s="355"/>
      <c r="AE178" s="356"/>
      <c r="AF178" s="354" t="s">
        <v>10</v>
      </c>
      <c r="AG178" s="355"/>
      <c r="AH178" s="355"/>
      <c r="AI178" s="355"/>
      <c r="AJ178" s="355"/>
      <c r="AK178" s="356"/>
      <c r="AL178" s="354" t="s">
        <v>126</v>
      </c>
      <c r="AM178" s="355"/>
      <c r="AN178" s="355"/>
      <c r="AO178" s="356"/>
    </row>
    <row r="179" spans="1:53" x14ac:dyDescent="0.2">
      <c r="A179" s="82" t="s">
        <v>127</v>
      </c>
      <c r="B179" s="412" t="str">
        <f>IF($AF$8=1,$E$8,IF($AF$10=1,$E$10,IF($AF$12=1,$E$12,IF($AF$14=1,$E$14,IF($AF$16=1,$E$16,"1st Place "&amp;$A179)))))</f>
        <v>Beaufort Sweet 16's</v>
      </c>
      <c r="C179" s="413"/>
      <c r="D179" s="413"/>
      <c r="E179" s="413"/>
      <c r="F179" s="413"/>
      <c r="G179" s="413"/>
      <c r="H179" s="414" t="str">
        <f>IF($AF$8=1,$E$9,IF($AF$10=1,$E$11,IF($AF$12=1,$E$13,IF($AF$14=1,$E$15,IF($AF$16=1,$E$17,"1st Place "&amp;$A179)))))</f>
        <v>fj6beauf1pm</v>
      </c>
      <c r="I179" s="414"/>
      <c r="J179" s="414"/>
      <c r="K179" s="415"/>
      <c r="L179" s="412" t="str">
        <f>IF($AF$8=2,$E$8,IF($AF$10=2,$E$10,IF($AF$12=2,$E$12,IF($AF$14=2,$E$14,IF($AF$16=2,$E$16,"2nd Place "&amp;$A179)))))</f>
        <v>Upward Stars 16 Mark C</v>
      </c>
      <c r="M179" s="413"/>
      <c r="N179" s="413"/>
      <c r="O179" s="413"/>
      <c r="P179" s="413"/>
      <c r="Q179" s="413"/>
      <c r="R179" s="414" t="str">
        <f>IF($AF$8=2,$E$9,IF($AF$10=2,$E$11,IF($AF$12=2,$E$13,IF($AF$14=2,$E$15,IF($AF$16=2,$E$17,"2nd Place "&amp;$A179)))))</f>
        <v>fj6upwrd5pm</v>
      </c>
      <c r="S179" s="414"/>
      <c r="T179" s="414"/>
      <c r="U179" s="415"/>
      <c r="V179" s="412" t="str">
        <f>IF($AF$8=3,$E$8,IF($AF$10=3,$E$10,IF($AF$12=3,$E$12,IF($AF$14=3,$E$14,IF($AF$16=3,$E$16,"3rd Place "&amp;$A179)))))</f>
        <v>Upward Stars 16 Tonja</v>
      </c>
      <c r="W179" s="413"/>
      <c r="X179" s="413"/>
      <c r="Y179" s="413"/>
      <c r="Z179" s="413"/>
      <c r="AA179" s="413"/>
      <c r="AB179" s="414" t="str">
        <f>IF($AF$8=3,$E$9,IF($AF$10=3,$E$11,IF($AF$12=3,$E$13,IF($AF$14=3,$E$15,IF($AF$16=3,$E$17,"3rd Place "&amp;$A179)))))</f>
        <v>fj6upwrd4pm</v>
      </c>
      <c r="AC179" s="414"/>
      <c r="AD179" s="414"/>
      <c r="AE179" s="415"/>
      <c r="AF179" s="412" t="str">
        <f>IF($AF$8=4,$E$8,IF($AF$10=4,$E$10,IF($AF$12=4,$E$12,IF($AF$14=4,$E$14,IF($AF$16=4,$E$16,"4th Place "&amp;$A179)))))</f>
        <v>SCWE16RAPTORS</v>
      </c>
      <c r="AG179" s="413"/>
      <c r="AH179" s="413"/>
      <c r="AI179" s="413"/>
      <c r="AJ179" s="413"/>
      <c r="AK179" s="413"/>
      <c r="AL179" s="414" t="str">
        <f>IF($AF$8=4,$E$9,IF($AF$10=4,$E$11,IF($AF$12=4,$E$13,IF($AF$14=4,$E$15,IF($AF$16=4,$E$17,"4th Place "&amp;$A179)))))</f>
        <v>fj6scwea1pm</v>
      </c>
      <c r="AM179" s="414"/>
      <c r="AN179" s="414"/>
      <c r="AO179" s="415"/>
    </row>
    <row r="180" spans="1:53" ht="13.5" thickBot="1" x14ac:dyDescent="0.25">
      <c r="A180" s="83" t="s">
        <v>128</v>
      </c>
      <c r="B180" s="416" t="str">
        <f>IF($AF$93=1,$E$93,IF($AF$95=1,$E$95,IF($AF$97=1,$E$97,IF($AF$99=1,$E$99,IF($AF$101=1,$E$101,"1st Place "&amp;$A180)))))</f>
        <v>Upward Stars 15 Mark</v>
      </c>
      <c r="C180" s="417"/>
      <c r="D180" s="417"/>
      <c r="E180" s="417"/>
      <c r="F180" s="417"/>
      <c r="G180" s="417"/>
      <c r="H180" s="418" t="str">
        <f>IF($AF$93=1,$E$94,IF($AF$95=1,$E$96,IF($AF$97=1,$E$98,IF($AF$99=1,$E$100,IF($AF$101=1,$E$102,"1st Place "&amp;$A180)))))</f>
        <v>fj5upwrd3pm</v>
      </c>
      <c r="I180" s="418"/>
      <c r="J180" s="418"/>
      <c r="K180" s="419"/>
      <c r="L180" s="416" t="str">
        <f>IF($AF$93=2,$E$93,IF($AF$95=2,$E$95,IF($AF$97=2,$E$97,IF($AF$99=2,$E$99,IF($AF$101=2,$E$101,"2nd Place "&amp;$A180)))))</f>
        <v>KVC 16</v>
      </c>
      <c r="M180" s="417"/>
      <c r="N180" s="417"/>
      <c r="O180" s="417"/>
      <c r="P180" s="417"/>
      <c r="Q180" s="417"/>
      <c r="R180" s="418" t="str">
        <f>IF($AF$93=2,$E$94,IF($AF$95=2,$E$96,IF($AF$97=2,$E$98,IF($AF$99=2,$E$100,IF($AF$101=2,$E$102,"2nd Place "&amp;$A180)))))</f>
        <v>fj6kvcjr1pm</v>
      </c>
      <c r="S180" s="418"/>
      <c r="T180" s="418"/>
      <c r="U180" s="419"/>
      <c r="V180" s="416" t="str">
        <f>IF($AF$93=3,$E$93,IF($AF$95=3,$E$95,IF($AF$97=3,$E$97,IF($AF$99=3,$E$99,IF($AF$101=3,$E$101,"3rd Place "&amp;$A180)))))</f>
        <v>Lake Murray 16 Black</v>
      </c>
      <c r="W180" s="417"/>
      <c r="X180" s="417"/>
      <c r="Y180" s="417"/>
      <c r="Z180" s="417"/>
      <c r="AA180" s="417"/>
      <c r="AB180" s="418" t="str">
        <f>IF($AF$93=3,$E$94,IF($AF$95=3,$E$96,IF($AF$97=3,$E$98,IF($AF$99=3,$E$100,IF($AF$101=3,$E$102,"3rd Place "&amp;$A180)))))</f>
        <v>fj6lakem2pm</v>
      </c>
      <c r="AC180" s="418"/>
      <c r="AD180" s="418"/>
      <c r="AE180" s="419"/>
      <c r="AF180" s="416" t="str">
        <f>IF($AF$93=4,$E$93,IF($AF$95=4,$E$95,IF($AF$97=4,$E$97,IF($AF$99=4,$E$99,IF($AF$101=4,$E$101,"4th Place "&amp;$A180)))))</f>
        <v>Club Coastal 16 White</v>
      </c>
      <c r="AG180" s="417"/>
      <c r="AH180" s="417"/>
      <c r="AI180" s="417"/>
      <c r="AJ180" s="417"/>
      <c r="AK180" s="417"/>
      <c r="AL180" s="418" t="str">
        <f>IF($AF$93=4,$E$94,IF($AF$95=4,$E$96,IF($AF$97=4,$E$98,IF($AF$99=4,$E$100,IF($AF$101=4,$E$102,"4th Place "&amp;$A180)))))</f>
        <v>fj6ccoas1pm</v>
      </c>
      <c r="AM180" s="418"/>
      <c r="AN180" s="418"/>
      <c r="AO180" s="41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W181" s="130"/>
      <c r="AX181" s="4"/>
      <c r="AY181" s="4"/>
      <c r="AZ181" s="4"/>
      <c r="BA181" s="4"/>
    </row>
    <row r="182" spans="1:53" ht="15.75" x14ac:dyDescent="0.25">
      <c r="A182" s="426" t="s">
        <v>129</v>
      </c>
      <c r="B182" s="426"/>
      <c r="C182" s="426"/>
      <c r="D182" s="426"/>
      <c r="E182" s="426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T182" s="86"/>
      <c r="AU182" s="86"/>
      <c r="AV182" s="86"/>
    </row>
    <row r="183" spans="1:53" ht="14.25" x14ac:dyDescent="0.2">
      <c r="A183" s="427" t="s">
        <v>130</v>
      </c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</row>
    <row r="184" spans="1:53" x14ac:dyDescent="0.2">
      <c r="A184" s="428" t="s">
        <v>131</v>
      </c>
      <c r="B184" s="428"/>
      <c r="C184" s="428"/>
      <c r="D184" s="428"/>
      <c r="E184" s="428"/>
      <c r="F184" s="428"/>
      <c r="G184" s="428"/>
      <c r="H184" s="428"/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53" x14ac:dyDescent="0.2">
      <c r="A185" s="428"/>
      <c r="B185" s="428"/>
      <c r="C185" s="428"/>
      <c r="D185" s="428"/>
      <c r="E185" s="428"/>
      <c r="F185" s="428"/>
      <c r="G185" s="428"/>
      <c r="H185" s="428"/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53" x14ac:dyDescent="0.2">
      <c r="A186" s="429" t="s">
        <v>132</v>
      </c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330" t="s">
        <v>133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130"/>
      <c r="R188" s="330" t="s">
        <v>134</v>
      </c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</row>
    <row r="190" spans="1:53" ht="13.5" thickBot="1" x14ac:dyDescent="0.25">
      <c r="A190" s="420" t="str">
        <f>IF(B218=1,B210,IF(B218=2,B211,IF(B218=3,B212,IF(B218=4,B213,IF(OR(B218="B",B218="b"),"BYE","invalid")))))</f>
        <v>Beaufort Sweet 16's</v>
      </c>
      <c r="B190" s="420"/>
      <c r="C190" s="420"/>
      <c r="D190" s="420"/>
      <c r="E190" s="420"/>
      <c r="F190" s="88"/>
      <c r="G190" s="88"/>
      <c r="H190" s="88"/>
      <c r="I190" s="88"/>
      <c r="J190" s="88"/>
      <c r="K190" s="88"/>
      <c r="L190" s="88"/>
      <c r="M190" s="88"/>
      <c r="N190" s="88"/>
      <c r="S190" s="131"/>
      <c r="T190" s="131"/>
      <c r="U190" s="420" t="str">
        <f>IF(W218=1,X210,IF(W218=2,X211,IF(W218=3,X212,IF(W218=4,X213,IF(OR(W218="B",W218="b"),"BYE","invalid")))))</f>
        <v>Upward Stars 16 Tonja</v>
      </c>
      <c r="V190" s="420"/>
      <c r="W190" s="420"/>
      <c r="X190" s="420"/>
      <c r="Y190" s="420"/>
      <c r="Z190" s="420"/>
      <c r="AA190" s="420"/>
      <c r="AB190" s="88"/>
      <c r="AC190" s="88"/>
      <c r="AD190" s="88"/>
      <c r="AE190" s="88"/>
    </row>
    <row r="191" spans="1:53" x14ac:dyDescent="0.2">
      <c r="A191" s="421" t="s">
        <v>135</v>
      </c>
      <c r="B191" s="421"/>
      <c r="C191" s="421"/>
      <c r="D191" s="421"/>
      <c r="E191" s="421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422" t="s">
        <v>136</v>
      </c>
      <c r="V191" s="422"/>
      <c r="W191" s="422"/>
      <c r="X191" s="422"/>
      <c r="Y191" s="422"/>
      <c r="Z191" s="422"/>
      <c r="AA191" s="423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422" t="str">
        <f>B212&amp;" ref"</f>
        <v>Upward Stars 16 Mark C ref</v>
      </c>
      <c r="B193" s="422"/>
      <c r="C193" s="422"/>
      <c r="D193" s="422"/>
      <c r="E193" s="423"/>
      <c r="F193" s="424" t="str">
        <f>IF(H218=1,B210,IF(H218=2,B211,IF(H218=3,B212,IF(H218=4,B213,"Winner Match 1"))))</f>
        <v>Beaufort Sweet 16's</v>
      </c>
      <c r="G193" s="425"/>
      <c r="H193" s="425"/>
      <c r="I193" s="425"/>
      <c r="J193" s="425"/>
      <c r="K193" s="425"/>
      <c r="L193" s="425"/>
      <c r="M193" s="425"/>
      <c r="N193" s="88"/>
      <c r="P193" s="93"/>
      <c r="Q193" s="93"/>
      <c r="R193" s="93"/>
      <c r="S193" s="93"/>
      <c r="T193" s="422" t="str">
        <f>X212&amp;" ref"</f>
        <v>SCWE16RAPTORS ref</v>
      </c>
      <c r="U193" s="422"/>
      <c r="V193" s="422"/>
      <c r="W193" s="422"/>
      <c r="X193" s="422"/>
      <c r="Y193" s="422"/>
      <c r="Z193" s="422"/>
      <c r="AA193" s="423"/>
      <c r="AB193" s="424" t="str">
        <f>IF(AC218=1,X210,IF(AC218=2,X211,IF(AC218=3,X212,IF(AC218=4,X213,"Winner Match 1"))))</f>
        <v>Upward Stars 16 Tonja</v>
      </c>
      <c r="AC193" s="425"/>
      <c r="AD193" s="425"/>
      <c r="AE193" s="425"/>
      <c r="AF193" s="425"/>
      <c r="AG193" s="425"/>
      <c r="AH193" s="425"/>
    </row>
    <row r="194" spans="1:53" x14ac:dyDescent="0.2">
      <c r="A194" s="434" t="s">
        <v>137</v>
      </c>
      <c r="B194" s="434"/>
      <c r="C194" s="434"/>
      <c r="D194" s="434"/>
      <c r="E194" s="434"/>
      <c r="F194" s="435"/>
      <c r="G194" s="436"/>
      <c r="H194" s="436"/>
      <c r="I194" s="437"/>
      <c r="J194" s="438"/>
      <c r="K194" s="439"/>
      <c r="L194" s="439"/>
      <c r="M194" s="439"/>
      <c r="N194" s="88"/>
      <c r="O194" s="88"/>
      <c r="P194" s="94"/>
      <c r="Q194" s="6"/>
      <c r="R194" s="95"/>
      <c r="S194" s="95"/>
      <c r="T194" s="440" t="s">
        <v>138</v>
      </c>
      <c r="U194" s="440"/>
      <c r="V194" s="440"/>
      <c r="W194" s="440"/>
      <c r="X194" s="440"/>
      <c r="Y194" s="440"/>
      <c r="Z194" s="440"/>
      <c r="AA194" s="92"/>
      <c r="AB194" s="435"/>
      <c r="AC194" s="436"/>
      <c r="AD194" s="436"/>
      <c r="AE194" s="437"/>
      <c r="AF194" s="438"/>
      <c r="AG194" s="439"/>
      <c r="AH194" s="439"/>
    </row>
    <row r="195" spans="1:53" ht="13.5" thickBot="1" x14ac:dyDescent="0.25">
      <c r="A195" s="420" t="str">
        <f>IF(D218=1,B210,IF(D218=2,B211,IF(D218=3,B212,IF(D218=4,B213,IF(OR(D218="B",D218="b"),"BYE","invalid")))))</f>
        <v>KVC 16</v>
      </c>
      <c r="B195" s="420"/>
      <c r="C195" s="420"/>
      <c r="D195" s="420"/>
      <c r="E195" s="430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420" t="str">
        <f>IF(Y218=1,X210,IF(Y218=2,X211,IF(Y218=3,X212,IF(Y218=4,X213,IF(OR(Y218="B",Y218="b"),"BYE","invalid")))))</f>
        <v>Club Coastal 16 White</v>
      </c>
      <c r="V195" s="420"/>
      <c r="W195" s="420"/>
      <c r="X195" s="420"/>
      <c r="Y195" s="420"/>
      <c r="Z195" s="420"/>
      <c r="AA195" s="430"/>
      <c r="AB195" s="88"/>
      <c r="AC195" s="88"/>
      <c r="AD195" s="88"/>
      <c r="AE195" s="92"/>
      <c r="AF195" s="88"/>
      <c r="AG195" s="88"/>
    </row>
    <row r="196" spans="1:53" x14ac:dyDescent="0.2">
      <c r="A196" s="421" t="s">
        <v>139</v>
      </c>
      <c r="B196" s="421"/>
      <c r="C196" s="421"/>
      <c r="D196" s="421"/>
      <c r="E196" s="421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431" t="s">
        <v>140</v>
      </c>
      <c r="V196" s="431"/>
      <c r="W196" s="431"/>
      <c r="X196" s="431"/>
      <c r="Y196" s="431"/>
      <c r="Z196" s="431"/>
      <c r="AA196" s="431"/>
      <c r="AB196" s="88"/>
      <c r="AC196" s="88"/>
      <c r="AD196" s="88"/>
      <c r="AE196" s="92"/>
      <c r="AF196" s="88"/>
      <c r="AG196" s="88"/>
      <c r="AQ196" s="96"/>
      <c r="AR196" s="96"/>
      <c r="AS196" s="96"/>
    </row>
    <row r="197" spans="1:53" x14ac:dyDescent="0.2">
      <c r="A197" s="88"/>
      <c r="B197" s="88"/>
      <c r="C197" s="88"/>
      <c r="D197" s="88"/>
      <c r="E197" s="88"/>
      <c r="F197" s="432" t="s">
        <v>141</v>
      </c>
      <c r="G197" s="432"/>
      <c r="H197" s="432"/>
      <c r="I197" s="433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432" t="s">
        <v>141</v>
      </c>
      <c r="AC197" s="432"/>
      <c r="AD197" s="432"/>
      <c r="AE197" s="433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445" t="str">
        <f>IF(K223=1,B210,IF(K223=2,B211,IF(K223=3,B212,IF(K223=4,B213,"Division Winner"))))</f>
        <v>Beaufort Sweet 16's</v>
      </c>
      <c r="K198" s="446"/>
      <c r="L198" s="446"/>
      <c r="M198" s="446"/>
      <c r="N198" s="446"/>
      <c r="O198" s="446"/>
      <c r="P198" s="446"/>
      <c r="Q198" s="131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446" t="str">
        <f>IF(AF223=1,X210,IF(AF223=2,X211,IF(AF223=3,X212,IF(AF223=4,X213,"Division Winner"))))</f>
        <v>Upward Stars 16 Tonja</v>
      </c>
      <c r="AG198" s="446"/>
      <c r="AH198" s="446"/>
      <c r="AI198" s="446"/>
      <c r="AJ198" s="446"/>
      <c r="AK198" s="98"/>
    </row>
    <row r="199" spans="1:53" ht="13.5" thickBot="1" x14ac:dyDescent="0.25">
      <c r="A199" s="420" t="str">
        <f>IF(E218=1,B210,IF(E218=2,B211,IF(E218=3,B212,IF(E218=4,B213,IF(OR(E218="B",E218="b"),"BYE","invalid")))))</f>
        <v>Upward Stars 15 Mark</v>
      </c>
      <c r="B199" s="420"/>
      <c r="C199" s="420"/>
      <c r="D199" s="420"/>
      <c r="E199" s="420"/>
      <c r="F199" s="434" t="s">
        <v>142</v>
      </c>
      <c r="G199" s="434"/>
      <c r="H199" s="434"/>
      <c r="I199" s="434"/>
      <c r="J199" s="441" t="s">
        <v>143</v>
      </c>
      <c r="K199" s="432"/>
      <c r="L199" s="432"/>
      <c r="M199" s="432"/>
      <c r="N199" s="432"/>
      <c r="O199" s="432"/>
      <c r="P199" s="432"/>
      <c r="R199" s="98"/>
      <c r="S199" s="98"/>
      <c r="T199" s="98"/>
      <c r="U199" s="420" t="str">
        <f>IF(Z218=1,X210,IF(Z218=2,X211,IF(Z218=3,X212,IF(Z218=4,X213,IF(OR(Z218="B",Z218="b"),"BYE","invalid")))))</f>
        <v>Lake Murray 16 Black</v>
      </c>
      <c r="V199" s="420"/>
      <c r="W199" s="420"/>
      <c r="X199" s="420"/>
      <c r="Y199" s="420"/>
      <c r="Z199" s="420"/>
      <c r="AA199" s="420"/>
      <c r="AB199" s="434" t="s">
        <v>144</v>
      </c>
      <c r="AC199" s="434"/>
      <c r="AD199" s="434"/>
      <c r="AE199" s="447"/>
      <c r="AF199" s="448" t="s">
        <v>145</v>
      </c>
      <c r="AG199" s="449"/>
      <c r="AH199" s="449"/>
      <c r="AI199" s="449"/>
      <c r="AJ199" s="449"/>
    </row>
    <row r="200" spans="1:53" x14ac:dyDescent="0.2">
      <c r="A200" s="421" t="s">
        <v>146</v>
      </c>
      <c r="B200" s="421"/>
      <c r="C200" s="421"/>
      <c r="D200" s="421"/>
      <c r="E200" s="421"/>
      <c r="F200" s="90"/>
      <c r="G200" s="88"/>
      <c r="H200" s="88"/>
      <c r="I200" s="88"/>
      <c r="J200" s="441"/>
      <c r="K200" s="432"/>
      <c r="L200" s="432"/>
      <c r="M200" s="432"/>
      <c r="N200" s="432"/>
      <c r="O200" s="432"/>
      <c r="P200" s="432"/>
      <c r="Q200" s="88"/>
      <c r="R200" s="96"/>
      <c r="S200" s="96"/>
      <c r="T200" s="96"/>
      <c r="U200" s="422" t="s">
        <v>147</v>
      </c>
      <c r="V200" s="422"/>
      <c r="W200" s="422"/>
      <c r="X200" s="422"/>
      <c r="Y200" s="422"/>
      <c r="Z200" s="422"/>
      <c r="AA200" s="423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W201" s="58"/>
      <c r="AX201" s="55"/>
      <c r="AY201" s="55"/>
      <c r="AZ201" s="55"/>
      <c r="BA201" s="55"/>
    </row>
    <row r="202" spans="1:53" ht="13.5" thickBot="1" x14ac:dyDescent="0.25">
      <c r="A202" s="432" t="s">
        <v>148</v>
      </c>
      <c r="B202" s="432"/>
      <c r="C202" s="432"/>
      <c r="D202" s="432"/>
      <c r="E202" s="94"/>
      <c r="F202" s="442"/>
      <c r="G202" s="443"/>
      <c r="H202" s="443"/>
      <c r="I202" s="444"/>
      <c r="J202" s="438"/>
      <c r="K202" s="439"/>
      <c r="L202" s="439"/>
      <c r="M202" s="439"/>
      <c r="N202" s="88"/>
      <c r="Q202" s="93"/>
      <c r="R202" s="93"/>
      <c r="S202" s="93"/>
      <c r="T202" s="432" t="s">
        <v>148</v>
      </c>
      <c r="U202" s="432"/>
      <c r="V202" s="432"/>
      <c r="W202" s="432"/>
      <c r="X202" s="432"/>
      <c r="Y202" s="432"/>
      <c r="Z202" s="432"/>
      <c r="AA202" s="88"/>
      <c r="AB202" s="442"/>
      <c r="AC202" s="443"/>
      <c r="AD202" s="443"/>
      <c r="AE202" s="444"/>
      <c r="AF202" s="438"/>
      <c r="AG202" s="439"/>
      <c r="AH202" s="439"/>
      <c r="AW202" s="58"/>
      <c r="AX202" s="55"/>
      <c r="AY202" s="55"/>
      <c r="AZ202" s="55"/>
      <c r="BA202" s="55"/>
    </row>
    <row r="203" spans="1:53" x14ac:dyDescent="0.2">
      <c r="A203" s="434" t="s">
        <v>137</v>
      </c>
      <c r="B203" s="434"/>
      <c r="C203" s="434"/>
      <c r="D203" s="434"/>
      <c r="E203" s="447"/>
      <c r="F203" s="424" t="str">
        <f>IF(J218=1,B210,IF(J218=2,B211,IF(J218=3,B212,IF(J218=4,B213,"Winner Match 2"))))</f>
        <v>Upward Stars 15 Mark</v>
      </c>
      <c r="G203" s="425"/>
      <c r="H203" s="425"/>
      <c r="I203" s="425"/>
      <c r="J203" s="425"/>
      <c r="K203" s="425"/>
      <c r="L203" s="425"/>
      <c r="M203" s="425"/>
      <c r="N203" s="88"/>
      <c r="P203" s="94"/>
      <c r="Q203" s="94"/>
      <c r="S203" s="95"/>
      <c r="T203" s="434" t="s">
        <v>138</v>
      </c>
      <c r="U203" s="434"/>
      <c r="V203" s="434"/>
      <c r="W203" s="434"/>
      <c r="X203" s="434"/>
      <c r="Y203" s="434"/>
      <c r="Z203" s="434"/>
      <c r="AA203" s="92"/>
      <c r="AB203" s="424" t="str">
        <f>IF(AE218=1,X210,IF(AE218=2,X211,IF(AE218=3,X212,IF(AE218=4,X213,"Winner Match 2"))))</f>
        <v>Lake Murray 16 Black</v>
      </c>
      <c r="AC203" s="425"/>
      <c r="AD203" s="425"/>
      <c r="AE203" s="425"/>
      <c r="AF203" s="425"/>
      <c r="AG203" s="425"/>
      <c r="AH203" s="425"/>
      <c r="AW203" s="58"/>
      <c r="AX203" s="55"/>
      <c r="AY203" s="55"/>
      <c r="AZ203" s="55"/>
      <c r="BA203" s="55"/>
    </row>
    <row r="204" spans="1:53" ht="13.5" thickBot="1" x14ac:dyDescent="0.25">
      <c r="A204" s="420" t="str">
        <f>IF(G218=1,B210,IF(G218=2,B211,IF(G218=3,B212,IF(G218=4,B213,IF(OR(G218="B",G218="b"),"BYE","invalid")))))</f>
        <v>Upward Stars 16 Mark C</v>
      </c>
      <c r="B204" s="420"/>
      <c r="C204" s="420"/>
      <c r="D204" s="420"/>
      <c r="E204" s="430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420" t="str">
        <f>IF(AB218=1,X210,IF(AB218=2,X211,IF(AB218=3,X212,IF(AB218=4,X213,IF(OR(AB218="B",AB218="b"),"BYE","invalid")))))</f>
        <v>SCWE16RAPTORS</v>
      </c>
      <c r="V204" s="420"/>
      <c r="W204" s="420"/>
      <c r="X204" s="420"/>
      <c r="Y204" s="420"/>
      <c r="Z204" s="420"/>
      <c r="AA204" s="430"/>
      <c r="AB204" s="88"/>
      <c r="AC204" s="88"/>
      <c r="AD204" s="88"/>
      <c r="AE204" s="88"/>
      <c r="AW204" s="58"/>
      <c r="AX204" s="55"/>
      <c r="AY204" s="55"/>
      <c r="AZ204" s="55"/>
      <c r="BA204" s="55"/>
    </row>
    <row r="205" spans="1:53" x14ac:dyDescent="0.2">
      <c r="A205" s="421" t="s">
        <v>149</v>
      </c>
      <c r="B205" s="421"/>
      <c r="C205" s="421"/>
      <c r="D205" s="421"/>
      <c r="E205" s="421"/>
      <c r="S205" s="96"/>
      <c r="T205" s="96"/>
      <c r="U205" s="422" t="s">
        <v>150</v>
      </c>
      <c r="V205" s="422"/>
      <c r="W205" s="422"/>
      <c r="X205" s="422"/>
      <c r="Y205" s="422"/>
      <c r="Z205" s="422"/>
      <c r="AA205" s="422"/>
      <c r="AW205" s="58"/>
      <c r="AX205" s="55"/>
      <c r="AY205" s="55"/>
      <c r="AZ205" s="55"/>
      <c r="BA205" s="55"/>
    </row>
    <row r="206" spans="1:53" x14ac:dyDescent="0.2">
      <c r="AT206" s="55"/>
      <c r="AU206" s="55"/>
      <c r="AV206" s="55"/>
      <c r="AW206" s="58"/>
      <c r="AX206" s="55"/>
      <c r="AY206" s="55"/>
      <c r="AZ206" s="55"/>
      <c r="BA206" s="55"/>
    </row>
    <row r="207" spans="1:53" x14ac:dyDescent="0.2">
      <c r="AT207" s="55"/>
      <c r="AU207" s="55"/>
      <c r="AV207" s="55"/>
      <c r="AW207" s="58"/>
      <c r="AX207" s="55"/>
      <c r="AY207" s="55"/>
      <c r="AZ207" s="55"/>
      <c r="BA207" s="55"/>
    </row>
    <row r="208" spans="1:53" ht="16.5" thickBot="1" x14ac:dyDescent="0.3">
      <c r="A208" s="450" t="s">
        <v>151</v>
      </c>
      <c r="B208" s="450"/>
      <c r="C208" s="450"/>
      <c r="D208" s="450"/>
      <c r="E208" s="450"/>
      <c r="F208" s="450"/>
      <c r="G208" s="450"/>
      <c r="H208" s="450"/>
      <c r="I208" s="450"/>
      <c r="J208" s="450"/>
      <c r="Q208" s="100"/>
      <c r="R208" s="100"/>
      <c r="S208" s="100"/>
      <c r="U208" s="450" t="s">
        <v>152</v>
      </c>
      <c r="V208" s="450"/>
      <c r="W208" s="450"/>
      <c r="X208" s="450"/>
      <c r="Y208" s="450"/>
      <c r="Z208" s="450"/>
      <c r="AA208" s="450"/>
      <c r="AB208" s="450"/>
      <c r="AC208" s="450"/>
      <c r="AD208" s="450"/>
      <c r="AE208" s="450"/>
      <c r="AF208" s="450"/>
      <c r="AT208" s="55"/>
      <c r="AU208" s="55"/>
      <c r="AV208" s="55"/>
      <c r="AW208" s="58"/>
      <c r="AX208" s="55"/>
      <c r="AY208" s="55"/>
      <c r="AZ208" s="55"/>
      <c r="BA208" s="55"/>
    </row>
    <row r="209" spans="1:53" ht="13.5" thickBot="1" x14ac:dyDescent="0.25">
      <c r="A209" s="101" t="s">
        <v>153</v>
      </c>
      <c r="B209" s="451" t="s">
        <v>154</v>
      </c>
      <c r="C209" s="452"/>
      <c r="D209" s="452"/>
      <c r="E209" s="452"/>
      <c r="F209" s="452"/>
      <c r="G209" s="452"/>
      <c r="H209" s="452"/>
      <c r="I209" s="452"/>
      <c r="J209" s="453"/>
      <c r="K209" s="454" t="s">
        <v>155</v>
      </c>
      <c r="L209" s="455"/>
      <c r="M209" s="455"/>
      <c r="N209" s="455"/>
      <c r="O209" s="455"/>
      <c r="P209" s="455"/>
      <c r="Q209" s="456"/>
      <c r="U209" s="457" t="s">
        <v>153</v>
      </c>
      <c r="V209" s="458"/>
      <c r="W209" s="459"/>
      <c r="X209" s="451" t="s">
        <v>154</v>
      </c>
      <c r="Y209" s="452"/>
      <c r="Z209" s="452"/>
      <c r="AA209" s="452"/>
      <c r="AB209" s="452"/>
      <c r="AC209" s="452"/>
      <c r="AD209" s="452"/>
      <c r="AE209" s="452"/>
      <c r="AF209" s="453"/>
      <c r="AG209" s="454" t="s">
        <v>155</v>
      </c>
      <c r="AH209" s="455"/>
      <c r="AI209" s="455"/>
      <c r="AJ209" s="455"/>
      <c r="AK209" s="455"/>
      <c r="AL209" s="455"/>
      <c r="AM209" s="456"/>
      <c r="AT209" s="55"/>
      <c r="AU209" s="55"/>
      <c r="AV209" s="55"/>
      <c r="AW209" s="58"/>
      <c r="AX209" s="55"/>
      <c r="AY209" s="55"/>
      <c r="AZ209" s="55"/>
      <c r="BA209" s="55"/>
    </row>
    <row r="210" spans="1:53" ht="13.5" thickBot="1" x14ac:dyDescent="0.25">
      <c r="A210" s="101">
        <v>1</v>
      </c>
      <c r="B210" s="460" t="str">
        <f>B179</f>
        <v>Beaufort Sweet 16's</v>
      </c>
      <c r="C210" s="461"/>
      <c r="D210" s="461"/>
      <c r="E210" s="461"/>
      <c r="F210" s="461"/>
      <c r="G210" s="461"/>
      <c r="H210" s="461"/>
      <c r="I210" s="461"/>
      <c r="J210" s="462"/>
      <c r="K210" s="463" t="str">
        <f>H179</f>
        <v>fj6beauf1pm</v>
      </c>
      <c r="L210" s="464"/>
      <c r="M210" s="464"/>
      <c r="N210" s="464"/>
      <c r="O210" s="464"/>
      <c r="P210" s="464"/>
      <c r="Q210" s="465"/>
      <c r="U210" s="457">
        <v>1</v>
      </c>
      <c r="V210" s="458"/>
      <c r="W210" s="459"/>
      <c r="X210" s="460" t="str">
        <f>V179</f>
        <v>Upward Stars 16 Tonja</v>
      </c>
      <c r="Y210" s="461"/>
      <c r="Z210" s="461"/>
      <c r="AA210" s="461"/>
      <c r="AB210" s="461"/>
      <c r="AC210" s="461"/>
      <c r="AD210" s="461"/>
      <c r="AE210" s="461"/>
      <c r="AF210" s="462"/>
      <c r="AG210" s="463" t="str">
        <f>AB179</f>
        <v>fj6upwrd4pm</v>
      </c>
      <c r="AH210" s="464"/>
      <c r="AI210" s="464"/>
      <c r="AJ210" s="464"/>
      <c r="AK210" s="464"/>
      <c r="AL210" s="464"/>
      <c r="AM210" s="465"/>
      <c r="AT210" s="55"/>
      <c r="AU210" s="55"/>
      <c r="AV210" s="55"/>
      <c r="AW210" s="58"/>
      <c r="AX210" s="55"/>
      <c r="AY210" s="55"/>
      <c r="AZ210" s="55"/>
      <c r="BA210" s="55"/>
    </row>
    <row r="211" spans="1:53" ht="13.5" thickBot="1" x14ac:dyDescent="0.25">
      <c r="A211" s="101">
        <v>2</v>
      </c>
      <c r="B211" s="460" t="str">
        <f>B180</f>
        <v>Upward Stars 15 Mark</v>
      </c>
      <c r="C211" s="461"/>
      <c r="D211" s="461"/>
      <c r="E211" s="461"/>
      <c r="F211" s="461"/>
      <c r="G211" s="461"/>
      <c r="H211" s="461"/>
      <c r="I211" s="461"/>
      <c r="J211" s="462"/>
      <c r="K211" s="463" t="str">
        <f>H180</f>
        <v>fj5upwrd3pm</v>
      </c>
      <c r="L211" s="464"/>
      <c r="M211" s="464"/>
      <c r="N211" s="464"/>
      <c r="O211" s="464"/>
      <c r="P211" s="464"/>
      <c r="Q211" s="465"/>
      <c r="U211" s="457">
        <v>2</v>
      </c>
      <c r="V211" s="458"/>
      <c r="W211" s="459"/>
      <c r="X211" s="460" t="str">
        <f>V180</f>
        <v>Lake Murray 16 Black</v>
      </c>
      <c r="Y211" s="461"/>
      <c r="Z211" s="461"/>
      <c r="AA211" s="461"/>
      <c r="AB211" s="461"/>
      <c r="AC211" s="461"/>
      <c r="AD211" s="461"/>
      <c r="AE211" s="461"/>
      <c r="AF211" s="462"/>
      <c r="AG211" s="463" t="str">
        <f>AB180</f>
        <v>fj6lakem2pm</v>
      </c>
      <c r="AH211" s="464"/>
      <c r="AI211" s="464"/>
      <c r="AJ211" s="464"/>
      <c r="AK211" s="464"/>
      <c r="AL211" s="464"/>
      <c r="AM211" s="465"/>
      <c r="AT211" s="55"/>
      <c r="AU211" s="55"/>
      <c r="AV211" s="55"/>
      <c r="AW211" s="58"/>
      <c r="AX211" s="55"/>
      <c r="AY211" s="55"/>
      <c r="AZ211" s="55"/>
      <c r="BA211" s="55"/>
    </row>
    <row r="212" spans="1:53" ht="13.5" thickBot="1" x14ac:dyDescent="0.25">
      <c r="A212" s="101">
        <v>3</v>
      </c>
      <c r="B212" s="460" t="str">
        <f>L179</f>
        <v>Upward Stars 16 Mark C</v>
      </c>
      <c r="C212" s="461"/>
      <c r="D212" s="461"/>
      <c r="E212" s="461"/>
      <c r="F212" s="461"/>
      <c r="G212" s="461"/>
      <c r="H212" s="461"/>
      <c r="I212" s="461"/>
      <c r="J212" s="462"/>
      <c r="K212" s="463" t="str">
        <f>R179</f>
        <v>fj6upwrd5pm</v>
      </c>
      <c r="L212" s="464"/>
      <c r="M212" s="464"/>
      <c r="N212" s="464"/>
      <c r="O212" s="464"/>
      <c r="P212" s="464"/>
      <c r="Q212" s="465"/>
      <c r="U212" s="457">
        <v>3</v>
      </c>
      <c r="V212" s="458"/>
      <c r="W212" s="459"/>
      <c r="X212" s="460" t="str">
        <f>AF179</f>
        <v>SCWE16RAPTORS</v>
      </c>
      <c r="Y212" s="461"/>
      <c r="Z212" s="461"/>
      <c r="AA212" s="461"/>
      <c r="AB212" s="461"/>
      <c r="AC212" s="461"/>
      <c r="AD212" s="461"/>
      <c r="AE212" s="461"/>
      <c r="AF212" s="462"/>
      <c r="AG212" s="463" t="str">
        <f>AL179</f>
        <v>fj6scwea1pm</v>
      </c>
      <c r="AH212" s="464"/>
      <c r="AI212" s="464"/>
      <c r="AJ212" s="464"/>
      <c r="AK212" s="464"/>
      <c r="AL212" s="464"/>
      <c r="AM212" s="465"/>
      <c r="AT212" s="55"/>
      <c r="AU212" s="55"/>
      <c r="AV212" s="55"/>
      <c r="AW212" s="58"/>
      <c r="AX212" s="55"/>
      <c r="AY212" s="55"/>
      <c r="AZ212" s="55"/>
      <c r="BA212" s="55"/>
    </row>
    <row r="213" spans="1:53" ht="13.5" thickBot="1" x14ac:dyDescent="0.25">
      <c r="A213" s="101">
        <v>4</v>
      </c>
      <c r="B213" s="460" t="str">
        <f>L180</f>
        <v>KVC 16</v>
      </c>
      <c r="C213" s="461"/>
      <c r="D213" s="461"/>
      <c r="E213" s="461"/>
      <c r="F213" s="461"/>
      <c r="G213" s="461"/>
      <c r="H213" s="461"/>
      <c r="I213" s="461"/>
      <c r="J213" s="462"/>
      <c r="K213" s="463" t="str">
        <f>R180</f>
        <v>fj6kvcjr1pm</v>
      </c>
      <c r="L213" s="464"/>
      <c r="M213" s="464"/>
      <c r="N213" s="464"/>
      <c r="O213" s="464"/>
      <c r="P213" s="464"/>
      <c r="Q213" s="465"/>
      <c r="U213" s="457">
        <v>4</v>
      </c>
      <c r="V213" s="458"/>
      <c r="W213" s="459"/>
      <c r="X213" s="460" t="str">
        <f>AF180</f>
        <v>Club Coastal 16 White</v>
      </c>
      <c r="Y213" s="461"/>
      <c r="Z213" s="461"/>
      <c r="AA213" s="461"/>
      <c r="AB213" s="461"/>
      <c r="AC213" s="461"/>
      <c r="AD213" s="461"/>
      <c r="AE213" s="461"/>
      <c r="AF213" s="462"/>
      <c r="AG213" s="463" t="str">
        <f>AL180</f>
        <v>fj6ccoas1pm</v>
      </c>
      <c r="AH213" s="464"/>
      <c r="AI213" s="464"/>
      <c r="AJ213" s="464"/>
      <c r="AK213" s="464"/>
      <c r="AL213" s="464"/>
      <c r="AM213" s="465"/>
      <c r="AT213" s="55"/>
      <c r="AU213" s="55"/>
      <c r="AV213" s="55"/>
      <c r="AW213" s="58"/>
      <c r="AX213" s="55"/>
      <c r="AY213" s="55"/>
      <c r="AZ213" s="55"/>
      <c r="BA213" s="55"/>
    </row>
    <row r="214" spans="1:53" ht="13.5" thickBot="1" x14ac:dyDescent="0.25">
      <c r="AT214" s="55"/>
      <c r="AU214" s="55"/>
      <c r="AV214" s="55"/>
      <c r="AW214" s="58"/>
      <c r="AX214" s="55"/>
      <c r="AY214" s="55"/>
      <c r="AZ214" s="55"/>
      <c r="BA214" s="55"/>
    </row>
    <row r="215" spans="1:53" x14ac:dyDescent="0.2">
      <c r="B215" s="466" t="s">
        <v>156</v>
      </c>
      <c r="C215" s="467"/>
      <c r="D215" s="468"/>
      <c r="E215" s="469" t="s">
        <v>156</v>
      </c>
      <c r="F215" s="467"/>
      <c r="G215" s="468"/>
      <c r="H215" s="469" t="s">
        <v>14</v>
      </c>
      <c r="I215" s="467"/>
      <c r="J215" s="470"/>
      <c r="K215" s="471" t="s">
        <v>157</v>
      </c>
      <c r="L215" s="472"/>
      <c r="M215" s="472"/>
      <c r="N215" s="472"/>
      <c r="O215" s="472"/>
      <c r="P215" s="472"/>
      <c r="Q215" s="473"/>
      <c r="R215" s="102"/>
      <c r="S215" s="102"/>
      <c r="T215" s="102"/>
      <c r="U215" s="102"/>
      <c r="W215" s="466" t="s">
        <v>156</v>
      </c>
      <c r="X215" s="467"/>
      <c r="Y215" s="468"/>
      <c r="Z215" s="469" t="s">
        <v>156</v>
      </c>
      <c r="AA215" s="467"/>
      <c r="AB215" s="468"/>
      <c r="AC215" s="469" t="s">
        <v>14</v>
      </c>
      <c r="AD215" s="467"/>
      <c r="AE215" s="470"/>
      <c r="AF215" s="471" t="s">
        <v>157</v>
      </c>
      <c r="AG215" s="480"/>
      <c r="AH215" s="480"/>
      <c r="AI215" s="480"/>
      <c r="AJ215" s="481"/>
      <c r="AW215" s="58"/>
      <c r="AX215" s="55"/>
      <c r="AY215" s="55"/>
      <c r="AZ215" s="55"/>
      <c r="BA215" s="55"/>
    </row>
    <row r="216" spans="1:53" x14ac:dyDescent="0.2">
      <c r="A216" s="41" t="s">
        <v>158</v>
      </c>
      <c r="B216" s="488">
        <v>3</v>
      </c>
      <c r="C216" s="489"/>
      <c r="D216" s="490"/>
      <c r="E216" s="491" t="s">
        <v>159</v>
      </c>
      <c r="F216" s="489"/>
      <c r="G216" s="490"/>
      <c r="H216" s="491" t="s">
        <v>160</v>
      </c>
      <c r="I216" s="489"/>
      <c r="J216" s="492"/>
      <c r="K216" s="474"/>
      <c r="L216" s="475"/>
      <c r="M216" s="475"/>
      <c r="N216" s="475"/>
      <c r="O216" s="475"/>
      <c r="P216" s="475"/>
      <c r="Q216" s="476"/>
      <c r="R216" s="102"/>
      <c r="S216" s="102"/>
      <c r="T216" s="493" t="s">
        <v>158</v>
      </c>
      <c r="U216" s="493"/>
      <c r="V216" s="494"/>
      <c r="W216" s="488">
        <v>3</v>
      </c>
      <c r="X216" s="489"/>
      <c r="Y216" s="490"/>
      <c r="Z216" s="491" t="s">
        <v>159</v>
      </c>
      <c r="AA216" s="489"/>
      <c r="AB216" s="490"/>
      <c r="AC216" s="491" t="s">
        <v>160</v>
      </c>
      <c r="AD216" s="489"/>
      <c r="AE216" s="492"/>
      <c r="AF216" s="482"/>
      <c r="AG216" s="483"/>
      <c r="AH216" s="483"/>
      <c r="AI216" s="483"/>
      <c r="AJ216" s="484"/>
      <c r="AW216" s="58"/>
      <c r="AX216" s="55"/>
      <c r="AY216" s="55"/>
      <c r="AZ216" s="55"/>
      <c r="BA216" s="55"/>
    </row>
    <row r="217" spans="1:53" ht="13.5" thickBot="1" x14ac:dyDescent="0.25">
      <c r="A217" s="7"/>
      <c r="B217" s="501" t="s">
        <v>70</v>
      </c>
      <c r="C217" s="323"/>
      <c r="D217" s="324"/>
      <c r="E217" s="322" t="s">
        <v>161</v>
      </c>
      <c r="F217" s="323"/>
      <c r="G217" s="324"/>
      <c r="H217" s="322" t="s">
        <v>162</v>
      </c>
      <c r="I217" s="323"/>
      <c r="J217" s="495"/>
      <c r="K217" s="477"/>
      <c r="L217" s="478"/>
      <c r="M217" s="478"/>
      <c r="N217" s="478"/>
      <c r="O217" s="478"/>
      <c r="P217" s="478"/>
      <c r="Q217" s="479"/>
      <c r="R217" s="102"/>
      <c r="S217" s="102"/>
      <c r="T217" s="499"/>
      <c r="U217" s="499"/>
      <c r="V217" s="500"/>
      <c r="W217" s="501" t="s">
        <v>70</v>
      </c>
      <c r="X217" s="323"/>
      <c r="Y217" s="324"/>
      <c r="Z217" s="322" t="s">
        <v>161</v>
      </c>
      <c r="AA217" s="323"/>
      <c r="AB217" s="324"/>
      <c r="AC217" s="322" t="s">
        <v>162</v>
      </c>
      <c r="AD217" s="323"/>
      <c r="AE217" s="495"/>
      <c r="AF217" s="485"/>
      <c r="AG217" s="486"/>
      <c r="AH217" s="486"/>
      <c r="AI217" s="486"/>
      <c r="AJ217" s="487"/>
      <c r="AW217" s="58"/>
      <c r="AX217" s="55"/>
      <c r="AY217" s="55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1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2</v>
      </c>
      <c r="K218" s="496" t="s">
        <v>163</v>
      </c>
      <c r="L218" s="497"/>
      <c r="M218" s="497"/>
      <c r="N218" s="498"/>
      <c r="R218" s="102"/>
      <c r="S218" s="102"/>
      <c r="T218" s="499"/>
      <c r="U218" s="499"/>
      <c r="V218" s="500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1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2</v>
      </c>
      <c r="AF218" s="496" t="s">
        <v>163</v>
      </c>
      <c r="AG218" s="498"/>
      <c r="AH218" s="102"/>
      <c r="AI218" s="102"/>
      <c r="AJ218" s="102"/>
      <c r="AW218" s="58"/>
      <c r="AX218" s="55"/>
      <c r="AY218" s="55"/>
      <c r="AZ218" s="55"/>
      <c r="BA218" s="55"/>
    </row>
    <row r="219" spans="1:53" ht="13.5" hidden="1" customHeight="1" x14ac:dyDescent="0.2">
      <c r="A219" s="7"/>
      <c r="B219" s="110">
        <f>IF(B223&gt;D223,1,0)</f>
        <v>1</v>
      </c>
      <c r="C219" s="111"/>
      <c r="D219" s="112">
        <f>IF(D223&gt;B223,1,0)</f>
        <v>0</v>
      </c>
      <c r="E219" s="110">
        <f>IF(E223&gt;G223,1,0)</f>
        <v>1</v>
      </c>
      <c r="F219" s="111"/>
      <c r="G219" s="112">
        <f>IF(G223&gt;E223,1,0)</f>
        <v>0</v>
      </c>
      <c r="H219" s="110">
        <f>IF(H223&gt;J223,1,0)</f>
        <v>1</v>
      </c>
      <c r="I219" s="111"/>
      <c r="J219" s="112">
        <f>IF(J223&gt;H223,1,0)</f>
        <v>0</v>
      </c>
      <c r="K219" s="113"/>
      <c r="L219" s="114"/>
      <c r="M219" s="114"/>
      <c r="N219" s="115"/>
      <c r="R219" s="102"/>
      <c r="S219" s="102"/>
      <c r="T219" s="499"/>
      <c r="U219" s="499"/>
      <c r="V219" s="500"/>
      <c r="W219" s="110">
        <f>IF(W223&gt;Y223,1,0)</f>
        <v>1</v>
      </c>
      <c r="X219" s="111"/>
      <c r="Y219" s="112">
        <f>IF(Y223&gt;W223,1,0)</f>
        <v>0</v>
      </c>
      <c r="Z219" s="110">
        <f>IF(Z223&gt;AB223,1,0)</f>
        <v>1</v>
      </c>
      <c r="AA219" s="111"/>
      <c r="AB219" s="112">
        <f>IF(AB223&gt;Z223,1,0)</f>
        <v>0</v>
      </c>
      <c r="AC219" s="110">
        <f>IF(AC223&gt;AE223,1,0)</f>
        <v>1</v>
      </c>
      <c r="AD219" s="111"/>
      <c r="AE219" s="112">
        <f>IF(AE223&gt;AC223,1,0)</f>
        <v>0</v>
      </c>
      <c r="AF219" s="116"/>
      <c r="AG219" s="117"/>
      <c r="AH219" s="102"/>
      <c r="AI219" s="102"/>
      <c r="AJ219" s="102"/>
      <c r="AW219" s="58"/>
      <c r="AX219" s="55"/>
      <c r="AY219" s="55"/>
      <c r="AZ219" s="55"/>
      <c r="BA219" s="55"/>
    </row>
    <row r="220" spans="1:53" ht="13.5" hidden="1" customHeight="1" x14ac:dyDescent="0.2">
      <c r="A220" s="7"/>
      <c r="B220" s="110">
        <f>IF(B224&gt;D224,1,0)</f>
        <v>1</v>
      </c>
      <c r="C220" s="111"/>
      <c r="D220" s="112">
        <f>IF(D224&gt;B224,1,0)</f>
        <v>0</v>
      </c>
      <c r="E220" s="110">
        <f>IF(E224&gt;G224,1,0)</f>
        <v>1</v>
      </c>
      <c r="F220" s="111"/>
      <c r="G220" s="112">
        <f>IF(G224&gt;E224,1,0)</f>
        <v>0</v>
      </c>
      <c r="H220" s="110">
        <f>IF(H224&gt;J224,1,0)</f>
        <v>1</v>
      </c>
      <c r="I220" s="111"/>
      <c r="J220" s="112">
        <f>IF(J224&gt;H224,1,0)</f>
        <v>0</v>
      </c>
      <c r="K220" s="113"/>
      <c r="L220" s="114"/>
      <c r="M220" s="114"/>
      <c r="N220" s="115"/>
      <c r="R220" s="102"/>
      <c r="S220" s="102"/>
      <c r="T220" s="499"/>
      <c r="U220" s="499"/>
      <c r="V220" s="500"/>
      <c r="W220" s="110">
        <f>IF(W224&gt;Y224,1,0)</f>
        <v>1</v>
      </c>
      <c r="X220" s="111"/>
      <c r="Y220" s="112">
        <f>IF(Y224&gt;W224,1,0)</f>
        <v>0</v>
      </c>
      <c r="Z220" s="110">
        <f>IF(Z224&gt;AB224,1,0)</f>
        <v>0</v>
      </c>
      <c r="AA220" s="111"/>
      <c r="AB220" s="112">
        <f>IF(AB224&gt;Z224,1,0)</f>
        <v>1</v>
      </c>
      <c r="AC220" s="110">
        <f>IF(AC224&gt;AE224,1,0)</f>
        <v>1</v>
      </c>
      <c r="AD220" s="111"/>
      <c r="AE220" s="112">
        <f>IF(AE224&gt;AC224,1,0)</f>
        <v>0</v>
      </c>
      <c r="AF220" s="116"/>
      <c r="AG220" s="117"/>
      <c r="AH220" s="102"/>
      <c r="AI220" s="102"/>
      <c r="AJ220" s="102"/>
      <c r="AW220" s="58"/>
      <c r="AX220" s="55"/>
      <c r="AY220" s="55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0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0</v>
      </c>
      <c r="K221" s="113"/>
      <c r="L221" s="114"/>
      <c r="M221" s="114"/>
      <c r="N221" s="115"/>
      <c r="R221" s="102"/>
      <c r="S221" s="102"/>
      <c r="T221" s="499"/>
      <c r="U221" s="499"/>
      <c r="V221" s="500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1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0</v>
      </c>
      <c r="AF221" s="116"/>
      <c r="AG221" s="117"/>
      <c r="AH221" s="102"/>
      <c r="AI221" s="102"/>
      <c r="AJ221" s="102"/>
      <c r="AW221" s="58"/>
      <c r="AX221" s="55"/>
      <c r="AY221" s="55"/>
      <c r="AZ221" s="55"/>
      <c r="BA221" s="55"/>
    </row>
    <row r="222" spans="1:53" ht="13.5" hidden="1" customHeight="1" x14ac:dyDescent="0.2">
      <c r="A222" s="7"/>
      <c r="B222" s="110">
        <f>SUM(B219:B221)</f>
        <v>2</v>
      </c>
      <c r="C222" s="111"/>
      <c r="D222" s="110">
        <f>SUM(D219:D221)</f>
        <v>0</v>
      </c>
      <c r="E222" s="110">
        <f>SUM(E219:E221)</f>
        <v>2</v>
      </c>
      <c r="F222" s="111"/>
      <c r="G222" s="110">
        <f>SUM(G219:G221)</f>
        <v>0</v>
      </c>
      <c r="H222" s="110">
        <f>SUM(H219:H221)</f>
        <v>2</v>
      </c>
      <c r="I222" s="111"/>
      <c r="J222" s="110">
        <f>SUM(J219:J221)</f>
        <v>0</v>
      </c>
      <c r="K222" s="113"/>
      <c r="L222" s="114"/>
      <c r="M222" s="114"/>
      <c r="N222" s="115"/>
      <c r="R222" s="102"/>
      <c r="S222" s="102"/>
      <c r="T222" s="499"/>
      <c r="U222" s="499"/>
      <c r="V222" s="500"/>
      <c r="W222" s="110">
        <f>SUM(W219:W221)</f>
        <v>2</v>
      </c>
      <c r="X222" s="111"/>
      <c r="Y222" s="110">
        <f>SUM(Y219:Y221)</f>
        <v>0</v>
      </c>
      <c r="Z222" s="110">
        <f>SUM(Z219:Z221)</f>
        <v>2</v>
      </c>
      <c r="AA222" s="111"/>
      <c r="AB222" s="110">
        <f>SUM(AB219:AB221)</f>
        <v>1</v>
      </c>
      <c r="AC222" s="110">
        <f>SUM(AC219:AC221)</f>
        <v>2</v>
      </c>
      <c r="AD222" s="111"/>
      <c r="AE222" s="110">
        <f>SUM(AE219:AE221)</f>
        <v>0</v>
      </c>
      <c r="AF222" s="116"/>
      <c r="AG222" s="117"/>
      <c r="AH222" s="102"/>
      <c r="AI222" s="102"/>
      <c r="AJ222" s="102"/>
      <c r="AW222" s="58"/>
      <c r="AX222" s="55"/>
      <c r="AY222" s="55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22</v>
      </c>
      <c r="E223" s="120">
        <v>25</v>
      </c>
      <c r="F223" s="50" t="s">
        <v>80</v>
      </c>
      <c r="G223" s="119">
        <v>21</v>
      </c>
      <c r="H223" s="120">
        <v>25</v>
      </c>
      <c r="I223" s="50" t="s">
        <v>80</v>
      </c>
      <c r="J223" s="121">
        <v>21</v>
      </c>
      <c r="K223" s="504">
        <f>IF(AND(OR(H222&gt;0,J222&gt;0),AND(1&lt;=H218,H218&lt;=4),AND(1&lt;=J218,J218&lt;=4)),IF(H222&gt;J222,H218,IF(J222&gt;H222,J218,"")),"")</f>
        <v>1</v>
      </c>
      <c r="L223" s="505"/>
      <c r="M223" s="505"/>
      <c r="N223" s="506"/>
      <c r="R223" s="102"/>
      <c r="S223" s="102"/>
      <c r="T223" s="122"/>
      <c r="U223" s="122"/>
      <c r="V223" s="5" t="s">
        <v>79</v>
      </c>
      <c r="W223" s="118">
        <v>25</v>
      </c>
      <c r="X223" s="50" t="s">
        <v>80</v>
      </c>
      <c r="Y223" s="119">
        <v>13</v>
      </c>
      <c r="Z223" s="120">
        <v>25</v>
      </c>
      <c r="AA223" s="50" t="s">
        <v>80</v>
      </c>
      <c r="AB223" s="119">
        <v>14</v>
      </c>
      <c r="AC223" s="120">
        <v>25</v>
      </c>
      <c r="AD223" s="50" t="s">
        <v>80</v>
      </c>
      <c r="AE223" s="121">
        <v>23</v>
      </c>
      <c r="AF223" s="504">
        <f>IF(AND(OR(AC222&gt;0,AE222&gt;0),AND(1&lt;=AC218,AC218&lt;=4),AND(1&lt;=AE218,AE218&lt;=4)),IF(AC222&gt;AE222,AC218,IF(AE222&gt;AC222,AE218,"")),"")</f>
        <v>1</v>
      </c>
      <c r="AG223" s="506"/>
      <c r="AH223" s="102"/>
      <c r="AI223" s="102"/>
      <c r="AJ223" s="102"/>
      <c r="AW223" s="58"/>
      <c r="AX223" s="55"/>
      <c r="AY223" s="55"/>
      <c r="AZ223" s="55"/>
      <c r="BA223" s="55"/>
    </row>
    <row r="224" spans="1:53" ht="12.75" customHeight="1" x14ac:dyDescent="0.2">
      <c r="A224" s="5" t="s">
        <v>164</v>
      </c>
      <c r="B224" s="118">
        <v>25</v>
      </c>
      <c r="C224" s="50" t="s">
        <v>80</v>
      </c>
      <c r="D224" s="119">
        <v>14</v>
      </c>
      <c r="E224" s="120">
        <v>25</v>
      </c>
      <c r="F224" s="50" t="s">
        <v>80</v>
      </c>
      <c r="G224" s="119">
        <v>23</v>
      </c>
      <c r="H224" s="120">
        <v>25</v>
      </c>
      <c r="I224" s="50" t="s">
        <v>80</v>
      </c>
      <c r="J224" s="121">
        <v>22</v>
      </c>
      <c r="K224" s="507"/>
      <c r="L224" s="508"/>
      <c r="M224" s="508"/>
      <c r="N224" s="509"/>
      <c r="R224" s="102"/>
      <c r="S224" s="102"/>
      <c r="T224" s="122"/>
      <c r="U224" s="122"/>
      <c r="V224" s="5" t="s">
        <v>164</v>
      </c>
      <c r="W224" s="118">
        <v>25</v>
      </c>
      <c r="X224" s="50" t="s">
        <v>80</v>
      </c>
      <c r="Y224" s="119">
        <v>13</v>
      </c>
      <c r="Z224" s="120">
        <v>21</v>
      </c>
      <c r="AA224" s="50" t="s">
        <v>80</v>
      </c>
      <c r="AB224" s="119">
        <v>25</v>
      </c>
      <c r="AC224" s="120">
        <v>25</v>
      </c>
      <c r="AD224" s="50" t="s">
        <v>80</v>
      </c>
      <c r="AE224" s="121">
        <v>22</v>
      </c>
      <c r="AF224" s="507"/>
      <c r="AG224" s="509"/>
      <c r="AH224" s="102"/>
      <c r="AI224" s="102"/>
      <c r="AJ224" s="102"/>
      <c r="AW224" s="58"/>
      <c r="AX224" s="55"/>
      <c r="AY224" s="55"/>
      <c r="AZ224" s="55"/>
      <c r="BA224" s="55"/>
    </row>
    <row r="225" spans="1:77" ht="13.5" customHeight="1" thickBot="1" x14ac:dyDescent="0.25">
      <c r="A225" s="5" t="s">
        <v>165</v>
      </c>
      <c r="B225" s="123"/>
      <c r="C225" s="124" t="s">
        <v>80</v>
      </c>
      <c r="D225" s="125"/>
      <c r="E225" s="126"/>
      <c r="F225" s="124" t="s">
        <v>80</v>
      </c>
      <c r="G225" s="125"/>
      <c r="H225" s="126"/>
      <c r="I225" s="124" t="s">
        <v>80</v>
      </c>
      <c r="J225" s="127"/>
      <c r="K225" s="510"/>
      <c r="L225" s="511"/>
      <c r="M225" s="511"/>
      <c r="N225" s="512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>
        <v>15</v>
      </c>
      <c r="AA225" s="124" t="s">
        <v>80</v>
      </c>
      <c r="AB225" s="125">
        <v>10</v>
      </c>
      <c r="AC225" s="126"/>
      <c r="AD225" s="124" t="s">
        <v>80</v>
      </c>
      <c r="AE225" s="127"/>
      <c r="AF225" s="510"/>
      <c r="AG225" s="512"/>
      <c r="AH225" s="102"/>
      <c r="AI225" s="102"/>
      <c r="AJ225" s="102"/>
      <c r="AW225" s="58"/>
      <c r="AX225" s="55"/>
      <c r="AY225" s="55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Beaufort Sweet 16's</v>
      </c>
      <c r="AU226" s="4">
        <f>J227</f>
        <v>2602.0670906930518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Beaufort Sweet 16's</v>
      </c>
      <c r="C227" s="4">
        <f>VLOOKUP(B227,AU$2:AY$22,4,FALSE)</f>
        <v>2582.6337956345133</v>
      </c>
      <c r="D227" s="4">
        <f>IF(A227=B218,B233,IF(A227=D218,D233,C227))</f>
        <v>2594.7846076959158</v>
      </c>
      <c r="G227" s="4">
        <f>IF(A227=E218,E233,IF(A227=G218,G233,D227))</f>
        <v>2594.7846076959158</v>
      </c>
      <c r="J227" s="4">
        <f>IF(A227=H218,H233,IF(A227=J218,J233,G227))</f>
        <v>2602.0670906930518</v>
      </c>
      <c r="U227" s="129"/>
      <c r="V227" s="129">
        <v>1</v>
      </c>
      <c r="W227" s="4" t="str">
        <f>X210</f>
        <v>Upward Stars 16 Tonja</v>
      </c>
      <c r="X227" s="4">
        <f>VLOOKUP(W227,AU$2:AY$22,4,FALSE)</f>
        <v>2419.5058168561241</v>
      </c>
      <c r="Y227" s="4">
        <f>IF(V227=W218,W233,IF(V227=Y218,Y233,X227))</f>
        <v>2427.7846129103782</v>
      </c>
      <c r="AB227" s="4">
        <f>IF(V227=Z218,Z233,IF(V227=AB218,AB233,Y227))</f>
        <v>2427.7846129103782</v>
      </c>
      <c r="AE227" s="4">
        <f>IF(V227=AC218,AC233,IF(V227=AE218,AE233,AB227))</f>
        <v>2440.2815498712666</v>
      </c>
      <c r="AT227" s="4" t="str">
        <f>B228</f>
        <v>Upward Stars 15 Mark</v>
      </c>
      <c r="AU227" s="4">
        <f>J228</f>
        <v>2375.211979799888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Upward Stars 15 Mark</v>
      </c>
      <c r="C228" s="4">
        <f>VLOOKUP(B228,AU$2:AY$22,4,FALSE)</f>
        <v>2362.6204348617684</v>
      </c>
      <c r="D228" s="4">
        <f>IF(A228=B218,B233,IF(A228=D218,D233,C228))</f>
        <v>2362.6204348617684</v>
      </c>
      <c r="G228" s="4">
        <f>IF(A228=E218,E233,IF(A228=G218,G233,D228))</f>
        <v>2382.494462797024</v>
      </c>
      <c r="J228" s="4">
        <f>IF(A228=H218,H233,IF(A228=J218,J233,G228))</f>
        <v>2375.211979799888</v>
      </c>
      <c r="U228" s="129"/>
      <c r="V228" s="129">
        <v>2</v>
      </c>
      <c r="W228" s="4" t="str">
        <f>X211</f>
        <v>Lake Murray 16 Black</v>
      </c>
      <c r="X228" s="4">
        <f>VLOOKUP(W228,AU$2:AY$22,4,FALSE)</f>
        <v>2348.8324742187001</v>
      </c>
      <c r="Y228" s="4">
        <f>IF(V228=W218,W233,IF(V228=Y218,Y233,X228))</f>
        <v>2348.8324742187001</v>
      </c>
      <c r="AB228" s="4">
        <f>IF(V228=Z218,Z233,IF(V228=AB218,AB233,Y228))</f>
        <v>2350.4649147388268</v>
      </c>
      <c r="AE228" s="4">
        <f>IF(V228=AC218,AC233,IF(V228=AE218,AE233,AB228))</f>
        <v>2337.9679777779384</v>
      </c>
      <c r="AT228" s="4" t="str">
        <f>B229</f>
        <v>Upward Stars 16 Mark C</v>
      </c>
      <c r="AU228" s="4">
        <f>J229</f>
        <v>2428.574139943863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Upward Stars 16 Mark C</v>
      </c>
      <c r="C229" s="4">
        <f>VLOOKUP(B229,AU$2:AY$22,4,FALSE)</f>
        <v>2448.4481678791185</v>
      </c>
      <c r="D229" s="4">
        <f>IF(A229=B218,B233,IF(A229=D218,D233,C229))</f>
        <v>2448.4481678791185</v>
      </c>
      <c r="G229" s="4">
        <f>IF(A229=E218,E233,IF(A229=G218,G233,D229))</f>
        <v>2428.574139943863</v>
      </c>
      <c r="J229" s="4">
        <f>IF(A229=H218,H233,IF(A229=J218,J233,G229))</f>
        <v>2428.574139943863</v>
      </c>
      <c r="U229" s="129"/>
      <c r="V229" s="129">
        <v>3</v>
      </c>
      <c r="W229" s="4" t="str">
        <f>X212</f>
        <v>SCWE16RAPTORS</v>
      </c>
      <c r="X229" s="4">
        <f>VLOOKUP(W229,AU$2:AY$22,4,FALSE)</f>
        <v>2254.3934889012285</v>
      </c>
      <c r="Y229" s="4">
        <f>IF(V229=W218,W233,IF(V229=Y218,Y233,X229))</f>
        <v>2254.3934889012285</v>
      </c>
      <c r="AB229" s="4">
        <f>IF(V229=Z218,Z233,IF(V229=AB218,AB233,Y229))</f>
        <v>2252.7610483811018</v>
      </c>
      <c r="AE229" s="4">
        <f>IF(V229=AC218,AC233,IF(V229=AE218,AE233,AB229))</f>
        <v>2252.7610483811018</v>
      </c>
      <c r="AT229" s="4" t="str">
        <f>B230</f>
        <v>KVC 16</v>
      </c>
      <c r="AU229" s="4">
        <f>J230</f>
        <v>2485.2280075007443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KVC 16</v>
      </c>
      <c r="C230" s="4">
        <f>VLOOKUP(B230,AU$2:AY$22,4,FALSE)</f>
        <v>2497.3788195621469</v>
      </c>
      <c r="D230" s="4">
        <f>IF(A230=B218,B233,IF(A230=D218,D233,C230))</f>
        <v>2485.2280075007443</v>
      </c>
      <c r="G230" s="4">
        <f>IF(A230=E218,E233,IF(A230=G218,G233,D230))</f>
        <v>2485.2280075007443</v>
      </c>
      <c r="J230" s="4">
        <f>IF(A230=H218,H233,IF(A230=J218,J233,G230))</f>
        <v>2485.2280075007443</v>
      </c>
      <c r="U230" s="129"/>
      <c r="V230" s="129">
        <v>4</v>
      </c>
      <c r="W230" s="4" t="str">
        <f>X213</f>
        <v>Club Coastal 16 White</v>
      </c>
      <c r="X230" s="4">
        <f>VLOOKUP(W230,AU$2:AY$22,4,FALSE)</f>
        <v>2236.6379994866888</v>
      </c>
      <c r="Y230" s="4">
        <f>IF(V230=W218,W233,IF(V230=Y218,Y233,X230))</f>
        <v>2228.3592034324347</v>
      </c>
      <c r="AB230" s="4">
        <f>IF(V230=Z218,Z233,IF(V230=AB218,AB233,Y230))</f>
        <v>2228.3592034324347</v>
      </c>
      <c r="AE230" s="4">
        <f>IF(V230=AC218,AC233,IF(V230=AE218,AE233,AB230))</f>
        <v>2228.3592034324347</v>
      </c>
      <c r="AT230" s="4" t="str">
        <f>W227</f>
        <v>Upward Stars 16 Tonja</v>
      </c>
      <c r="AU230" s="4">
        <f>AE227</f>
        <v>2440.2815498712666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2582.6337956345133</v>
      </c>
      <c r="D231" s="4">
        <f>VLOOKUP(D218,$A227:$J230,3,FALSE)</f>
        <v>2497.3788195621469</v>
      </c>
      <c r="E231" s="4">
        <f>VLOOKUP(E218,$A227:$J230,4,FALSE)</f>
        <v>2362.6204348617684</v>
      </c>
      <c r="G231" s="4">
        <f>VLOOKUP(G218,$A227:$J230,4,FALSE)</f>
        <v>2448.4481678791185</v>
      </c>
      <c r="H231" s="4">
        <f>VLOOKUP(H218,$A227:$J230,7,FALSE)</f>
        <v>2594.7846076959158</v>
      </c>
      <c r="J231" s="4">
        <f>VLOOKUP(J218,$A227:$J230,7,FALSE)</f>
        <v>2382.494462797024</v>
      </c>
      <c r="T231" s="513" t="s">
        <v>116</v>
      </c>
      <c r="U231" s="513"/>
      <c r="V231" s="513"/>
      <c r="W231" s="4">
        <f>VLOOKUP(W218,$V227:$AE230,3,FALSE)</f>
        <v>2419.5058168561241</v>
      </c>
      <c r="Y231" s="4">
        <f>VLOOKUP(Y218,$V227:$AE230,3,FALSE)</f>
        <v>2236.6379994866888</v>
      </c>
      <c r="Z231" s="4">
        <f>VLOOKUP(Z218,$V227:$AE230,4,FALSE)</f>
        <v>2348.8324742187001</v>
      </c>
      <c r="AB231" s="4">
        <f>VLOOKUP(AB218,$V227:$AE230,4,FALSE)</f>
        <v>2254.3934889012285</v>
      </c>
      <c r="AC231" s="4">
        <f>VLOOKUP(AC218,$V227:$AE230,7,FALSE)</f>
        <v>2427.7846129103782</v>
      </c>
      <c r="AE231" s="4">
        <f>VLOOKUP(AE218,$V227:$AE230,7,FALSE)</f>
        <v>2350.4649147388268</v>
      </c>
      <c r="AT231" s="4" t="str">
        <f>W228</f>
        <v>Lake Murray 16 Black</v>
      </c>
      <c r="AU231" s="4">
        <f>AE228</f>
        <v>2337.9679777779384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1/(1+(10^-((B231-D231)/400)))*(B222+D222)</f>
        <v>1.2405742461623372</v>
      </c>
      <c r="C232" s="69"/>
      <c r="D232" s="69">
        <f>1/(1+(10^-((D231-B231)/400)))*(B222+D222)</f>
        <v>0.75942575383766275</v>
      </c>
      <c r="E232" s="69">
        <f>1/(1+(10^-((E231-G231)/400)))*(E222+G222)</f>
        <v>0.75787325404653505</v>
      </c>
      <c r="G232" s="69">
        <f>1/(1+(10^-((G231-E231)/400)))*(E222+G222)</f>
        <v>1.2421267459534648</v>
      </c>
      <c r="H232" s="69">
        <f>1/(1+(10^-((H231-J231)/400)))*(H222+J222)</f>
        <v>1.5448448126789953</v>
      </c>
      <c r="J232" s="69">
        <f>1/(1+(10^-((J231-H231)/400)))*(H222+J222)</f>
        <v>0.45515518732100468</v>
      </c>
      <c r="T232" s="514" t="s">
        <v>117</v>
      </c>
      <c r="U232" s="514"/>
      <c r="V232" s="514"/>
      <c r="W232" s="69">
        <f>1/(1+(10^-((W231-Y231)/400)))*(W222+Y222)</f>
        <v>1.4825752466091024</v>
      </c>
      <c r="X232" s="69"/>
      <c r="Y232" s="69">
        <f>1/(1+(10^-((Y231-W231)/400)))*(W222+Y222)</f>
        <v>0.51742475339089766</v>
      </c>
      <c r="Z232" s="69">
        <f>1/(1+(10^-((Z231-AB231)/400)))*(Z222+AB222)</f>
        <v>1.8979724674920719</v>
      </c>
      <c r="AB232" s="69">
        <f>1/(1+(10^-((AB231-Z231)/400)))*(Z222+AB222)</f>
        <v>1.1020275325079281</v>
      </c>
      <c r="AC232" s="69">
        <f>1/(1+(10^-((AC231-AE231)/400)))*(AC222+AE222)</f>
        <v>1.21894143994447</v>
      </c>
      <c r="AE232" s="69">
        <f>1/(1+(10^-((AE231-AC231)/400)))*(AC222+AE222)</f>
        <v>0.78105856005552998</v>
      </c>
      <c r="AT232" s="4" t="str">
        <f>W229</f>
        <v>SCWE16RAPTORS</v>
      </c>
      <c r="AU232" s="4">
        <f>AE229</f>
        <v>2252.7610483811018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2594.7846076959158</v>
      </c>
      <c r="C233" s="75"/>
      <c r="D233" s="75">
        <f>D231+(D222-D232)*$BA$2</f>
        <v>2485.2280075007443</v>
      </c>
      <c r="E233" s="75">
        <f>E231+(E222-E232)*$BA$2</f>
        <v>2382.494462797024</v>
      </c>
      <c r="G233" s="75">
        <f>G231+(G222-G232)*$BA$2</f>
        <v>2428.574139943863</v>
      </c>
      <c r="H233" s="75">
        <f>H231+(H222-H232)*$BA$2</f>
        <v>2602.0670906930518</v>
      </c>
      <c r="J233" s="75">
        <f>J231+(J222-J232)*$BA$2</f>
        <v>2375.211979799888</v>
      </c>
      <c r="T233" s="502" t="s">
        <v>118</v>
      </c>
      <c r="U233" s="502"/>
      <c r="V233" s="502"/>
      <c r="W233" s="75">
        <f>W231+(W222-W232)*$BA$2</f>
        <v>2427.7846129103782</v>
      </c>
      <c r="X233" s="75"/>
      <c r="Y233" s="75">
        <f>Y231+(Y222-Y232)*$BA$2</f>
        <v>2228.3592034324347</v>
      </c>
      <c r="Z233" s="75">
        <f>Z231+(Z222-Z232)*$BA$2</f>
        <v>2350.4649147388268</v>
      </c>
      <c r="AB233" s="75">
        <f>AB231+(AB222-AB232)*$BA$2</f>
        <v>2252.7610483811018</v>
      </c>
      <c r="AC233" s="75">
        <f>AC231+(AC222-AC232)*$BA$2</f>
        <v>2440.2815498712666</v>
      </c>
      <c r="AE233" s="75">
        <f>AE231+(AE222-AE232)*$BA$2</f>
        <v>2337.9679777779384</v>
      </c>
      <c r="AT233" s="4" t="str">
        <f>W230</f>
        <v>Club Coastal 16 White</v>
      </c>
      <c r="AU233" s="4">
        <f>AE230</f>
        <v>2228.3592034324347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503" t="s">
        <v>169</v>
      </c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R234" s="102"/>
      <c r="S234" s="102"/>
      <c r="T234" s="122"/>
      <c r="U234" s="122"/>
      <c r="V234" s="503" t="s">
        <v>169</v>
      </c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02"/>
      <c r="AI234" s="102"/>
      <c r="AJ234" s="102"/>
      <c r="AW234" s="58"/>
      <c r="AX234" s="55"/>
      <c r="AY234" s="55"/>
      <c r="AZ234" s="55"/>
      <c r="BA234" s="55"/>
    </row>
    <row r="235" spans="1:77" x14ac:dyDescent="0.2">
      <c r="AT235" s="55"/>
      <c r="AU235" s="55"/>
      <c r="AV235" s="55"/>
      <c r="AW235" s="58"/>
      <c r="AX235" s="55"/>
      <c r="AY235" s="55"/>
      <c r="AZ235" s="55"/>
      <c r="BA235" s="55"/>
    </row>
    <row r="236" spans="1:77" x14ac:dyDescent="0.2">
      <c r="AT236" s="55"/>
      <c r="AU236" s="55"/>
      <c r="AV236" s="55"/>
      <c r="AW236" s="58"/>
      <c r="AX236" s="55"/>
      <c r="AY236" s="55"/>
      <c r="AZ236" s="55"/>
      <c r="BA236" s="55"/>
    </row>
    <row r="237" spans="1:77" x14ac:dyDescent="0.2">
      <c r="AT237" s="55"/>
      <c r="AU237" s="55"/>
      <c r="AV237" s="55"/>
      <c r="AW237" s="58"/>
      <c r="AX237" s="55"/>
      <c r="AY237" s="55"/>
      <c r="AZ237" s="55"/>
      <c r="BA237" s="55"/>
    </row>
    <row r="238" spans="1:77" x14ac:dyDescent="0.2">
      <c r="AT238" s="55"/>
      <c r="AU238" s="55"/>
      <c r="AV238" s="55"/>
      <c r="AW238" s="58"/>
      <c r="AX238" s="55"/>
      <c r="AY238" s="55"/>
      <c r="AZ238" s="55"/>
      <c r="BA238" s="55"/>
    </row>
    <row r="239" spans="1:77" x14ac:dyDescent="0.2">
      <c r="AT239" s="55"/>
      <c r="AU239" s="55"/>
      <c r="AV239" s="55"/>
      <c r="AW239" s="58"/>
      <c r="AX239" s="55"/>
      <c r="AY239" s="55"/>
      <c r="AZ239" s="55"/>
      <c r="BA239" s="55"/>
    </row>
    <row r="240" spans="1:77" x14ac:dyDescent="0.2">
      <c r="AT240" s="55"/>
      <c r="AU240" s="55"/>
      <c r="AV240" s="55"/>
      <c r="AW240" s="58"/>
      <c r="AX240" s="55"/>
      <c r="AY240" s="55"/>
      <c r="AZ240" s="55"/>
      <c r="BA240" s="55"/>
    </row>
    <row r="241" spans="46:53" x14ac:dyDescent="0.2">
      <c r="AT241" s="55"/>
      <c r="AU241" s="55"/>
      <c r="AV241" s="55"/>
      <c r="AW241" s="58"/>
      <c r="AX241" s="55"/>
      <c r="AY241" s="55"/>
      <c r="AZ241" s="55"/>
      <c r="BA241" s="55"/>
    </row>
    <row r="242" spans="46:53" x14ac:dyDescent="0.2">
      <c r="AT242" s="55"/>
      <c r="AU242" s="55"/>
      <c r="AV242" s="55"/>
      <c r="AW242" s="58"/>
      <c r="AX242" s="55"/>
      <c r="AY242" s="55"/>
      <c r="AZ242" s="55"/>
      <c r="BA242" s="55"/>
    </row>
    <row r="243" spans="46:53" x14ac:dyDescent="0.2">
      <c r="AT243" s="55"/>
      <c r="AU243" s="55"/>
      <c r="AV243" s="55"/>
      <c r="AW243" s="58"/>
      <c r="AX243" s="55"/>
      <c r="AY243" s="55"/>
      <c r="AZ243" s="55"/>
      <c r="BA243" s="55"/>
    </row>
    <row r="244" spans="46:53" x14ac:dyDescent="0.2">
      <c r="AT244" s="55"/>
      <c r="AU244" s="55"/>
      <c r="AV244" s="55"/>
      <c r="AW244" s="58"/>
      <c r="AX244" s="55"/>
      <c r="AY244" s="55"/>
      <c r="AZ244" s="55"/>
      <c r="BA244" s="55"/>
    </row>
    <row r="245" spans="46:53" x14ac:dyDescent="0.2">
      <c r="AT245" s="55"/>
      <c r="AU245" s="55"/>
      <c r="AV245" s="55"/>
      <c r="AW245" s="58"/>
      <c r="AX245" s="55"/>
      <c r="AY245" s="55"/>
      <c r="AZ245" s="55"/>
      <c r="BA245" s="55"/>
    </row>
    <row r="246" spans="46:53" x14ac:dyDescent="0.2">
      <c r="AT246" s="55"/>
      <c r="AU246" s="55"/>
      <c r="AV246" s="55"/>
      <c r="AW246" s="58"/>
      <c r="AX246" s="55"/>
      <c r="AY246" s="55"/>
      <c r="AZ246" s="55"/>
      <c r="BA246" s="55"/>
    </row>
    <row r="247" spans="46:53" x14ac:dyDescent="0.2">
      <c r="AT247" s="55"/>
      <c r="AU247" s="55"/>
      <c r="AV247" s="55"/>
    </row>
    <row r="248" spans="46:53" x14ac:dyDescent="0.2">
      <c r="AT248" s="55"/>
      <c r="AU248" s="55"/>
      <c r="AV248" s="55"/>
      <c r="AW248" s="66"/>
      <c r="AX248" s="63"/>
      <c r="AY248" s="63"/>
      <c r="AZ248" s="63"/>
      <c r="BA248" s="63"/>
    </row>
    <row r="249" spans="46:53" x14ac:dyDescent="0.2">
      <c r="AT249" s="55"/>
      <c r="AU249" s="55"/>
      <c r="AV249" s="55"/>
      <c r="AW249" s="66"/>
      <c r="AX249" s="63"/>
      <c r="AY249" s="63"/>
      <c r="AZ249" s="63"/>
      <c r="BA249" s="63"/>
    </row>
    <row r="250" spans="46:53" x14ac:dyDescent="0.2">
      <c r="AT250" s="55"/>
      <c r="AU250" s="55"/>
      <c r="AV250" s="55"/>
      <c r="AW250" s="66"/>
      <c r="AX250" s="63"/>
      <c r="AY250" s="63"/>
      <c r="AZ250" s="63"/>
      <c r="BA250" s="63"/>
    </row>
    <row r="251" spans="46:53" x14ac:dyDescent="0.2">
      <c r="AT251" s="55"/>
      <c r="AU251" s="55"/>
      <c r="AV251" s="55"/>
      <c r="AW251" s="66"/>
      <c r="AX251" s="63"/>
      <c r="AY251" s="63"/>
      <c r="AZ251" s="63"/>
      <c r="BA251" s="63"/>
    </row>
    <row r="252" spans="46:53" x14ac:dyDescent="0.2">
      <c r="AT252" s="55"/>
      <c r="AU252" s="55"/>
      <c r="AV252" s="55"/>
      <c r="AW252" s="66"/>
      <c r="AX252" s="63"/>
      <c r="AY252" s="63"/>
      <c r="AZ252" s="63"/>
      <c r="BA252" s="63"/>
    </row>
    <row r="253" spans="46:53" x14ac:dyDescent="0.2">
      <c r="AT253" s="55"/>
      <c r="AU253" s="55"/>
      <c r="AV253" s="55"/>
      <c r="AW253" s="66"/>
      <c r="AX253" s="63"/>
      <c r="AY253" s="63"/>
      <c r="AZ253" s="63"/>
      <c r="BA253" s="63"/>
    </row>
    <row r="254" spans="46:53" x14ac:dyDescent="0.2">
      <c r="AT254" s="55"/>
      <c r="AU254" s="55"/>
      <c r="AV254" s="55"/>
      <c r="AW254" s="66"/>
      <c r="AX254" s="63"/>
      <c r="AY254" s="63"/>
      <c r="AZ254" s="63"/>
      <c r="BA254" s="63"/>
    </row>
    <row r="255" spans="46:53" x14ac:dyDescent="0.2">
      <c r="AT255" s="55"/>
      <c r="AU255" s="55"/>
      <c r="AV255" s="55"/>
      <c r="AW255" s="66"/>
      <c r="AX255" s="63"/>
      <c r="AY255" s="63"/>
      <c r="AZ255" s="63"/>
      <c r="BA255" s="63"/>
    </row>
    <row r="256" spans="46:53" x14ac:dyDescent="0.2">
      <c r="AT256" s="55"/>
      <c r="AU256" s="55"/>
      <c r="AV256" s="55"/>
      <c r="AW256" s="73"/>
      <c r="AX256" s="72"/>
      <c r="AY256" s="72"/>
      <c r="AZ256" s="72"/>
      <c r="BA256" s="72"/>
    </row>
    <row r="257" spans="46:53" x14ac:dyDescent="0.2">
      <c r="AT257" s="55"/>
      <c r="AU257" s="55"/>
      <c r="AV257" s="55"/>
      <c r="AW257" s="79"/>
      <c r="AX257" s="78"/>
      <c r="AY257" s="78"/>
      <c r="AZ257" s="78"/>
      <c r="BA257" s="78"/>
    </row>
    <row r="258" spans="46:53" x14ac:dyDescent="0.2">
      <c r="AT258" s="55"/>
      <c r="AU258" s="55"/>
      <c r="AV258" s="55"/>
      <c r="AW258" s="79"/>
      <c r="AX258" s="78"/>
      <c r="AY258" s="78"/>
      <c r="AZ258" s="78"/>
      <c r="BA258" s="78"/>
    </row>
    <row r="259" spans="46:53" x14ac:dyDescent="0.2">
      <c r="AT259" s="55"/>
      <c r="AU259" s="55"/>
      <c r="AV259" s="55"/>
      <c r="AW259" s="66"/>
      <c r="AX259" s="63"/>
      <c r="AY259" s="63"/>
      <c r="AZ259" s="63"/>
      <c r="BA259" s="63"/>
    </row>
    <row r="260" spans="46:53" x14ac:dyDescent="0.2">
      <c r="AT260" s="63"/>
      <c r="AU260" s="63"/>
      <c r="AV260" s="63"/>
      <c r="AW260" s="66"/>
      <c r="AX260" s="63"/>
      <c r="AY260" s="63"/>
      <c r="AZ260" s="63"/>
      <c r="BA260" s="63"/>
    </row>
    <row r="261" spans="46:53" x14ac:dyDescent="0.2">
      <c r="AT261" s="63"/>
      <c r="AU261" s="63"/>
      <c r="AV261" s="63"/>
    </row>
    <row r="286" spans="46:53" x14ac:dyDescent="0.2">
      <c r="AT286" s="55"/>
      <c r="AU286" s="55"/>
      <c r="AV286" s="55"/>
      <c r="AW286" s="58"/>
      <c r="AX286" s="55"/>
      <c r="AY286" s="55"/>
      <c r="AZ286" s="55"/>
      <c r="BA286" s="55"/>
    </row>
    <row r="287" spans="46:53" x14ac:dyDescent="0.2">
      <c r="AT287" s="55"/>
      <c r="AU287" s="55"/>
      <c r="AV287" s="55"/>
      <c r="AW287" s="58"/>
      <c r="AX287" s="55"/>
      <c r="AY287" s="55"/>
      <c r="AZ287" s="55"/>
      <c r="BA287" s="55"/>
    </row>
    <row r="288" spans="46:53" x14ac:dyDescent="0.2">
      <c r="AT288" s="55"/>
      <c r="AU288" s="55"/>
      <c r="AV288" s="55"/>
      <c r="AW288" s="58"/>
      <c r="AX288" s="55"/>
      <c r="AY288" s="55"/>
      <c r="AZ288" s="55"/>
      <c r="BA288" s="55"/>
    </row>
    <row r="289" spans="46:53" x14ac:dyDescent="0.2">
      <c r="AT289" s="55"/>
      <c r="AU289" s="55"/>
      <c r="AV289" s="55"/>
      <c r="AW289" s="58"/>
      <c r="AX289" s="55"/>
      <c r="AY289" s="55"/>
      <c r="AZ289" s="55"/>
      <c r="BA289" s="55"/>
    </row>
    <row r="290" spans="46:53" x14ac:dyDescent="0.2">
      <c r="AT290" s="55"/>
      <c r="AU290" s="55"/>
      <c r="AV290" s="55"/>
      <c r="AW290" s="58"/>
      <c r="AX290" s="55"/>
      <c r="AY290" s="55"/>
      <c r="AZ290" s="55"/>
      <c r="BA290" s="55"/>
    </row>
    <row r="291" spans="46:53" x14ac:dyDescent="0.2">
      <c r="AT291" s="55"/>
      <c r="AU291" s="55"/>
      <c r="AV291" s="55"/>
      <c r="AW291" s="58"/>
      <c r="AX291" s="55"/>
      <c r="AY291" s="55"/>
      <c r="AZ291" s="55"/>
      <c r="BA291" s="55"/>
    </row>
    <row r="292" spans="46:53" x14ac:dyDescent="0.2">
      <c r="AT292" s="55"/>
      <c r="AU292" s="55"/>
      <c r="AV292" s="55"/>
      <c r="AW292" s="58"/>
      <c r="AX292" s="55"/>
      <c r="AY292" s="55"/>
      <c r="AZ292" s="55"/>
      <c r="BA292" s="55"/>
    </row>
    <row r="293" spans="46:53" x14ac:dyDescent="0.2">
      <c r="AT293" s="55"/>
      <c r="AU293" s="55"/>
      <c r="AV293" s="55"/>
      <c r="AW293" s="58"/>
      <c r="AX293" s="55"/>
      <c r="AY293" s="55"/>
      <c r="AZ293" s="55"/>
      <c r="BA293" s="55"/>
    </row>
    <row r="294" spans="46:53" x14ac:dyDescent="0.2">
      <c r="AT294" s="55"/>
      <c r="AU294" s="55"/>
      <c r="AV294" s="55"/>
      <c r="AW294" s="58"/>
      <c r="AX294" s="55"/>
      <c r="AY294" s="55"/>
      <c r="AZ294" s="55"/>
      <c r="BA294" s="55"/>
    </row>
    <row r="295" spans="46:53" x14ac:dyDescent="0.2">
      <c r="AT295" s="55"/>
      <c r="AU295" s="55"/>
      <c r="AV295" s="55"/>
      <c r="AW295" s="58"/>
      <c r="AX295" s="55"/>
      <c r="AY295" s="55"/>
      <c r="AZ295" s="55"/>
      <c r="BA295" s="55"/>
    </row>
    <row r="296" spans="46:53" x14ac:dyDescent="0.2">
      <c r="AT296" s="55"/>
      <c r="AU296" s="55"/>
      <c r="AV296" s="55"/>
      <c r="AW296" s="58"/>
      <c r="AX296" s="55"/>
      <c r="AY296" s="55"/>
      <c r="AZ296" s="55"/>
      <c r="BA296" s="55"/>
    </row>
    <row r="297" spans="46:53" x14ac:dyDescent="0.2">
      <c r="AT297" s="55"/>
      <c r="AU297" s="55"/>
      <c r="AV297" s="55"/>
      <c r="AW297" s="58"/>
      <c r="AX297" s="55"/>
      <c r="AY297" s="55"/>
      <c r="AZ297" s="55"/>
      <c r="BA297" s="55"/>
    </row>
    <row r="298" spans="46:53" x14ac:dyDescent="0.2">
      <c r="AT298" s="55"/>
      <c r="AU298" s="55"/>
      <c r="AV298" s="55"/>
      <c r="AW298" s="58"/>
      <c r="AX298" s="55"/>
      <c r="AY298" s="55"/>
      <c r="AZ298" s="55"/>
      <c r="BA298" s="55"/>
    </row>
    <row r="299" spans="46:53" x14ac:dyDescent="0.2">
      <c r="AT299" s="55"/>
      <c r="AU299" s="55"/>
      <c r="AV299" s="55"/>
      <c r="AW299" s="58"/>
      <c r="AX299" s="55"/>
      <c r="AY299" s="55"/>
      <c r="AZ299" s="55"/>
      <c r="BA299" s="55"/>
    </row>
    <row r="300" spans="46:53" x14ac:dyDescent="0.2">
      <c r="AT300" s="55"/>
      <c r="AU300" s="55"/>
      <c r="AV300" s="55"/>
      <c r="AW300" s="58"/>
      <c r="AX300" s="55"/>
      <c r="AY300" s="55"/>
      <c r="AZ300" s="55"/>
      <c r="BA300" s="55"/>
    </row>
    <row r="301" spans="46:53" x14ac:dyDescent="0.2">
      <c r="AT301" s="55"/>
      <c r="AU301" s="55"/>
      <c r="AV301" s="55"/>
      <c r="AW301" s="58"/>
      <c r="AX301" s="55"/>
      <c r="AY301" s="55"/>
      <c r="AZ301" s="55"/>
      <c r="BA301" s="55"/>
    </row>
    <row r="302" spans="46:53" x14ac:dyDescent="0.2">
      <c r="AT302" s="55"/>
      <c r="AU302" s="55"/>
      <c r="AV302" s="55"/>
      <c r="AW302" s="58"/>
      <c r="AX302" s="55"/>
      <c r="AY302" s="55"/>
      <c r="AZ302" s="55"/>
      <c r="BA302" s="55"/>
    </row>
    <row r="303" spans="46:53" x14ac:dyDescent="0.2">
      <c r="AT303" s="55"/>
      <c r="AU303" s="55"/>
      <c r="AV303" s="55"/>
      <c r="AW303" s="58"/>
      <c r="AX303" s="55"/>
      <c r="AY303" s="55"/>
      <c r="AZ303" s="55"/>
      <c r="BA303" s="55"/>
    </row>
    <row r="304" spans="46:53" x14ac:dyDescent="0.2">
      <c r="AT304" s="55"/>
      <c r="AU304" s="55"/>
      <c r="AV304" s="55"/>
      <c r="AW304" s="58"/>
      <c r="AX304" s="55"/>
      <c r="AY304" s="55"/>
      <c r="AZ304" s="55"/>
      <c r="BA304" s="55"/>
    </row>
    <row r="305" spans="46:53" x14ac:dyDescent="0.2">
      <c r="AT305" s="55"/>
      <c r="AU305" s="55"/>
      <c r="AV305" s="55"/>
      <c r="AW305" s="58"/>
      <c r="AX305" s="55"/>
      <c r="AY305" s="55"/>
      <c r="AZ305" s="55"/>
      <c r="BA305" s="55"/>
    </row>
    <row r="306" spans="46:53" x14ac:dyDescent="0.2">
      <c r="AT306" s="55"/>
      <c r="AU306" s="55"/>
      <c r="AV306" s="55"/>
      <c r="AW306" s="58"/>
      <c r="AX306" s="55"/>
      <c r="AY306" s="55"/>
      <c r="AZ306" s="55"/>
      <c r="BA306" s="55"/>
    </row>
    <row r="307" spans="46:53" x14ac:dyDescent="0.2">
      <c r="AT307" s="55"/>
      <c r="AU307" s="55"/>
      <c r="AV307" s="55"/>
      <c r="AW307" s="58"/>
      <c r="AX307" s="55"/>
      <c r="AY307" s="55"/>
      <c r="AZ307" s="55"/>
      <c r="BA307" s="55"/>
    </row>
    <row r="308" spans="46:53" x14ac:dyDescent="0.2">
      <c r="AT308" s="55"/>
      <c r="AU308" s="55"/>
      <c r="AV308" s="55"/>
      <c r="AW308" s="58"/>
      <c r="AX308" s="55"/>
      <c r="AY308" s="55"/>
      <c r="AZ308" s="55"/>
      <c r="BA308" s="55"/>
    </row>
    <row r="309" spans="46:53" x14ac:dyDescent="0.2">
      <c r="AT309" s="55"/>
      <c r="AU309" s="55"/>
      <c r="AV309" s="55"/>
      <c r="AW309" s="58"/>
      <c r="AX309" s="55"/>
      <c r="AY309" s="55"/>
      <c r="AZ309" s="55"/>
      <c r="BA309" s="55"/>
    </row>
    <row r="310" spans="46:53" x14ac:dyDescent="0.2">
      <c r="AT310" s="55"/>
      <c r="AU310" s="55"/>
      <c r="AV310" s="55"/>
      <c r="AW310" s="58"/>
      <c r="AX310" s="55"/>
      <c r="AY310" s="55"/>
      <c r="AZ310" s="55"/>
      <c r="BA310" s="55"/>
    </row>
    <row r="311" spans="46:53" x14ac:dyDescent="0.2">
      <c r="AT311" s="55"/>
      <c r="AU311" s="55"/>
      <c r="AV311" s="55"/>
      <c r="AW311" s="58"/>
      <c r="AX311" s="55"/>
      <c r="AY311" s="55"/>
      <c r="AZ311" s="55"/>
      <c r="BA311" s="55"/>
    </row>
    <row r="312" spans="46:53" x14ac:dyDescent="0.2">
      <c r="AT312" s="55"/>
      <c r="AU312" s="55"/>
      <c r="AV312" s="55"/>
      <c r="AW312" s="58"/>
      <c r="AX312" s="55"/>
      <c r="AY312" s="55"/>
      <c r="AZ312" s="55"/>
      <c r="BA312" s="55"/>
    </row>
    <row r="313" spans="46:53" x14ac:dyDescent="0.2">
      <c r="AT313" s="55"/>
      <c r="AU313" s="55"/>
      <c r="AV313" s="55"/>
      <c r="AW313" s="58"/>
      <c r="AX313" s="55"/>
      <c r="AY313" s="55"/>
      <c r="AZ313" s="55"/>
      <c r="BA313" s="55"/>
    </row>
    <row r="314" spans="46:53" x14ac:dyDescent="0.2">
      <c r="AT314" s="55"/>
      <c r="AU314" s="55"/>
      <c r="AV314" s="55"/>
      <c r="AW314" s="58"/>
      <c r="AX314" s="55"/>
      <c r="AY314" s="55"/>
      <c r="AZ314" s="55"/>
      <c r="BA314" s="55"/>
    </row>
    <row r="315" spans="46:53" x14ac:dyDescent="0.2">
      <c r="AT315" s="55"/>
      <c r="AU315" s="55"/>
      <c r="AV315" s="55"/>
      <c r="AW315" s="58"/>
      <c r="AX315" s="55"/>
      <c r="AY315" s="55"/>
      <c r="AZ315" s="55"/>
      <c r="BA315" s="55"/>
    </row>
    <row r="316" spans="46:53" x14ac:dyDescent="0.2">
      <c r="AT316" s="55"/>
      <c r="AU316" s="55"/>
      <c r="AV316" s="55"/>
      <c r="AW316" s="58"/>
      <c r="AX316" s="55"/>
      <c r="AY316" s="55"/>
      <c r="AZ316" s="55"/>
      <c r="BA316" s="55"/>
    </row>
    <row r="317" spans="46:53" x14ac:dyDescent="0.2">
      <c r="AT317" s="55"/>
      <c r="AU317" s="55"/>
      <c r="AV317" s="55"/>
      <c r="AW317" s="58"/>
      <c r="AX317" s="55"/>
      <c r="AY317" s="55"/>
      <c r="AZ317" s="55"/>
      <c r="BA317" s="55"/>
    </row>
    <row r="318" spans="46:53" x14ac:dyDescent="0.2">
      <c r="AT318" s="55"/>
      <c r="AU318" s="55"/>
      <c r="AV318" s="55"/>
      <c r="AW318" s="58"/>
      <c r="AX318" s="55"/>
      <c r="AY318" s="55"/>
      <c r="AZ318" s="55"/>
      <c r="BA318" s="55"/>
    </row>
    <row r="319" spans="46:53" x14ac:dyDescent="0.2">
      <c r="AT319" s="55"/>
      <c r="AU319" s="55"/>
      <c r="AV319" s="55"/>
      <c r="AW319" s="58"/>
      <c r="AX319" s="55"/>
      <c r="AY319" s="55"/>
      <c r="AZ319" s="55"/>
      <c r="BA319" s="55"/>
    </row>
    <row r="320" spans="46:53" x14ac:dyDescent="0.2">
      <c r="AT320" s="55"/>
      <c r="AU320" s="55"/>
      <c r="AV320" s="55"/>
      <c r="AW320" s="58"/>
      <c r="AX320" s="55"/>
      <c r="AY320" s="55"/>
      <c r="AZ320" s="55"/>
      <c r="BA320" s="55"/>
    </row>
    <row r="321" spans="46:53" x14ac:dyDescent="0.2">
      <c r="AT321" s="55"/>
      <c r="AU321" s="55"/>
      <c r="AV321" s="55"/>
      <c r="AW321" s="58"/>
      <c r="AX321" s="55"/>
      <c r="AY321" s="55"/>
      <c r="AZ321" s="55"/>
      <c r="BA321" s="55"/>
    </row>
    <row r="322" spans="46:53" x14ac:dyDescent="0.2">
      <c r="AT322" s="55"/>
      <c r="AU322" s="55"/>
      <c r="AV322" s="55"/>
      <c r="AW322" s="58"/>
      <c r="AX322" s="55"/>
      <c r="AY322" s="55"/>
      <c r="AZ322" s="55"/>
      <c r="BA322" s="55"/>
    </row>
    <row r="323" spans="46:53" x14ac:dyDescent="0.2">
      <c r="AT323" s="55"/>
      <c r="AU323" s="55"/>
      <c r="AV323" s="55"/>
      <c r="AW323" s="58"/>
      <c r="AX323" s="55"/>
      <c r="AY323" s="55"/>
      <c r="AZ323" s="55"/>
      <c r="BA323" s="55"/>
    </row>
    <row r="324" spans="46:53" x14ac:dyDescent="0.2">
      <c r="AT324" s="55"/>
      <c r="AU324" s="55"/>
      <c r="AV324" s="55"/>
      <c r="AW324" s="58"/>
      <c r="AX324" s="55"/>
      <c r="AY324" s="55"/>
      <c r="AZ324" s="55"/>
      <c r="BA324" s="55"/>
    </row>
    <row r="325" spans="46:53" x14ac:dyDescent="0.2">
      <c r="AT325" s="55"/>
      <c r="AU325" s="55"/>
      <c r="AV325" s="55"/>
      <c r="AW325" s="58"/>
      <c r="AX325" s="55"/>
      <c r="AY325" s="55"/>
      <c r="AZ325" s="55"/>
      <c r="BA325" s="55"/>
    </row>
    <row r="326" spans="46:53" x14ac:dyDescent="0.2">
      <c r="AT326" s="55"/>
      <c r="AU326" s="55"/>
      <c r="AV326" s="55"/>
      <c r="AW326" s="58"/>
      <c r="AX326" s="55"/>
      <c r="AY326" s="55"/>
      <c r="AZ326" s="55"/>
      <c r="BA326" s="55"/>
    </row>
    <row r="327" spans="46:53" x14ac:dyDescent="0.2">
      <c r="AT327" s="55"/>
      <c r="AU327" s="55"/>
      <c r="AV327" s="55"/>
      <c r="AW327" s="58"/>
      <c r="AX327" s="55"/>
      <c r="AY327" s="55"/>
      <c r="AZ327" s="55"/>
      <c r="BA327" s="55"/>
    </row>
    <row r="328" spans="46:53" x14ac:dyDescent="0.2">
      <c r="AT328" s="55"/>
      <c r="AU328" s="55"/>
      <c r="AV328" s="55"/>
      <c r="AW328" s="58"/>
      <c r="AX328" s="55"/>
      <c r="AY328" s="55"/>
      <c r="AZ328" s="55"/>
      <c r="BA328" s="55"/>
    </row>
    <row r="329" spans="46:53" x14ac:dyDescent="0.2">
      <c r="AT329" s="55"/>
      <c r="AU329" s="55"/>
      <c r="AV329" s="55"/>
      <c r="AW329" s="58"/>
      <c r="AX329" s="55"/>
      <c r="AY329" s="55"/>
      <c r="AZ329" s="55"/>
      <c r="BA329" s="55"/>
    </row>
    <row r="330" spans="46:53" x14ac:dyDescent="0.2">
      <c r="AT330" s="55"/>
      <c r="AU330" s="55"/>
      <c r="AV330" s="55"/>
      <c r="AW330" s="58"/>
      <c r="AX330" s="55"/>
      <c r="AY330" s="55"/>
      <c r="AZ330" s="55"/>
      <c r="BA330" s="55"/>
    </row>
    <row r="331" spans="46:53" x14ac:dyDescent="0.2">
      <c r="AT331" s="55"/>
      <c r="AU331" s="55"/>
      <c r="AV331" s="55"/>
      <c r="AW331" s="58"/>
      <c r="AX331" s="55"/>
      <c r="AY331" s="55"/>
      <c r="AZ331" s="55"/>
      <c r="BA331" s="55"/>
    </row>
    <row r="332" spans="46:53" x14ac:dyDescent="0.2">
      <c r="AT332" s="63"/>
      <c r="AU332" s="63"/>
      <c r="AV332" s="63"/>
    </row>
    <row r="333" spans="46:53" x14ac:dyDescent="0.2">
      <c r="AT333" s="63"/>
      <c r="AU333" s="63"/>
      <c r="AV333" s="63"/>
      <c r="AW333" s="66"/>
      <c r="AX333" s="63"/>
      <c r="AY333" s="63"/>
      <c r="AZ333" s="63"/>
      <c r="BA333" s="63"/>
    </row>
    <row r="334" spans="46:53" x14ac:dyDescent="0.2">
      <c r="AW334" s="66"/>
      <c r="AX334" s="63"/>
      <c r="AY334" s="63"/>
      <c r="AZ334" s="63"/>
      <c r="BA334" s="63"/>
    </row>
    <row r="335" spans="46:53" x14ac:dyDescent="0.2">
      <c r="AW335" s="66"/>
      <c r="AX335" s="63"/>
      <c r="AY335" s="63"/>
      <c r="AZ335" s="63"/>
      <c r="BA335" s="63"/>
    </row>
    <row r="336" spans="46:53" x14ac:dyDescent="0.2">
      <c r="AW336" s="66"/>
      <c r="AX336" s="63"/>
      <c r="AY336" s="63"/>
      <c r="AZ336" s="63"/>
      <c r="BA336" s="63"/>
    </row>
    <row r="337" spans="46:53" x14ac:dyDescent="0.2">
      <c r="AW337" s="66"/>
      <c r="AX337" s="63"/>
      <c r="AY337" s="63"/>
      <c r="AZ337" s="63"/>
      <c r="BA337" s="63"/>
    </row>
    <row r="338" spans="46:53" x14ac:dyDescent="0.2">
      <c r="AW338" s="66"/>
      <c r="AX338" s="63"/>
      <c r="AY338" s="63"/>
      <c r="AZ338" s="63"/>
      <c r="BA338" s="63"/>
    </row>
    <row r="339" spans="46:53" x14ac:dyDescent="0.2">
      <c r="AW339" s="66"/>
      <c r="AX339" s="63"/>
      <c r="AY339" s="63"/>
      <c r="AZ339" s="63"/>
      <c r="BA339" s="63"/>
    </row>
    <row r="340" spans="46:53" x14ac:dyDescent="0.2">
      <c r="AW340" s="66"/>
      <c r="AX340" s="63"/>
      <c r="AY340" s="63"/>
      <c r="AZ340" s="63"/>
      <c r="BA340" s="63"/>
    </row>
    <row r="341" spans="46:53" x14ac:dyDescent="0.2">
      <c r="AW341" s="73"/>
      <c r="AX341" s="72"/>
      <c r="AY341" s="72"/>
      <c r="AZ341" s="72"/>
      <c r="BA341" s="72"/>
    </row>
    <row r="342" spans="46:53" x14ac:dyDescent="0.2">
      <c r="AW342" s="79"/>
      <c r="AX342" s="78"/>
      <c r="AY342" s="78"/>
      <c r="AZ342" s="78"/>
      <c r="BA342" s="78"/>
    </row>
    <row r="343" spans="46:53" x14ac:dyDescent="0.2">
      <c r="AW343" s="79"/>
      <c r="AX343" s="78"/>
      <c r="AY343" s="78"/>
      <c r="AZ343" s="78"/>
      <c r="BA343" s="78"/>
    </row>
    <row r="344" spans="46:53" x14ac:dyDescent="0.2">
      <c r="AW344" s="66"/>
      <c r="AX344" s="63"/>
      <c r="AY344" s="63"/>
      <c r="AZ344" s="63"/>
      <c r="BA344" s="63"/>
    </row>
    <row r="345" spans="46:53" x14ac:dyDescent="0.2">
      <c r="AW345" s="66"/>
      <c r="AX345" s="63"/>
      <c r="AY345" s="63"/>
      <c r="AZ345" s="63"/>
      <c r="BA345" s="63"/>
    </row>
    <row r="348" spans="46:53" x14ac:dyDescent="0.2">
      <c r="AT348" s="96"/>
      <c r="AU348" s="96"/>
    </row>
    <row r="371" spans="46:53" x14ac:dyDescent="0.2">
      <c r="AW371" s="58"/>
      <c r="AX371" s="55"/>
      <c r="AY371" s="55"/>
      <c r="AZ371" s="55"/>
      <c r="BA371" s="55"/>
    </row>
    <row r="372" spans="46:53" x14ac:dyDescent="0.2">
      <c r="AW372" s="58"/>
      <c r="AX372" s="55"/>
      <c r="AY372" s="55"/>
      <c r="AZ372" s="55"/>
      <c r="BA372" s="55"/>
    </row>
    <row r="373" spans="46:53" x14ac:dyDescent="0.2">
      <c r="AW373" s="58"/>
      <c r="AX373" s="55"/>
      <c r="AY373" s="55"/>
      <c r="AZ373" s="55"/>
      <c r="BA373" s="55"/>
    </row>
    <row r="374" spans="46:53" x14ac:dyDescent="0.2">
      <c r="AW374" s="58"/>
      <c r="AX374" s="55"/>
      <c r="AY374" s="55"/>
      <c r="AZ374" s="55"/>
      <c r="BA374" s="55"/>
    </row>
    <row r="375" spans="46:53" x14ac:dyDescent="0.2">
      <c r="AW375" s="58"/>
      <c r="AX375" s="55"/>
      <c r="AY375" s="55"/>
      <c r="AZ375" s="55"/>
      <c r="BA375" s="55"/>
    </row>
    <row r="376" spans="46:53" x14ac:dyDescent="0.2">
      <c r="AW376" s="58"/>
      <c r="AX376" s="55"/>
      <c r="AY376" s="55"/>
      <c r="AZ376" s="55"/>
      <c r="BA376" s="55"/>
    </row>
    <row r="377" spans="46:53" x14ac:dyDescent="0.2">
      <c r="AW377" s="58"/>
      <c r="AX377" s="55"/>
      <c r="AY377" s="55"/>
      <c r="AZ377" s="55"/>
      <c r="BA377" s="55"/>
    </row>
    <row r="378" spans="46:53" x14ac:dyDescent="0.2">
      <c r="AW378" s="58"/>
      <c r="AX378" s="55"/>
      <c r="AY378" s="55"/>
      <c r="AZ378" s="55"/>
      <c r="BA378" s="55"/>
    </row>
    <row r="379" spans="46:53" x14ac:dyDescent="0.2">
      <c r="AW379" s="58"/>
      <c r="AX379" s="55"/>
      <c r="AY379" s="55"/>
      <c r="AZ379" s="55"/>
      <c r="BA379" s="55"/>
    </row>
    <row r="380" spans="46:53" x14ac:dyDescent="0.2">
      <c r="AW380" s="58"/>
      <c r="AX380" s="55"/>
      <c r="AY380" s="55"/>
      <c r="AZ380" s="55"/>
      <c r="BA380" s="55"/>
    </row>
    <row r="381" spans="46:53" x14ac:dyDescent="0.2">
      <c r="AW381" s="58"/>
      <c r="AX381" s="55"/>
      <c r="AY381" s="55"/>
      <c r="AZ381" s="55"/>
      <c r="BA381" s="55"/>
    </row>
    <row r="382" spans="46:53" x14ac:dyDescent="0.2">
      <c r="AW382" s="58"/>
      <c r="AX382" s="55"/>
      <c r="AY382" s="55"/>
      <c r="AZ382" s="55"/>
      <c r="BA382" s="55"/>
    </row>
    <row r="383" spans="46:53" x14ac:dyDescent="0.2">
      <c r="AW383" s="58"/>
      <c r="AX383" s="55"/>
      <c r="AY383" s="55"/>
      <c r="AZ383" s="55"/>
      <c r="BA383" s="55"/>
    </row>
    <row r="384" spans="46:53" x14ac:dyDescent="0.2">
      <c r="AT384" s="96"/>
      <c r="AU384" s="96"/>
      <c r="AW384" s="58"/>
      <c r="AX384" s="55"/>
      <c r="AY384" s="55"/>
      <c r="AZ384" s="55"/>
      <c r="BA384" s="55"/>
    </row>
    <row r="385" spans="49:53" x14ac:dyDescent="0.2">
      <c r="AW385" s="58"/>
      <c r="AX385" s="55"/>
      <c r="AY385" s="55"/>
      <c r="AZ385" s="55"/>
      <c r="BA385" s="55"/>
    </row>
    <row r="386" spans="49:53" x14ac:dyDescent="0.2">
      <c r="AW386" s="58"/>
      <c r="AX386" s="55"/>
      <c r="AY386" s="55"/>
      <c r="AZ386" s="55"/>
      <c r="BA386" s="55"/>
    </row>
    <row r="387" spans="49:53" x14ac:dyDescent="0.2">
      <c r="AW387" s="58"/>
      <c r="AX387" s="55"/>
      <c r="AY387" s="55"/>
      <c r="AZ387" s="55"/>
      <c r="BA387" s="55"/>
    </row>
    <row r="388" spans="49:53" x14ac:dyDescent="0.2">
      <c r="AW388" s="58"/>
      <c r="AX388" s="55"/>
      <c r="AY388" s="55"/>
      <c r="AZ388" s="55"/>
      <c r="BA388" s="55"/>
    </row>
    <row r="389" spans="49:53" x14ac:dyDescent="0.2">
      <c r="AW389" s="58"/>
      <c r="AX389" s="55"/>
      <c r="AY389" s="55"/>
      <c r="AZ389" s="55"/>
      <c r="BA389" s="55"/>
    </row>
    <row r="390" spans="49:53" x14ac:dyDescent="0.2">
      <c r="AW390" s="58"/>
      <c r="AX390" s="55"/>
      <c r="AY390" s="55"/>
      <c r="AZ390" s="55"/>
      <c r="BA390" s="55"/>
    </row>
    <row r="391" spans="49:53" x14ac:dyDescent="0.2">
      <c r="AW391" s="58"/>
      <c r="AX391" s="55"/>
      <c r="AY391" s="55"/>
      <c r="AZ391" s="55"/>
      <c r="BA391" s="55"/>
    </row>
    <row r="392" spans="49:53" x14ac:dyDescent="0.2">
      <c r="AW392" s="58"/>
      <c r="AX392" s="55"/>
      <c r="AY392" s="55"/>
      <c r="AZ392" s="55"/>
      <c r="BA392" s="55"/>
    </row>
    <row r="393" spans="49:53" x14ac:dyDescent="0.2">
      <c r="AW393" s="58"/>
      <c r="AX393" s="55"/>
      <c r="AY393" s="55"/>
      <c r="AZ393" s="55"/>
      <c r="BA393" s="55"/>
    </row>
    <row r="394" spans="49:53" x14ac:dyDescent="0.2">
      <c r="AW394" s="58"/>
      <c r="AX394" s="55"/>
      <c r="AY394" s="55"/>
      <c r="AZ394" s="55"/>
      <c r="BA394" s="55"/>
    </row>
    <row r="395" spans="49:53" x14ac:dyDescent="0.2">
      <c r="AW395" s="58"/>
      <c r="AX395" s="55"/>
      <c r="AY395" s="55"/>
      <c r="AZ395" s="55"/>
      <c r="BA395" s="55"/>
    </row>
    <row r="396" spans="49:53" x14ac:dyDescent="0.2">
      <c r="AW396" s="58"/>
      <c r="AX396" s="55"/>
      <c r="AY396" s="55"/>
      <c r="AZ396" s="55"/>
      <c r="BA396" s="55"/>
    </row>
    <row r="397" spans="49:53" x14ac:dyDescent="0.2">
      <c r="AW397" s="58"/>
      <c r="AX397" s="55"/>
      <c r="AY397" s="55"/>
      <c r="AZ397" s="55"/>
      <c r="BA397" s="55"/>
    </row>
    <row r="398" spans="49:53" x14ac:dyDescent="0.2">
      <c r="AW398" s="58"/>
      <c r="AX398" s="55"/>
      <c r="AY398" s="55"/>
      <c r="AZ398" s="55"/>
      <c r="BA398" s="55"/>
    </row>
    <row r="399" spans="49:53" x14ac:dyDescent="0.2">
      <c r="AW399" s="58"/>
      <c r="AX399" s="55"/>
      <c r="AY399" s="55"/>
      <c r="AZ399" s="55"/>
      <c r="BA399" s="55"/>
    </row>
    <row r="400" spans="49:53" x14ac:dyDescent="0.2">
      <c r="AW400" s="58"/>
      <c r="AX400" s="55"/>
      <c r="AY400" s="55"/>
      <c r="AZ400" s="55"/>
      <c r="BA400" s="55"/>
    </row>
    <row r="401" spans="49:53" x14ac:dyDescent="0.2">
      <c r="AW401" s="58"/>
      <c r="AX401" s="55"/>
      <c r="AY401" s="55"/>
      <c r="AZ401" s="55"/>
      <c r="BA401" s="55"/>
    </row>
    <row r="402" spans="49:53" x14ac:dyDescent="0.2">
      <c r="AW402" s="58"/>
      <c r="AX402" s="55"/>
      <c r="AY402" s="55"/>
      <c r="AZ402" s="55"/>
      <c r="BA402" s="55"/>
    </row>
    <row r="403" spans="49:53" x14ac:dyDescent="0.2">
      <c r="AW403" s="58"/>
      <c r="AX403" s="55"/>
      <c r="AY403" s="55"/>
      <c r="AZ403" s="55"/>
      <c r="BA403" s="55"/>
    </row>
    <row r="404" spans="49:53" x14ac:dyDescent="0.2">
      <c r="AW404" s="58"/>
      <c r="AX404" s="55"/>
      <c r="AY404" s="55"/>
      <c r="AZ404" s="55"/>
      <c r="BA404" s="55"/>
    </row>
    <row r="405" spans="49:53" x14ac:dyDescent="0.2">
      <c r="AW405" s="58"/>
      <c r="AX405" s="55"/>
      <c r="AY405" s="55"/>
      <c r="AZ405" s="55"/>
      <c r="BA405" s="55"/>
    </row>
    <row r="406" spans="49:53" x14ac:dyDescent="0.2">
      <c r="AW406" s="58"/>
      <c r="AX406" s="55"/>
      <c r="AY406" s="55"/>
      <c r="AZ406" s="55"/>
      <c r="BA406" s="55"/>
    </row>
    <row r="407" spans="49:53" x14ac:dyDescent="0.2">
      <c r="AW407" s="58"/>
      <c r="AX407" s="55"/>
      <c r="AY407" s="55"/>
      <c r="AZ407" s="55"/>
      <c r="BA407" s="55"/>
    </row>
    <row r="408" spans="49:53" x14ac:dyDescent="0.2">
      <c r="AW408" s="58"/>
      <c r="AX408" s="55"/>
      <c r="AY408" s="55"/>
      <c r="AZ408" s="55"/>
      <c r="BA408" s="55"/>
    </row>
    <row r="409" spans="49:53" x14ac:dyDescent="0.2">
      <c r="AW409" s="58"/>
      <c r="AX409" s="55"/>
      <c r="AY409" s="55"/>
      <c r="AZ409" s="55"/>
      <c r="BA409" s="55"/>
    </row>
    <row r="410" spans="49:53" x14ac:dyDescent="0.2">
      <c r="AW410" s="58"/>
      <c r="AX410" s="55"/>
      <c r="AY410" s="55"/>
      <c r="AZ410" s="55"/>
      <c r="BA410" s="55"/>
    </row>
    <row r="411" spans="49:53" x14ac:dyDescent="0.2">
      <c r="AW411" s="58"/>
      <c r="AX411" s="55"/>
      <c r="AY411" s="55"/>
      <c r="AZ411" s="55"/>
      <c r="BA411" s="55"/>
    </row>
    <row r="412" spans="49:53" x14ac:dyDescent="0.2">
      <c r="AW412" s="58"/>
      <c r="AX412" s="55"/>
      <c r="AY412" s="55"/>
      <c r="AZ412" s="55"/>
      <c r="BA412" s="55"/>
    </row>
    <row r="413" spans="49:53" x14ac:dyDescent="0.2">
      <c r="AW413" s="58"/>
      <c r="AX413" s="55"/>
      <c r="AY413" s="55"/>
      <c r="AZ413" s="55"/>
      <c r="BA413" s="55"/>
    </row>
    <row r="414" spans="49:53" x14ac:dyDescent="0.2">
      <c r="AW414" s="58"/>
      <c r="AX414" s="55"/>
      <c r="AY414" s="55"/>
      <c r="AZ414" s="55"/>
      <c r="BA414" s="55"/>
    </row>
    <row r="415" spans="49:53" x14ac:dyDescent="0.2">
      <c r="AW415" s="58"/>
      <c r="AX415" s="55"/>
      <c r="AY415" s="55"/>
      <c r="AZ415" s="55"/>
      <c r="BA415" s="55"/>
    </row>
    <row r="416" spans="49:53" x14ac:dyDescent="0.2">
      <c r="AW416" s="58"/>
      <c r="AX416" s="55"/>
      <c r="AY416" s="55"/>
      <c r="AZ416" s="55"/>
      <c r="BA416" s="55"/>
    </row>
    <row r="418" spans="49:53" x14ac:dyDescent="0.2">
      <c r="AW418" s="66"/>
      <c r="AX418" s="63"/>
      <c r="AY418" s="63"/>
      <c r="AZ418" s="63"/>
      <c r="BA418" s="63"/>
    </row>
    <row r="419" spans="49:53" x14ac:dyDescent="0.2">
      <c r="AW419" s="66"/>
      <c r="AX419" s="63"/>
      <c r="AY419" s="63"/>
      <c r="AZ419" s="63"/>
      <c r="BA419" s="63"/>
    </row>
    <row r="420" spans="49:53" x14ac:dyDescent="0.2">
      <c r="AW420" s="66"/>
      <c r="AX420" s="63"/>
      <c r="AY420" s="63"/>
      <c r="AZ420" s="63"/>
      <c r="BA420" s="63"/>
    </row>
    <row r="421" spans="49:53" x14ac:dyDescent="0.2">
      <c r="AW421" s="66"/>
      <c r="AX421" s="63"/>
      <c r="AY421" s="63"/>
      <c r="AZ421" s="63"/>
      <c r="BA421" s="63"/>
    </row>
    <row r="422" spans="49:53" x14ac:dyDescent="0.2">
      <c r="AW422" s="66"/>
      <c r="AX422" s="63"/>
      <c r="AY422" s="63"/>
      <c r="AZ422" s="63"/>
      <c r="BA422" s="63"/>
    </row>
    <row r="423" spans="49:53" x14ac:dyDescent="0.2">
      <c r="AW423" s="66"/>
      <c r="AX423" s="63"/>
      <c r="AY423" s="63"/>
      <c r="AZ423" s="63"/>
      <c r="BA423" s="63"/>
    </row>
    <row r="424" spans="49:53" x14ac:dyDescent="0.2">
      <c r="AW424" s="66"/>
      <c r="AX424" s="63"/>
      <c r="AY424" s="63"/>
      <c r="AZ424" s="63"/>
      <c r="BA424" s="63"/>
    </row>
    <row r="425" spans="49:53" x14ac:dyDescent="0.2">
      <c r="AW425" s="66"/>
      <c r="AX425" s="63"/>
      <c r="AY425" s="63"/>
      <c r="AZ425" s="63"/>
      <c r="BA425" s="63"/>
    </row>
    <row r="426" spans="49:53" x14ac:dyDescent="0.2">
      <c r="AW426" s="73"/>
      <c r="AX426" s="72"/>
      <c r="AY426" s="72"/>
      <c r="AZ426" s="72"/>
      <c r="BA426" s="72"/>
    </row>
    <row r="427" spans="49:53" x14ac:dyDescent="0.2">
      <c r="AW427" s="79"/>
      <c r="AX427" s="78"/>
      <c r="AY427" s="78"/>
      <c r="AZ427" s="78"/>
      <c r="BA427" s="78"/>
    </row>
    <row r="428" spans="49:53" x14ac:dyDescent="0.2">
      <c r="AW428" s="79"/>
      <c r="AX428" s="78"/>
      <c r="AY428" s="78"/>
      <c r="AZ428" s="78"/>
      <c r="BA428" s="78"/>
    </row>
    <row r="429" spans="49:53" x14ac:dyDescent="0.2">
      <c r="AW429" s="66"/>
      <c r="AX429" s="63"/>
      <c r="AY429" s="63"/>
      <c r="AZ429" s="63"/>
      <c r="BA429" s="63"/>
    </row>
    <row r="430" spans="49:53" x14ac:dyDescent="0.2">
      <c r="AW430" s="66"/>
      <c r="AX430" s="63"/>
      <c r="AY430" s="63"/>
      <c r="AZ430" s="63"/>
      <c r="BA430" s="6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3367" priority="5" stopIfTrue="1">
      <formula>IF(AK9&gt;0,0,1)</formula>
    </cfRule>
  </conditionalFormatting>
  <conditionalFormatting sqref="A10:A11 A95:A96">
    <cfRule type="expression" dxfId="3366" priority="6" stopIfTrue="1">
      <formula>IF(AK9&gt;1,0,1)</formula>
    </cfRule>
  </conditionalFormatting>
  <conditionalFormatting sqref="A12:A13 A97:A98">
    <cfRule type="expression" dxfId="3365" priority="7" stopIfTrue="1">
      <formula>IF(AK9&gt;2,0,1)</formula>
    </cfRule>
  </conditionalFormatting>
  <conditionalFormatting sqref="A14:A15 A99:A100">
    <cfRule type="expression" dxfId="3364" priority="8" stopIfTrue="1">
      <formula>IF(AK9&gt;3,0,1)</formula>
    </cfRule>
  </conditionalFormatting>
  <conditionalFormatting sqref="A16:A17 A101:A102">
    <cfRule type="expression" dxfId="3363" priority="9" stopIfTrue="1">
      <formula>IF(AK9&gt;4,0,1)</formula>
    </cfRule>
  </conditionalFormatting>
  <conditionalFormatting sqref="B8 B93">
    <cfRule type="expression" dxfId="3362" priority="10" stopIfTrue="1">
      <formula>IF(AK9&gt;0,0,1)</formula>
    </cfRule>
  </conditionalFormatting>
  <conditionalFormatting sqref="B9 B94">
    <cfRule type="expression" dxfId="3361" priority="11" stopIfTrue="1">
      <formula>IF(AK9&gt;0,0,1)</formula>
    </cfRule>
  </conditionalFormatting>
  <conditionalFormatting sqref="B10 B95">
    <cfRule type="expression" dxfId="3360" priority="12" stopIfTrue="1">
      <formula>IF(AK9&gt;1,0,1)</formula>
    </cfRule>
  </conditionalFormatting>
  <conditionalFormatting sqref="B11:D11 B96:D96">
    <cfRule type="expression" dxfId="3359" priority="13" stopIfTrue="1">
      <formula>IF(AK9&gt;1,0,1)</formula>
    </cfRule>
  </conditionalFormatting>
  <conditionalFormatting sqref="B12:D12 B97:D97">
    <cfRule type="expression" dxfId="3358" priority="14" stopIfTrue="1">
      <formula>IF(AK9&gt;2,0,1)</formula>
    </cfRule>
  </conditionalFormatting>
  <conditionalFormatting sqref="B13:D13 B98:D98">
    <cfRule type="expression" dxfId="3357" priority="15" stopIfTrue="1">
      <formula>IF(AK9&gt;2,0,1)</formula>
    </cfRule>
  </conditionalFormatting>
  <conditionalFormatting sqref="B14:D14 B99:D99">
    <cfRule type="expression" dxfId="3356" priority="16" stopIfTrue="1">
      <formula>IF(AK9&gt;3,0,1)</formula>
    </cfRule>
  </conditionalFormatting>
  <conditionalFormatting sqref="B15:D15 B100:D100">
    <cfRule type="expression" dxfId="3355" priority="17" stopIfTrue="1">
      <formula>IF(AK9&gt;3,0,1)</formula>
    </cfRule>
  </conditionalFormatting>
  <conditionalFormatting sqref="B16:D16 B101:D101">
    <cfRule type="expression" dxfId="3354" priority="18" stopIfTrue="1">
      <formula>IF(AK9&gt;4,0,1)</formula>
    </cfRule>
  </conditionalFormatting>
  <conditionalFormatting sqref="B17:D17 B102:D102">
    <cfRule type="expression" dxfId="3353" priority="19" stopIfTrue="1">
      <formula>IF(AK9&gt;4,0,1)</formula>
    </cfRule>
  </conditionalFormatting>
  <conditionalFormatting sqref="E8 E93">
    <cfRule type="expression" dxfId="3352" priority="20" stopIfTrue="1">
      <formula>IF(AK9&gt;0,0,1)</formula>
    </cfRule>
  </conditionalFormatting>
  <conditionalFormatting sqref="E9 E94">
    <cfRule type="expression" dxfId="3351" priority="21" stopIfTrue="1">
      <formula>IF(AK9&gt;0,0,1)</formula>
    </cfRule>
  </conditionalFormatting>
  <conditionalFormatting sqref="E10 E95">
    <cfRule type="expression" dxfId="3350" priority="22" stopIfTrue="1">
      <formula>IF(AK9&gt;1,0,1)</formula>
    </cfRule>
  </conditionalFormatting>
  <conditionalFormatting sqref="E11 E96">
    <cfRule type="expression" dxfId="3349" priority="23" stopIfTrue="1">
      <formula>IF(AK9&gt;1,0,1)</formula>
    </cfRule>
  </conditionalFormatting>
  <conditionalFormatting sqref="E12 E97">
    <cfRule type="expression" dxfId="3348" priority="24" stopIfTrue="1">
      <formula>IF(AK9&gt;2,0,1)</formula>
    </cfRule>
  </conditionalFormatting>
  <conditionalFormatting sqref="E13 E98">
    <cfRule type="expression" dxfId="3347" priority="25" stopIfTrue="1">
      <formula>IF(AK9&gt;2,0,1)</formula>
    </cfRule>
  </conditionalFormatting>
  <conditionalFormatting sqref="E14 E99">
    <cfRule type="expression" dxfId="3346" priority="26" stopIfTrue="1">
      <formula>IF(AK9&gt;3,0,1)</formula>
    </cfRule>
  </conditionalFormatting>
  <conditionalFormatting sqref="E15 E100">
    <cfRule type="expression" dxfId="3345" priority="27" stopIfTrue="1">
      <formula>IF(AK9&gt;3,0,1)</formula>
    </cfRule>
  </conditionalFormatting>
  <conditionalFormatting sqref="E16 E101">
    <cfRule type="expression" dxfId="3344" priority="28" stopIfTrue="1">
      <formula>IF(AK9&gt;4,0,1)</formula>
    </cfRule>
  </conditionalFormatting>
  <conditionalFormatting sqref="E17 E102">
    <cfRule type="expression" dxfId="3343" priority="29" stopIfTrue="1">
      <formula>IF(AK9&gt;4,0,1)</formula>
    </cfRule>
  </conditionalFormatting>
  <conditionalFormatting sqref="AC8 AC93">
    <cfRule type="expression" dxfId="3342" priority="30" stopIfTrue="1">
      <formula>IF(AK11=1,IF(AK9&gt;0,0,1),1)</formula>
    </cfRule>
  </conditionalFormatting>
  <conditionalFormatting sqref="AC10:AE11 AC95:AE96">
    <cfRule type="expression" dxfId="3341" priority="31" stopIfTrue="1">
      <formula>IF(AK11=1,IF(AK9&gt;1,0,1),1)</formula>
    </cfRule>
  </conditionalFormatting>
  <conditionalFormatting sqref="AC12:AE13 AC97:AE98">
    <cfRule type="expression" dxfId="3340" priority="32" stopIfTrue="1">
      <formula>IF(AK11=1,IF(AK9&gt;2,0,1),1)</formula>
    </cfRule>
  </conditionalFormatting>
  <conditionalFormatting sqref="AC14:AE15 AC99:AE100">
    <cfRule type="expression" dxfId="3339" priority="33" stopIfTrue="1">
      <formula>IF(AK11=1,IF(AK9&gt;3,0,1),1)</formula>
    </cfRule>
  </conditionalFormatting>
  <conditionalFormatting sqref="AC16:AE17 AC101:AE102">
    <cfRule type="expression" dxfId="3338" priority="34" stopIfTrue="1">
      <formula>IF(AK11=1,IF(AK9&gt;4,0,1),1)</formula>
    </cfRule>
  </conditionalFormatting>
  <conditionalFormatting sqref="AH8 AH93">
    <cfRule type="expression" dxfId="3337" priority="35" stopIfTrue="1">
      <formula>IF(AK9&gt;0,0,1)</formula>
    </cfRule>
  </conditionalFormatting>
  <conditionalFormatting sqref="AH10:AI11 AH95:AI96">
    <cfRule type="expression" dxfId="3336" priority="36" stopIfTrue="1">
      <formula>IF(AK9&gt;1,0,1)</formula>
    </cfRule>
  </conditionalFormatting>
  <conditionalFormatting sqref="AH12:AI13 AH97:AI98">
    <cfRule type="expression" dxfId="3335" priority="37" stopIfTrue="1">
      <formula>IF(AK9&gt;2,0,1)</formula>
    </cfRule>
  </conditionalFormatting>
  <conditionalFormatting sqref="AH14:AI15 AH99:AI100">
    <cfRule type="expression" dxfId="3334" priority="38" stopIfTrue="1">
      <formula>IF(AK9&gt;3,0,1)</formula>
    </cfRule>
  </conditionalFormatting>
  <conditionalFormatting sqref="AH16:AI17 AH101:AI102">
    <cfRule type="expression" dxfId="3333" priority="39" stopIfTrue="1">
      <formula>IF(AK9&gt;4,0,1)</formula>
    </cfRule>
  </conditionalFormatting>
  <conditionalFormatting sqref="B19:D19 B104:D104">
    <cfRule type="expression" dxfId="3332" priority="40" stopIfTrue="1">
      <formula>IF(AK8&gt;0,0,1)</formula>
    </cfRule>
  </conditionalFormatting>
  <conditionalFormatting sqref="E19:G19 E104:G104">
    <cfRule type="expression" dxfId="3331" priority="41" stopIfTrue="1">
      <formula>IF(AK8&gt;1,0,1)</formula>
    </cfRule>
  </conditionalFormatting>
  <conditionalFormatting sqref="H19:J19 H104:J104">
    <cfRule type="expression" dxfId="3330" priority="42" stopIfTrue="1">
      <formula>IF(AK8&gt;2,0,1)</formula>
    </cfRule>
  </conditionalFormatting>
  <conditionalFormatting sqref="K19:M19 K104:M104">
    <cfRule type="expression" dxfId="3329" priority="43" stopIfTrue="1">
      <formula>IF(AK8&gt;3,0,1)</formula>
    </cfRule>
  </conditionalFormatting>
  <conditionalFormatting sqref="N19:P19 N104:P104">
    <cfRule type="expression" dxfId="3328" priority="44" stopIfTrue="1">
      <formula>IF(AK8&gt;4,0,1)</formula>
    </cfRule>
  </conditionalFormatting>
  <conditionalFormatting sqref="Q19:S19 Q104:S104">
    <cfRule type="expression" dxfId="3327" priority="45" stopIfTrue="1">
      <formula>IF(AK8&gt;5,0,1)</formula>
    </cfRule>
  </conditionalFormatting>
  <conditionalFormatting sqref="T19:V19 T104:V104">
    <cfRule type="expression" dxfId="3326" priority="46" stopIfTrue="1">
      <formula>IF(AK8&gt;6,0,1)</formula>
    </cfRule>
  </conditionalFormatting>
  <conditionalFormatting sqref="W19:Y19 W104:Y104">
    <cfRule type="expression" dxfId="3325" priority="47" stopIfTrue="1">
      <formula>IF(AK8&gt;7,0,1)</formula>
    </cfRule>
  </conditionalFormatting>
  <conditionalFormatting sqref="Z19:AB19 Z104:AB104">
    <cfRule type="expression" dxfId="3324" priority="48" stopIfTrue="1">
      <formula>IF(AK8&gt;8,0,1)</formula>
    </cfRule>
  </conditionalFormatting>
  <conditionalFormatting sqref="AC19:AE19 AC104:AE104">
    <cfRule type="expression" dxfId="3323" priority="49" stopIfTrue="1">
      <formula>IF(AK8&gt;9,0,1)</formula>
    </cfRule>
  </conditionalFormatting>
  <conditionalFormatting sqref="B20:D20 B105:D105">
    <cfRule type="expression" dxfId="3322" priority="50" stopIfTrue="1">
      <formula>IF(AK8&gt;0,0,1)</formula>
    </cfRule>
  </conditionalFormatting>
  <conditionalFormatting sqref="E20:G20 E105:G105">
    <cfRule type="expression" dxfId="3321" priority="51" stopIfTrue="1">
      <formula>IF(AK8&gt;1,0,1)</formula>
    </cfRule>
  </conditionalFormatting>
  <conditionalFormatting sqref="H20:J20 H105:J105">
    <cfRule type="expression" dxfId="3320" priority="52" stopIfTrue="1">
      <formula>IF(AK8&gt;2,0,1)</formula>
    </cfRule>
  </conditionalFormatting>
  <conditionalFormatting sqref="K20:M20 K105:M105">
    <cfRule type="expression" dxfId="3319" priority="53" stopIfTrue="1">
      <formula>IF(AK8&gt;3,0,1)</formula>
    </cfRule>
  </conditionalFormatting>
  <conditionalFormatting sqref="N20:P20 N105:P105">
    <cfRule type="expression" dxfId="3318" priority="54" stopIfTrue="1">
      <formula>IF(AK8&gt;4,0,1)</formula>
    </cfRule>
  </conditionalFormatting>
  <conditionalFormatting sqref="Q20:S20 Q105:S105">
    <cfRule type="expression" dxfId="3317" priority="55" stopIfTrue="1">
      <formula>IF(AK8&gt;5,0,1)</formula>
    </cfRule>
  </conditionalFormatting>
  <conditionalFormatting sqref="T20:V20 T105:V105">
    <cfRule type="expression" dxfId="3316" priority="56" stopIfTrue="1">
      <formula>IF(AK8&gt;6,0,1)</formula>
    </cfRule>
  </conditionalFormatting>
  <conditionalFormatting sqref="W20:Y20 W105:Y105">
    <cfRule type="expression" dxfId="3315" priority="57" stopIfTrue="1">
      <formula>IF(AK8&gt;7,0,1)</formula>
    </cfRule>
  </conditionalFormatting>
  <conditionalFormatting sqref="Z20:AB20 Z105:AB105">
    <cfRule type="expression" dxfId="3314" priority="58" stopIfTrue="1">
      <formula>IF(AK8&gt;8,0,1)</formula>
    </cfRule>
  </conditionalFormatting>
  <conditionalFormatting sqref="AC20:AE20 AC105:AE105">
    <cfRule type="expression" dxfId="3313" priority="59" stopIfTrue="1">
      <formula>IF(AK8&gt;9,0,1)</formula>
    </cfRule>
  </conditionalFormatting>
  <conditionalFormatting sqref="E22:G22 E107:G107">
    <cfRule type="expression" dxfId="3312" priority="60" stopIfTrue="1">
      <formula>IF(AK8&gt;1,0,1)</formula>
    </cfRule>
  </conditionalFormatting>
  <conditionalFormatting sqref="H22:J22 H107:J107">
    <cfRule type="expression" dxfId="3311" priority="61" stopIfTrue="1">
      <formula>IF(AK8&gt;2,0,1)</formula>
    </cfRule>
  </conditionalFormatting>
  <conditionalFormatting sqref="K22:M22 K107:M107">
    <cfRule type="expression" dxfId="3310" priority="62" stopIfTrue="1">
      <formula>IF(AK8&gt;3,0,1)</formula>
    </cfRule>
  </conditionalFormatting>
  <conditionalFormatting sqref="N22:P22 N107:P107">
    <cfRule type="expression" dxfId="3309" priority="63" stopIfTrue="1">
      <formula>IF(AK8&gt;4,0,1)</formula>
    </cfRule>
  </conditionalFormatting>
  <conditionalFormatting sqref="Q22:S22 Q107:S107">
    <cfRule type="expression" dxfId="3308" priority="64" stopIfTrue="1">
      <formula>IF(AK8&gt;5,0,1)</formula>
    </cfRule>
  </conditionalFormatting>
  <conditionalFormatting sqref="T22:V22 T107:V107">
    <cfRule type="expression" dxfId="3307" priority="65" stopIfTrue="1">
      <formula>IF(AK8&gt;6,0,1)</formula>
    </cfRule>
  </conditionalFormatting>
  <conditionalFormatting sqref="W22:Y22 W107:Y107">
    <cfRule type="expression" dxfId="3306" priority="66" stopIfTrue="1">
      <formula>IF(AK8&gt;7,0,1)</formula>
    </cfRule>
  </conditionalFormatting>
  <conditionalFormatting sqref="Z22:AB22 Z107:AB107">
    <cfRule type="expression" dxfId="3305" priority="67" stopIfTrue="1">
      <formula>IF(AK8&gt;8,0,1)</formula>
    </cfRule>
  </conditionalFormatting>
  <conditionalFormatting sqref="AC22:AE22 AC107:AE107">
    <cfRule type="expression" dxfId="3304" priority="68" stopIfTrue="1">
      <formula>IF(AK8&gt;9,0,1)</formula>
    </cfRule>
  </conditionalFormatting>
  <conditionalFormatting sqref="B24 B109">
    <cfRule type="expression" dxfId="3303" priority="69" stopIfTrue="1">
      <formula>IF(AK8&gt;0,0,1)</formula>
    </cfRule>
  </conditionalFormatting>
  <conditionalFormatting sqref="C24 C109">
    <cfRule type="expression" dxfId="3302" priority="70" stopIfTrue="1">
      <formula>IF(AK8&gt;0,0,1)</formula>
    </cfRule>
  </conditionalFormatting>
  <conditionalFormatting sqref="D24 D109">
    <cfRule type="expression" dxfId="3301" priority="71" stopIfTrue="1">
      <formula>IF(AK8&gt;0,0,1)</formula>
    </cfRule>
  </conditionalFormatting>
  <conditionalFormatting sqref="E23:G23 E108:G108">
    <cfRule type="expression" dxfId="3300" priority="72" stopIfTrue="1">
      <formula>IF(AK8&gt;1,0,1)</formula>
    </cfRule>
  </conditionalFormatting>
  <conditionalFormatting sqref="F24 F109">
    <cfRule type="expression" dxfId="3299" priority="73" stopIfTrue="1">
      <formula>IF(AK8&gt;1,0,1)</formula>
    </cfRule>
  </conditionalFormatting>
  <conditionalFormatting sqref="G24 G109">
    <cfRule type="expression" dxfId="3298" priority="74" stopIfTrue="1">
      <formula>IF(AK8&gt;1,0,1)</formula>
    </cfRule>
  </conditionalFormatting>
  <conditionalFormatting sqref="H23:J23 H108:J108">
    <cfRule type="expression" dxfId="3297" priority="75" stopIfTrue="1">
      <formula>IF(AK8&gt;2,0,1)</formula>
    </cfRule>
  </conditionalFormatting>
  <conditionalFormatting sqref="I24 I109">
    <cfRule type="expression" dxfId="3296" priority="76" stopIfTrue="1">
      <formula>IF(AK8&gt;2,0,1)</formula>
    </cfRule>
  </conditionalFormatting>
  <conditionalFormatting sqref="J24 J109">
    <cfRule type="expression" dxfId="3295" priority="77" stopIfTrue="1">
      <formula>IF(AK8&gt;2,0,1)</formula>
    </cfRule>
  </conditionalFormatting>
  <conditionalFormatting sqref="K23:M23 K108:M108">
    <cfRule type="expression" dxfId="3294" priority="78" stopIfTrue="1">
      <formula>IF(AK8&gt;3,0,1)</formula>
    </cfRule>
  </conditionalFormatting>
  <conditionalFormatting sqref="L24 L109">
    <cfRule type="expression" dxfId="3293" priority="79" stopIfTrue="1">
      <formula>IF(AK8&gt;3,0,1)</formula>
    </cfRule>
  </conditionalFormatting>
  <conditionalFormatting sqref="M24 M109">
    <cfRule type="expression" dxfId="3292" priority="80" stopIfTrue="1">
      <formula>IF(AK8&gt;3,0,1)</formula>
    </cfRule>
  </conditionalFormatting>
  <conditionalFormatting sqref="N23:P23 N108:P108">
    <cfRule type="expression" dxfId="3291" priority="81" stopIfTrue="1">
      <formula>IF(AK8&gt;4,0,1)</formula>
    </cfRule>
  </conditionalFormatting>
  <conditionalFormatting sqref="O24 O109">
    <cfRule type="expression" dxfId="3290" priority="82" stopIfTrue="1">
      <formula>IF(AK8&gt;4,0,1)</formula>
    </cfRule>
  </conditionalFormatting>
  <conditionalFormatting sqref="P24 P109">
    <cfRule type="expression" dxfId="3289" priority="83" stopIfTrue="1">
      <formula>IF(AK8&gt;4,0,1)</formula>
    </cfRule>
  </conditionalFormatting>
  <conditionalFormatting sqref="Q23:S23 Q108:S108">
    <cfRule type="expression" dxfId="3288" priority="84" stopIfTrue="1">
      <formula>IF(AK8&gt;5,0,1)</formula>
    </cfRule>
  </conditionalFormatting>
  <conditionalFormatting sqref="R24 R109">
    <cfRule type="expression" dxfId="3287" priority="85" stopIfTrue="1">
      <formula>IF(AK8&gt;5,0,1)</formula>
    </cfRule>
  </conditionalFormatting>
  <conditionalFormatting sqref="S24 S109">
    <cfRule type="expression" dxfId="3286" priority="86" stopIfTrue="1">
      <formula>IF(AK8&gt;5,0,1)</formula>
    </cfRule>
  </conditionalFormatting>
  <conditionalFormatting sqref="T23:V23 T108:V108">
    <cfRule type="expression" dxfId="3285" priority="87" stopIfTrue="1">
      <formula>IF(AK8&gt;6,0,1)</formula>
    </cfRule>
  </conditionalFormatting>
  <conditionalFormatting sqref="U24 U109">
    <cfRule type="expression" dxfId="3284" priority="88" stopIfTrue="1">
      <formula>IF(AK8&gt;6,0,1)</formula>
    </cfRule>
  </conditionalFormatting>
  <conditionalFormatting sqref="V24 V109">
    <cfRule type="expression" dxfId="3283" priority="89" stopIfTrue="1">
      <formula>IF(AK8&gt;6,0,1)</formula>
    </cfRule>
  </conditionalFormatting>
  <conditionalFormatting sqref="W23:Y23 W108:Y108">
    <cfRule type="expression" dxfId="3282" priority="90" stopIfTrue="1">
      <formula>IF(AK8&gt;7,0,1)</formula>
    </cfRule>
  </conditionalFormatting>
  <conditionalFormatting sqref="X24 X109">
    <cfRule type="expression" dxfId="3281" priority="91" stopIfTrue="1">
      <formula>IF(AK8&gt;7,0,1)</formula>
    </cfRule>
  </conditionalFormatting>
  <conditionalFormatting sqref="Y24 Y109">
    <cfRule type="expression" dxfId="3280" priority="92" stopIfTrue="1">
      <formula>IF(AK8&gt;7,0,1)</formula>
    </cfRule>
  </conditionalFormatting>
  <conditionalFormatting sqref="Z23:AB23 Z108:AB108">
    <cfRule type="expression" dxfId="3279" priority="93" stopIfTrue="1">
      <formula>IF(AK8&gt;8,0,1)</formula>
    </cfRule>
  </conditionalFormatting>
  <conditionalFormatting sqref="AA24 AA109">
    <cfRule type="expression" dxfId="3278" priority="94" stopIfTrue="1">
      <formula>IF(AK8&gt;8,0,1)</formula>
    </cfRule>
  </conditionalFormatting>
  <conditionalFormatting sqref="AB24 AB109">
    <cfRule type="expression" dxfId="3277" priority="95" stopIfTrue="1">
      <formula>IF(AK8&gt;8,0,1)</formula>
    </cfRule>
  </conditionalFormatting>
  <conditionalFormatting sqref="AC23:AE23 AC108:AE108">
    <cfRule type="expression" dxfId="3276" priority="96" stopIfTrue="1">
      <formula>IF(AK8&gt;9,0,1)</formula>
    </cfRule>
  </conditionalFormatting>
  <conditionalFormatting sqref="AD24 AD109">
    <cfRule type="expression" dxfId="3275" priority="97" stopIfTrue="1">
      <formula>IF(AK8&gt;9,0,1)</formula>
    </cfRule>
  </conditionalFormatting>
  <conditionalFormatting sqref="AE24 AE109">
    <cfRule type="expression" dxfId="3274" priority="98" stopIfTrue="1">
      <formula>IF(AK8&gt;9,0,1)</formula>
    </cfRule>
  </conditionalFormatting>
  <conditionalFormatting sqref="A26 A111">
    <cfRule type="expression" dxfId="3273" priority="99" stopIfTrue="1">
      <formula>IF(AK7&gt;1,0,1)</formula>
    </cfRule>
  </conditionalFormatting>
  <conditionalFormatting sqref="A27 A112">
    <cfRule type="expression" dxfId="3272" priority="100" stopIfTrue="1">
      <formula>IF(AK7&gt;2,0,1)</formula>
    </cfRule>
  </conditionalFormatting>
  <conditionalFormatting sqref="A28 A113">
    <cfRule type="expression" dxfId="3271" priority="101" stopIfTrue="1">
      <formula>IF(AK7&gt;3,0,1)</formula>
    </cfRule>
  </conditionalFormatting>
  <conditionalFormatting sqref="A29 A114">
    <cfRule type="expression" dxfId="3270" priority="102" stopIfTrue="1">
      <formula>IF(AK7&gt;4,0,1)</formula>
    </cfRule>
  </conditionalFormatting>
  <conditionalFormatting sqref="B25:D25 B110:D110">
    <cfRule type="expression" dxfId="3269" priority="103" stopIfTrue="1">
      <formula>IF($AK8&gt;0,0,1)</formula>
    </cfRule>
  </conditionalFormatting>
  <conditionalFormatting sqref="B26:D26 B111:D111">
    <cfRule type="expression" dxfId="3268" priority="104" stopIfTrue="1">
      <formula>IF($AK8&lt;1,1,IF($AK7&lt;2,1,0))</formula>
    </cfRule>
  </conditionalFormatting>
  <conditionalFormatting sqref="B27:D27 B112:D112">
    <cfRule type="expression" dxfId="3267" priority="105" stopIfTrue="1">
      <formula>IF($AK8&lt;1,1,IF($AK7&lt;3,1,0))</formula>
    </cfRule>
  </conditionalFormatting>
  <conditionalFormatting sqref="B28:D28 B113:D113">
    <cfRule type="expression" dxfId="3266" priority="106" stopIfTrue="1">
      <formula>IF($AK8&lt;1,1,IF($AK7&lt;4,1,0))</formula>
    </cfRule>
  </conditionalFormatting>
  <conditionalFormatting sqref="B29:D29 B114:D114">
    <cfRule type="expression" dxfId="3265" priority="107" stopIfTrue="1">
      <formula>IF($AK8&lt;1,1,IF($AK7&lt;5,1,0))</formula>
    </cfRule>
  </conditionalFormatting>
  <conditionalFormatting sqref="AG23 AG108">
    <cfRule type="expression" dxfId="3264" priority="108" stopIfTrue="1">
      <formula>IF($AK8&lt;1,1,0)</formula>
    </cfRule>
  </conditionalFormatting>
  <conditionalFormatting sqref="AH23 AH108">
    <cfRule type="expression" dxfId="3263" priority="109" stopIfTrue="1">
      <formula>IF($AK8&lt;2,1,0)</formula>
    </cfRule>
  </conditionalFormatting>
  <conditionalFormatting sqref="AI23 AI108">
    <cfRule type="expression" dxfId="3262" priority="110" stopIfTrue="1">
      <formula>IF($AK8&lt;3,1,0)</formula>
    </cfRule>
  </conditionalFormatting>
  <conditionalFormatting sqref="AJ23 AJ108">
    <cfRule type="expression" dxfId="3261" priority="111" stopIfTrue="1">
      <formula>IF($AK8&lt;4,1,0)</formula>
    </cfRule>
  </conditionalFormatting>
  <conditionalFormatting sqref="AK23 AK108">
    <cfRule type="expression" dxfId="3260" priority="112" stopIfTrue="1">
      <formula>IF($AK8&lt;5,1,0)</formula>
    </cfRule>
  </conditionalFormatting>
  <conditionalFormatting sqref="AL23 AL108">
    <cfRule type="expression" dxfId="3259" priority="113" stopIfTrue="1">
      <formula>IF($AK8&lt;6,1,0)</formula>
    </cfRule>
  </conditionalFormatting>
  <conditionalFormatting sqref="AM23 AM108">
    <cfRule type="expression" dxfId="3258" priority="114" stopIfTrue="1">
      <formula>IF($AK8&lt;7,1,0)</formula>
    </cfRule>
  </conditionalFormatting>
  <conditionalFormatting sqref="AN23 AN108">
    <cfRule type="expression" dxfId="3257" priority="115" stopIfTrue="1">
      <formula>IF($AK8&lt;8,1,0)</formula>
    </cfRule>
  </conditionalFormatting>
  <conditionalFormatting sqref="AO23 AO108">
    <cfRule type="expression" dxfId="3256" priority="116" stopIfTrue="1">
      <formula>IF($AK8&lt;9,1,0)</formula>
    </cfRule>
  </conditionalFormatting>
  <conditionalFormatting sqref="AP23 AP108">
    <cfRule type="expression" dxfId="3255" priority="117" stopIfTrue="1">
      <formula>IF($AK8&lt;10,1,0)</formula>
    </cfRule>
  </conditionalFormatting>
  <conditionalFormatting sqref="AQ24 AQ109">
    <cfRule type="expression" dxfId="3254" priority="118" stopIfTrue="1">
      <formula>IF($AK9&gt;0,0,1)</formula>
    </cfRule>
  </conditionalFormatting>
  <conditionalFormatting sqref="AQ25 AQ110">
    <cfRule type="expression" dxfId="3253" priority="119" stopIfTrue="1">
      <formula>IF($AK9&gt;1,0,1)</formula>
    </cfRule>
  </conditionalFormatting>
  <conditionalFormatting sqref="AQ26 H25:J25 AQ111 H110:J110">
    <cfRule type="expression" dxfId="3252" priority="120" stopIfTrue="1">
      <formula>IF($AK8&gt;2,0,1)</formula>
    </cfRule>
  </conditionalFormatting>
  <conditionalFormatting sqref="K25:M25 K110:M110">
    <cfRule type="expression" dxfId="3251" priority="121" stopIfTrue="1">
      <formula>IF($AK8&gt;3,0,1)</formula>
    </cfRule>
  </conditionalFormatting>
  <conditionalFormatting sqref="AQ28 AQ113">
    <cfRule type="expression" dxfId="3250" priority="122" stopIfTrue="1">
      <formula>IF($AK9&gt;4,0,1)</formula>
    </cfRule>
  </conditionalFormatting>
  <conditionalFormatting sqref="E26:G26 E111:G111">
    <cfRule type="expression" dxfId="3249" priority="123" stopIfTrue="1">
      <formula>IF($AK8&lt;2,1,IF($AK7&lt;2,1,0))</formula>
    </cfRule>
  </conditionalFormatting>
  <conditionalFormatting sqref="E27:G27 E112:G112">
    <cfRule type="expression" dxfId="3248" priority="124" stopIfTrue="1">
      <formula>IF($AK8&lt;2,1,IF($AK7&lt;3,1,0))</formula>
    </cfRule>
  </conditionalFormatting>
  <conditionalFormatting sqref="E28:G28 E113:G113">
    <cfRule type="expression" dxfId="3247" priority="125" stopIfTrue="1">
      <formula>IF($AK8&lt;2,1,IF($AK7&lt;4,1,0))</formula>
    </cfRule>
  </conditionalFormatting>
  <conditionalFormatting sqref="E29:G29 E114:G114">
    <cfRule type="expression" dxfId="3246" priority="126" stopIfTrue="1">
      <formula>IF($AK8&lt;2,1,IF($AK7&lt;5,1,0))</formula>
    </cfRule>
  </conditionalFormatting>
  <conditionalFormatting sqref="N25:P25 N110:P110">
    <cfRule type="expression" dxfId="3245" priority="127" stopIfTrue="1">
      <formula>IF($AK8&gt;4,0,1)</formula>
    </cfRule>
  </conditionalFormatting>
  <conditionalFormatting sqref="Q25:S25 Q110:S110">
    <cfRule type="expression" dxfId="3244" priority="128" stopIfTrue="1">
      <formula>IF($AK8&gt;5,0,1)</formula>
    </cfRule>
  </conditionalFormatting>
  <conditionalFormatting sqref="T25:V25 T110:V110">
    <cfRule type="expression" dxfId="3243" priority="129" stopIfTrue="1">
      <formula>IF($AK8&gt;6,0,1)</formula>
    </cfRule>
  </conditionalFormatting>
  <conditionalFormatting sqref="W25:Y25 W110:Y110">
    <cfRule type="expression" dxfId="3242" priority="130" stopIfTrue="1">
      <formula>IF($AK8&gt;7,0,1)</formula>
    </cfRule>
  </conditionalFormatting>
  <conditionalFormatting sqref="Z25:AB25 Z110:AB110">
    <cfRule type="expression" dxfId="3241" priority="131" stopIfTrue="1">
      <formula>IF($AK8&gt;8,0,1)</formula>
    </cfRule>
  </conditionalFormatting>
  <conditionalFormatting sqref="AC25:AE25 AC110:AE110">
    <cfRule type="expression" dxfId="3240" priority="132" stopIfTrue="1">
      <formula>IF($AK8&gt;9,0,1)</formula>
    </cfRule>
  </conditionalFormatting>
  <conditionalFormatting sqref="H26:J26 H111:J111">
    <cfRule type="expression" dxfId="3239" priority="133" stopIfTrue="1">
      <formula>IF($AK8&lt;3,1,IF($AK7&lt;2,1,0))</formula>
    </cfRule>
  </conditionalFormatting>
  <conditionalFormatting sqref="K26:M26 K111:M111">
    <cfRule type="expression" dxfId="3238" priority="134" stopIfTrue="1">
      <formula>IF($AK8&lt;4,1,IF($AK7&lt;2,1,0))</formula>
    </cfRule>
  </conditionalFormatting>
  <conditionalFormatting sqref="N26:P26 N111:P111">
    <cfRule type="expression" dxfId="3237" priority="135" stopIfTrue="1">
      <formula>IF($AK8&lt;5,1,IF($AK7&lt;2,1,0))</formula>
    </cfRule>
  </conditionalFormatting>
  <conditionalFormatting sqref="Q26:S26 Q111:S111">
    <cfRule type="expression" dxfId="3236" priority="136" stopIfTrue="1">
      <formula>IF($AK8&lt;6,1,IF($AK7&lt;2,1,0))</formula>
    </cfRule>
  </conditionalFormatting>
  <conditionalFormatting sqref="T26:V26 T111:V111">
    <cfRule type="expression" dxfId="3235" priority="137" stopIfTrue="1">
      <formula>IF($AK8&lt;7,1,IF($AK7&lt;2,1,0))</formula>
    </cfRule>
  </conditionalFormatting>
  <conditionalFormatting sqref="W26:Y26 W111:Y111">
    <cfRule type="expression" dxfId="3234" priority="138" stopIfTrue="1">
      <formula>IF($AK8&lt;8,1,IF($AK7&lt;2,1,0))</formula>
    </cfRule>
  </conditionalFormatting>
  <conditionalFormatting sqref="Z26:AB26 Z111:AB111">
    <cfRule type="expression" dxfId="3233" priority="139" stopIfTrue="1">
      <formula>IF($AK8&lt;9,1,IF($AK7&lt;2,1,0))</formula>
    </cfRule>
  </conditionalFormatting>
  <conditionalFormatting sqref="AC26:AE26 AC111:AE111">
    <cfRule type="expression" dxfId="3232" priority="140" stopIfTrue="1">
      <formula>IF($AK8&lt;10,1,IF($AK7&lt;2,1,0))</formula>
    </cfRule>
  </conditionalFormatting>
  <conditionalFormatting sqref="H27:J27 H112:J112">
    <cfRule type="expression" dxfId="3231" priority="141" stopIfTrue="1">
      <formula>IF($AK8&lt;3,1,IF($AK7&lt;3,1,0))</formula>
    </cfRule>
  </conditionalFormatting>
  <conditionalFormatting sqref="K27:M27 K112:M112">
    <cfRule type="expression" dxfId="3230" priority="142" stopIfTrue="1">
      <formula>IF($AK8&lt;4,1,IF($AK7&lt;3,1,0))</formula>
    </cfRule>
  </conditionalFormatting>
  <conditionalFormatting sqref="N27:P27 N112:P112">
    <cfRule type="expression" dxfId="3229" priority="143" stopIfTrue="1">
      <formula>IF($AK8&lt;5,1,IF($AK7&lt;3,1,0))</formula>
    </cfRule>
  </conditionalFormatting>
  <conditionalFormatting sqref="Q27:S27 Q112:S112">
    <cfRule type="expression" dxfId="3228" priority="144" stopIfTrue="1">
      <formula>IF($AK8&lt;6,1,IF($AK7&lt;3,1,0))</formula>
    </cfRule>
  </conditionalFormatting>
  <conditionalFormatting sqref="T27:V27 T112:V112">
    <cfRule type="expression" dxfId="3227" priority="145" stopIfTrue="1">
      <formula>IF($AK8&lt;7,1,IF($AK7&lt;3,1,0))</formula>
    </cfRule>
  </conditionalFormatting>
  <conditionalFormatting sqref="W27:Y27 W112:Y112">
    <cfRule type="expression" dxfId="3226" priority="146" stopIfTrue="1">
      <formula>IF($AK8&lt;8,1,IF($AK7&lt;3,1,0))</formula>
    </cfRule>
  </conditionalFormatting>
  <conditionalFormatting sqref="Z27:AB27 Z112:AB112">
    <cfRule type="expression" dxfId="3225" priority="147" stopIfTrue="1">
      <formula>IF($AK8&lt;9,1,IF($AK7&lt;3,1,0))</formula>
    </cfRule>
  </conditionalFormatting>
  <conditionalFormatting sqref="AC27:AE27 AC112:AE112">
    <cfRule type="expression" dxfId="3224" priority="148" stopIfTrue="1">
      <formula>IF($AK8&lt;10,1,IF($AK7&lt;3,1,0))</formula>
    </cfRule>
  </conditionalFormatting>
  <conditionalFormatting sqref="H28:J28 H113:J113">
    <cfRule type="expression" dxfId="3223" priority="149" stopIfTrue="1">
      <formula>IF($AK8&lt;3,1,IF($AK7&lt;4,1,0))</formula>
    </cfRule>
  </conditionalFormatting>
  <conditionalFormatting sqref="K28:M28 K113:M113">
    <cfRule type="expression" dxfId="3222" priority="150" stopIfTrue="1">
      <formula>IF($AK8&lt;4,1,IF($AK7&lt;4,1,0))</formula>
    </cfRule>
  </conditionalFormatting>
  <conditionalFormatting sqref="N28:P28 N113:P113">
    <cfRule type="expression" dxfId="3221" priority="151" stopIfTrue="1">
      <formula>IF($AK8&lt;5,1,IF($AK7&lt;4,1,0))</formula>
    </cfRule>
  </conditionalFormatting>
  <conditionalFormatting sqref="Q28:S28 Q113:S113">
    <cfRule type="expression" dxfId="3220" priority="152" stopIfTrue="1">
      <formula>IF($AK8&lt;6,1,IF($AK7&lt;4,1,0))</formula>
    </cfRule>
  </conditionalFormatting>
  <conditionalFormatting sqref="T28:V28 T113:V113">
    <cfRule type="expression" dxfId="3219" priority="153" stopIfTrue="1">
      <formula>IF($AK8&lt;7,1,IF($AK7&lt;4,1,0))</formula>
    </cfRule>
  </conditionalFormatting>
  <conditionalFormatting sqref="W28:Y28 W113:Y113">
    <cfRule type="expression" dxfId="3218" priority="154" stopIfTrue="1">
      <formula>IF($AK8&lt;8,1,IF($AK7&lt;4,1,0))</formula>
    </cfRule>
  </conditionalFormatting>
  <conditionalFormatting sqref="Z28:AB28 Z113:AB113">
    <cfRule type="expression" dxfId="3217" priority="155" stopIfTrue="1">
      <formula>IF($AK8&lt;9,1,IF($AK7&lt;4,1,0))</formula>
    </cfRule>
  </conditionalFormatting>
  <conditionalFormatting sqref="AC28:AE28 AC113:AE113">
    <cfRule type="expression" dxfId="3216" priority="156" stopIfTrue="1">
      <formula>IF($AK8&lt;10,1,IF($AK7&lt;4,1,0))</formula>
    </cfRule>
  </conditionalFormatting>
  <conditionalFormatting sqref="H29:J29 H114:J114">
    <cfRule type="expression" dxfId="3215" priority="157" stopIfTrue="1">
      <formula>IF($AK8&lt;3,1,IF($AK7&lt;5,1,0))</formula>
    </cfRule>
  </conditionalFormatting>
  <conditionalFormatting sqref="K29:M29 K114:M114">
    <cfRule type="expression" dxfId="3214" priority="158" stopIfTrue="1">
      <formula>IF($AK8&lt;4,1,IF($AK7&lt;5,1,0))</formula>
    </cfRule>
  </conditionalFormatting>
  <conditionalFormatting sqref="N29:P29 N114:P114">
    <cfRule type="expression" dxfId="3213" priority="159" stopIfTrue="1">
      <formula>IF($AK8&lt;5,1,IF($AK7&lt;5,1,0))</formula>
    </cfRule>
  </conditionalFormatting>
  <conditionalFormatting sqref="Q29:S29 Q114:S114">
    <cfRule type="expression" dxfId="3212" priority="160" stopIfTrue="1">
      <formula>IF($AK8&lt;6,1,IF($AK7&lt;5,1,0))</formula>
    </cfRule>
  </conditionalFormatting>
  <conditionalFormatting sqref="T29:V29 T114:V114">
    <cfRule type="expression" dxfId="3211" priority="161" stopIfTrue="1">
      <formula>IF($AK8&lt;7,1,IF($AK7&lt;5,1,0))</formula>
    </cfRule>
  </conditionalFormatting>
  <conditionalFormatting sqref="W29:Y29 W114:Y114">
    <cfRule type="expression" dxfId="3210" priority="162" stopIfTrue="1">
      <formula>IF($AK8&lt;8,1,IF($AK7&lt;5,1,0))</formula>
    </cfRule>
  </conditionalFormatting>
  <conditionalFormatting sqref="Z29:AB29 Z114:AB114">
    <cfRule type="expression" dxfId="3209" priority="163" stopIfTrue="1">
      <formula>IF($AK8&lt;9,1,IF($AK7&lt;5,1,0))</formula>
    </cfRule>
  </conditionalFormatting>
  <conditionalFormatting sqref="AC29:AE29 AC114:AE114">
    <cfRule type="expression" dxfId="3208" priority="164" stopIfTrue="1">
      <formula>IF($AK8&lt;10,1,IF($AK7&lt;5,1,0))</formula>
    </cfRule>
  </conditionalFormatting>
  <conditionalFormatting sqref="R14:AB15 AF14:AF15 L14:P15 R99:AB100 AF99:AF100 L99:P100 AG14 AG99">
    <cfRule type="expression" dxfId="3207" priority="165" stopIfTrue="1">
      <formula>IF($AK9&gt;3,0,1)</formula>
    </cfRule>
  </conditionalFormatting>
  <conditionalFormatting sqref="R16:AB17 AF16:AF17 L16:P17 R101:AB102 AF101:AF102 L101:P102 AG16 AG101">
    <cfRule type="expression" dxfId="3206" priority="166" stopIfTrue="1">
      <formula>IF($AK9&gt;4,0,1)</formula>
    </cfRule>
  </conditionalFormatting>
  <conditionalFormatting sqref="R8:AB9 AF8:AF9 L8:P9 R93:AB94 AF93:AF94 L93:P94 AG8 AG93">
    <cfRule type="expression" dxfId="3205" priority="167" stopIfTrue="1">
      <formula>IF($AK9&gt;0,0,1)</formula>
    </cfRule>
  </conditionalFormatting>
  <conditionalFormatting sqref="R10:AB11 AF10:AF11 L10:P11 R95:AB96 AF95:AF96 L95:P96 AG10 AG95">
    <cfRule type="expression" dxfId="3204" priority="168" stopIfTrue="1">
      <formula>IF($AK9&gt;1,0,1)</formula>
    </cfRule>
  </conditionalFormatting>
  <conditionalFormatting sqref="R12:AB13 AF12:AF13 L12:P13 R97:AB98 AF97:AF98 L97:P98 AG12 AG97">
    <cfRule type="expression" dxfId="3203" priority="169" stopIfTrue="1">
      <formula>IF($AK9&gt;2,0,1)</formula>
    </cfRule>
  </conditionalFormatting>
  <conditionalFormatting sqref="E24 E109">
    <cfRule type="expression" dxfId="3202" priority="170" stopIfTrue="1">
      <formula>IF(AK8&gt;1,0,1)</formula>
    </cfRule>
  </conditionalFormatting>
  <conditionalFormatting sqref="H24 H109">
    <cfRule type="expression" dxfId="3201" priority="171" stopIfTrue="1">
      <formula>IF(AK8&gt;2,0,1)</formula>
    </cfRule>
  </conditionalFormatting>
  <conditionalFormatting sqref="K24 K109">
    <cfRule type="expression" dxfId="3200" priority="172" stopIfTrue="1">
      <formula>IF(AK8&gt;3,0,1)</formula>
    </cfRule>
  </conditionalFormatting>
  <conditionalFormatting sqref="N24 N109">
    <cfRule type="expression" dxfId="3199" priority="173" stopIfTrue="1">
      <formula>IF(AK8&gt;4,0,1)</formula>
    </cfRule>
  </conditionalFormatting>
  <conditionalFormatting sqref="Q24 Q109">
    <cfRule type="expression" dxfId="3198" priority="174" stopIfTrue="1">
      <formula>IF(AK8&gt;5,0,1)</formula>
    </cfRule>
  </conditionalFormatting>
  <conditionalFormatting sqref="T24 T109">
    <cfRule type="expression" dxfId="3197" priority="175" stopIfTrue="1">
      <formula>IF(AK8&gt;6,0,1)</formula>
    </cfRule>
  </conditionalFormatting>
  <conditionalFormatting sqref="W24 W109">
    <cfRule type="expression" dxfId="3196" priority="176" stopIfTrue="1">
      <formula>IF(AK8&gt;7,0,1)</formula>
    </cfRule>
  </conditionalFormatting>
  <conditionalFormatting sqref="Z24 Z109">
    <cfRule type="expression" dxfId="3195" priority="177" stopIfTrue="1">
      <formula>IF(AK8&gt;8,0,1)</formula>
    </cfRule>
  </conditionalFormatting>
  <conditionalFormatting sqref="AC24 AC109">
    <cfRule type="expression" dxfId="3194" priority="178" stopIfTrue="1">
      <formula>IF(AK8&gt;9,0,1)</formula>
    </cfRule>
  </conditionalFormatting>
  <conditionalFormatting sqref="AQ27 AQ112">
    <cfRule type="expression" dxfId="3193" priority="179" stopIfTrue="1">
      <formula>IF($AK9&gt;3,0,1)</formula>
    </cfRule>
  </conditionalFormatting>
  <conditionalFormatting sqref="E25:G25 E110:G110">
    <cfRule type="expression" dxfId="3192" priority="180" stopIfTrue="1">
      <formula>IF($AK8&gt;1,0,1)</formula>
    </cfRule>
  </conditionalFormatting>
  <conditionalFormatting sqref="B21:D21 B106:D106">
    <cfRule type="expression" dxfId="3191" priority="181" stopIfTrue="1">
      <formula>IF(AK8&gt;0,0,1)</formula>
    </cfRule>
  </conditionalFormatting>
  <conditionalFormatting sqref="E21:G21 E106:G106">
    <cfRule type="expression" dxfId="3190" priority="182" stopIfTrue="1">
      <formula>IF(AK8&gt;1,0,1)</formula>
    </cfRule>
  </conditionalFormatting>
  <conditionalFormatting sqref="H21:J21 H106:J106">
    <cfRule type="expression" dxfId="3189" priority="183" stopIfTrue="1">
      <formula>IF(AK8&gt;2,0,1)</formula>
    </cfRule>
  </conditionalFormatting>
  <conditionalFormatting sqref="K21:M21 K106:M106">
    <cfRule type="expression" dxfId="3188" priority="184" stopIfTrue="1">
      <formula>IF(AK8&gt;3,0,1)</formula>
    </cfRule>
  </conditionalFormatting>
  <conditionalFormatting sqref="N21:P21 N106:P106">
    <cfRule type="expression" dxfId="3187" priority="185" stopIfTrue="1">
      <formula>IF(AK8&gt;4,0,1)</formula>
    </cfRule>
  </conditionalFormatting>
  <conditionalFormatting sqref="Q21:S21 Q106:S106">
    <cfRule type="expression" dxfId="3186" priority="186" stopIfTrue="1">
      <formula>IF(AK8&gt;5,0,1)</formula>
    </cfRule>
  </conditionalFormatting>
  <conditionalFormatting sqref="T21:V21 T106:V106">
    <cfRule type="expression" dxfId="3185" priority="187" stopIfTrue="1">
      <formula>IF(AK8&gt;6,0,1)</formula>
    </cfRule>
  </conditionalFormatting>
  <conditionalFormatting sqref="W21:Y21 W106:Y106">
    <cfRule type="expression" dxfId="3184" priority="188" stopIfTrue="1">
      <formula>IF(AK8&gt;7,0,1)</formula>
    </cfRule>
  </conditionalFormatting>
  <conditionalFormatting sqref="Z21:AB21 Z106:AB106">
    <cfRule type="expression" dxfId="3183" priority="189" stopIfTrue="1">
      <formula>IF(AK8&gt;8,0,1)</formula>
    </cfRule>
  </conditionalFormatting>
  <conditionalFormatting sqref="AC21:AE21 AC106:AE106">
    <cfRule type="expression" dxfId="3182" priority="190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3181" priority="191" stopIfTrue="1">
      <formula>IF(#REF!&gt;0,0,1)</formula>
    </cfRule>
  </conditionalFormatting>
  <conditionalFormatting sqref="AA215:AB215 AB223 AA218:AB218 Z223 Z215:Z218 F215:G215 G223 F218:G218 E223 E215:E218">
    <cfRule type="expression" dxfId="3180" priority="192" stopIfTrue="1">
      <formula>IF(#REF!&gt;1,0,1)</formula>
    </cfRule>
  </conditionalFormatting>
  <conditionalFormatting sqref="AC215:AC218 AD215:AE215 AE223 AD218:AE218 AC223 H223 H215:H218 I215:J215 J223 I218:J218">
    <cfRule type="expression" dxfId="3179" priority="193" stopIfTrue="1">
      <formula>IF(#REF!&gt;2,0,1)</formula>
    </cfRule>
  </conditionalFormatting>
  <conditionalFormatting sqref="W224 Y224 B224 D224">
    <cfRule type="expression" dxfId="3178" priority="194" stopIfTrue="1">
      <formula>IF(#REF!&lt;1,1,IF(#REF!&lt;2,1,0))</formula>
    </cfRule>
  </conditionalFormatting>
  <conditionalFormatting sqref="Z224 AB224 E224 G224">
    <cfRule type="expression" dxfId="3177" priority="195" stopIfTrue="1">
      <formula>IF(#REF!&lt;2,1,IF(#REF!&lt;2,1,0))</formula>
    </cfRule>
  </conditionalFormatting>
  <conditionalFormatting sqref="AC224 AE224 H224 J224">
    <cfRule type="expression" dxfId="3176" priority="196" stopIfTrue="1">
      <formula>IF(#REF!&lt;3,1,IF(#REF!&lt;2,1,0))</formula>
    </cfRule>
  </conditionalFormatting>
  <conditionalFormatting sqref="Y225 B225 D225 W225">
    <cfRule type="expression" dxfId="3175" priority="197" stopIfTrue="1">
      <formula>IF(#REF!&lt;1,1,IF(#REF!&lt;3,1,0))</formula>
    </cfRule>
  </conditionalFormatting>
  <conditionalFormatting sqref="AB225 E225 G225 Z225">
    <cfRule type="expression" dxfId="3174" priority="198" stopIfTrue="1">
      <formula>IF(#REF!&lt;2,1,IF(#REF!&lt;3,1,0))</formula>
    </cfRule>
  </conditionalFormatting>
  <conditionalFormatting sqref="AE225 H225 J225 AC225">
    <cfRule type="expression" dxfId="3173" priority="199" stopIfTrue="1">
      <formula>IF(#REF!&lt;3,1,IF(#REF!&lt;3,1,0))</formula>
    </cfRule>
  </conditionalFormatting>
  <conditionalFormatting sqref="AG24:AP28 AG109:AP113">
    <cfRule type="cellIs" dxfId="3172" priority="200" stopIfTrue="1" operator="notBetween">
      <formula>-9999</formula>
      <formula>9999</formula>
    </cfRule>
  </conditionalFormatting>
  <conditionalFormatting sqref="AC7 AC92">
    <cfRule type="expression" dxfId="3171" priority="201" stopIfTrue="1">
      <formula>IF($AK$11=0,1,0)</formula>
    </cfRule>
  </conditionalFormatting>
  <conditionalFormatting sqref="B18">
    <cfRule type="expression" dxfId="3170" priority="202" stopIfTrue="1">
      <formula>IF($AK$9&gt;0,0,1)</formula>
    </cfRule>
  </conditionalFormatting>
  <conditionalFormatting sqref="B22:D23 B107:D108">
    <cfRule type="cellIs" dxfId="3169" priority="203" stopIfTrue="1" operator="equal">
      <formula>99</formula>
    </cfRule>
  </conditionalFormatting>
  <conditionalFormatting sqref="X226 AA226 C226 F226">
    <cfRule type="expression" dxfId="3168" priority="204" stopIfTrue="1">
      <formula>IF(#REF!&gt;0,0,1)</formula>
    </cfRule>
  </conditionalFormatting>
  <conditionalFormatting sqref="K215">
    <cfRule type="expression" dxfId="3167" priority="4" stopIfTrue="1">
      <formula>IF(#REF!&gt;2,0,1)</formula>
    </cfRule>
  </conditionalFormatting>
  <conditionalFormatting sqref="K215">
    <cfRule type="expression" dxfId="3166" priority="3" stopIfTrue="1">
      <formula>IF(ISNUMBER(K223),0,1)</formula>
    </cfRule>
  </conditionalFormatting>
  <conditionalFormatting sqref="AF215">
    <cfRule type="expression" dxfId="3165" priority="2" stopIfTrue="1">
      <formula>IF(ISNUMBER(AF223),0,1)</formula>
    </cfRule>
  </conditionalFormatting>
  <conditionalFormatting sqref="B103">
    <cfRule type="expression" dxfId="3164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8194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8194" r:id="rId4" name="Pool2RecalcFinish"/>
      </mc:Fallback>
    </mc:AlternateContent>
    <mc:AlternateContent xmlns:mc="http://schemas.openxmlformats.org/markup-compatibility/2006">
      <mc:Choice Requires="x14">
        <control shapeId="8193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8193" r:id="rId6" name="Pool1RecalcFinish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theme="1"/>
  </sheetPr>
  <dimension ref="A1:BY658"/>
  <sheetViews>
    <sheetView zoomScale="55" zoomScaleNormal="55" workbookViewId="0">
      <selection activeCell="AW23" sqref="AW23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30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3"/>
      <c r="AW1" s="194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975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 t="s">
        <v>976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799</v>
      </c>
      <c r="AV3" s="15" t="s">
        <v>797</v>
      </c>
      <c r="AW3" s="16">
        <f>VLOOKUP(AV3,Initial!G:K,5,FALSE)</f>
        <v>2258.8911105410434</v>
      </c>
      <c r="AX3" s="17">
        <f t="shared" ref="AX3:AX12" si="0">VLOOKUP(AU3,AT$79:AU$174,2,FALSE)</f>
        <v>2325.7587268994484</v>
      </c>
      <c r="AY3" s="18">
        <f t="shared" ref="AY3:AY12" si="1">IF(ISNA(VLOOKUP(AU3,AT$182:AU$234,2,FALSE)),AX3,VLOOKUP(AU3,AT$182:AU$234,2,FALSE))</f>
        <v>2316.2116999108894</v>
      </c>
    </row>
    <row r="4" spans="1:53" ht="24" customHeight="1" thickBot="1" x14ac:dyDescent="0.25">
      <c r="A4" s="206" t="s">
        <v>25</v>
      </c>
      <c r="B4" s="207"/>
      <c r="C4" s="207"/>
      <c r="D4" s="208"/>
      <c r="E4" s="209"/>
      <c r="F4" s="210"/>
      <c r="G4" s="210"/>
      <c r="H4" s="210"/>
      <c r="I4" s="210"/>
      <c r="J4" s="210"/>
      <c r="K4" s="210"/>
      <c r="L4" s="210"/>
      <c r="M4" s="211"/>
      <c r="N4" s="206" t="s">
        <v>27</v>
      </c>
      <c r="O4" s="207"/>
      <c r="P4" s="207"/>
      <c r="Q4" s="208"/>
      <c r="R4" s="212" t="s">
        <v>28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29</v>
      </c>
      <c r="AC4" s="207"/>
      <c r="AD4" s="207"/>
      <c r="AE4" s="208"/>
      <c r="AF4" s="407">
        <v>42768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977</v>
      </c>
      <c r="AV4" s="15" t="s">
        <v>978</v>
      </c>
      <c r="AW4" s="16">
        <f>VLOOKUP(AV4,Initial!G:K,5,FALSE)</f>
        <v>2200</v>
      </c>
      <c r="AX4" s="20">
        <f t="shared" si="0"/>
        <v>2300.7385559451241</v>
      </c>
      <c r="AY4" s="21">
        <f t="shared" si="1"/>
        <v>2311.4565337056633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809</v>
      </c>
      <c r="AV5" s="15" t="s">
        <v>808</v>
      </c>
      <c r="AW5" s="16">
        <f>VLOOKUP(AV5,Initial!G:K,5,FALSE)</f>
        <v>2200</v>
      </c>
      <c r="AX5" s="20">
        <f t="shared" si="0"/>
        <v>2114.1208503761477</v>
      </c>
      <c r="AY5" s="21">
        <f t="shared" si="1"/>
        <v>2114.1208503761477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979</v>
      </c>
      <c r="AV6" s="15" t="s">
        <v>980</v>
      </c>
      <c r="AW6" s="16">
        <f>VLOOKUP(AV6,Initial!G:K,5,FALSE)</f>
        <v>2200</v>
      </c>
      <c r="AX6" s="20">
        <f t="shared" si="0"/>
        <v>2176.91916326104</v>
      </c>
      <c r="AY6" s="21">
        <f t="shared" si="1"/>
        <v>2175.394029072223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Games Won</v>
      </c>
      <c r="M7" s="255"/>
      <c r="N7" s="255"/>
      <c r="O7" s="255"/>
      <c r="P7" s="255"/>
      <c r="Q7" s="256"/>
      <c r="R7" s="254" t="str">
        <f>IF($AK10=0,"Games Lost","Matches Lost")</f>
        <v>Games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801</v>
      </c>
      <c r="AV7" s="15" t="s">
        <v>800</v>
      </c>
      <c r="AW7" s="16">
        <f>VLOOKUP(AV7,Initial!G:K,5,FALSE)</f>
        <v>2166.7229327282698</v>
      </c>
      <c r="AX7" s="20">
        <f t="shared" si="0"/>
        <v>2183.1719405604113</v>
      </c>
      <c r="AY7" s="21">
        <f t="shared" si="1"/>
        <v>2177.7802114634451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Augusta Elite 16 Fusion</v>
      </c>
      <c r="F8" s="233"/>
      <c r="G8" s="233"/>
      <c r="H8" s="233"/>
      <c r="I8" s="233"/>
      <c r="J8" s="233"/>
      <c r="K8" s="234"/>
      <c r="L8" s="235">
        <f>IF($AK10=0,AF64,AF46)</f>
        <v>7</v>
      </c>
      <c r="M8" s="236"/>
      <c r="N8" s="236"/>
      <c r="O8" s="236"/>
      <c r="P8" s="236"/>
      <c r="Q8" s="256"/>
      <c r="R8" s="235">
        <f>IF($AK10=0,AG64,AG46)</f>
        <v>1</v>
      </c>
      <c r="S8" s="236"/>
      <c r="T8" s="236"/>
      <c r="U8" s="236"/>
      <c r="V8" s="236"/>
      <c r="W8" s="235">
        <f>AQ24</f>
        <v>52</v>
      </c>
      <c r="X8" s="236"/>
      <c r="Y8" s="236"/>
      <c r="Z8" s="239">
        <f>IF(AF58&gt;0,(AQ24/AF58),0)</f>
        <v>0.25742574257425743</v>
      </c>
      <c r="AA8" s="240"/>
      <c r="AB8" s="240"/>
      <c r="AC8" s="262">
        <f>IF(AF72=0,0,(AF64/AF72))</f>
        <v>0.875</v>
      </c>
      <c r="AD8" s="263"/>
      <c r="AE8" s="264"/>
      <c r="AF8" s="268">
        <v>1</v>
      </c>
      <c r="AG8" s="268"/>
      <c r="AH8" s="270">
        <v>3</v>
      </c>
      <c r="AI8" s="271"/>
      <c r="AJ8" s="27"/>
      <c r="AK8" s="28">
        <v>10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981</v>
      </c>
      <c r="AV8" s="15" t="s">
        <v>982</v>
      </c>
      <c r="AW8" s="16">
        <f>VLOOKUP(AV8,Initial!G:K,5,FALSE)</f>
        <v>2200</v>
      </c>
      <c r="AX8" s="20">
        <f t="shared" si="0"/>
        <v>2257.7154062853579</v>
      </c>
      <c r="AY8" s="21">
        <f t="shared" si="1"/>
        <v>2261.9361846103438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fj6aelit1pm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5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811</v>
      </c>
      <c r="AV9" s="15" t="s">
        <v>810</v>
      </c>
      <c r="AW9" s="16">
        <f>VLOOKUP(AV9,Initial!G:K,5,FALSE)</f>
        <v>2159.5399863106313</v>
      </c>
      <c r="AX9" s="20">
        <f t="shared" si="0"/>
        <v>2171.8274567195708</v>
      </c>
      <c r="AY9" s="21">
        <f t="shared" si="1"/>
        <v>2189.9296425980651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PEAK 16-Chip</v>
      </c>
      <c r="F10" s="233"/>
      <c r="G10" s="233"/>
      <c r="H10" s="233"/>
      <c r="I10" s="233"/>
      <c r="J10" s="233"/>
      <c r="K10" s="234"/>
      <c r="L10" s="235">
        <f>IF($AK10=0,AF65,AF47)</f>
        <v>3</v>
      </c>
      <c r="M10" s="236"/>
      <c r="N10" s="236"/>
      <c r="O10" s="236"/>
      <c r="P10" s="236"/>
      <c r="Q10" s="256"/>
      <c r="R10" s="235">
        <f>IF($AK10=0,AG65,AG47)</f>
        <v>5</v>
      </c>
      <c r="S10" s="236"/>
      <c r="T10" s="236"/>
      <c r="U10" s="236"/>
      <c r="V10" s="236"/>
      <c r="W10" s="235">
        <f>AQ25</f>
        <v>-1</v>
      </c>
      <c r="X10" s="236"/>
      <c r="Y10" s="236"/>
      <c r="Z10" s="239">
        <f>IF(AF59&gt;0,(AQ25/AF59),0)</f>
        <v>-4.9504950495049506E-3</v>
      </c>
      <c r="AA10" s="240"/>
      <c r="AB10" s="240"/>
      <c r="AC10" s="262">
        <f>IF(AF73=0,0,(AF65/AF73))</f>
        <v>0.375</v>
      </c>
      <c r="AD10" s="263"/>
      <c r="AE10" s="264"/>
      <c r="AF10" s="268">
        <v>3</v>
      </c>
      <c r="AG10" s="268"/>
      <c r="AH10" s="270">
        <v>6</v>
      </c>
      <c r="AI10" s="271"/>
      <c r="AJ10" s="27"/>
      <c r="AK10" s="28">
        <v>0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807</v>
      </c>
      <c r="AV10" s="15" t="s">
        <v>806</v>
      </c>
      <c r="AW10" s="16">
        <f>VLOOKUP(AV10,Initial!G:K,5,FALSE)</f>
        <v>2102.1310809793767</v>
      </c>
      <c r="AX10" s="20">
        <f t="shared" si="0"/>
        <v>2119.7342603300549</v>
      </c>
      <c r="AY10" s="21">
        <f t="shared" si="1"/>
        <v>2119.7342603300549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fj6cpeak4cr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5" t="s">
        <v>870</v>
      </c>
      <c r="AV11" s="15" t="s">
        <v>869</v>
      </c>
      <c r="AW11" s="16">
        <f>VLOOKUP(AV11,Initial!G:K,5,FALSE)</f>
        <v>2337.7028474617719</v>
      </c>
      <c r="AX11" s="20">
        <f t="shared" si="0"/>
        <v>2259.8638806595072</v>
      </c>
      <c r="AY11" s="21">
        <f t="shared" si="1"/>
        <v>2249.8790654342693</v>
      </c>
    </row>
    <row r="12" spans="1:53" ht="18.75" customHeight="1" thickBot="1" x14ac:dyDescent="0.25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CHSElite 16-1</v>
      </c>
      <c r="F12" s="233"/>
      <c r="G12" s="233"/>
      <c r="H12" s="233"/>
      <c r="I12" s="233"/>
      <c r="J12" s="233"/>
      <c r="K12" s="234"/>
      <c r="L12" s="235">
        <f>IF($AK10=0,AF66,AF48)</f>
        <v>4</v>
      </c>
      <c r="M12" s="236"/>
      <c r="N12" s="236"/>
      <c r="O12" s="236"/>
      <c r="P12" s="236"/>
      <c r="Q12" s="256"/>
      <c r="R12" s="235">
        <f>IF($AK10=0,AG66,AG48)</f>
        <v>4</v>
      </c>
      <c r="S12" s="236"/>
      <c r="T12" s="236"/>
      <c r="U12" s="236"/>
      <c r="V12" s="236"/>
      <c r="W12" s="235">
        <f>AQ26</f>
        <v>-1</v>
      </c>
      <c r="X12" s="236"/>
      <c r="Y12" s="236"/>
      <c r="Z12" s="239">
        <f>IF(AF60&gt;0,(AQ26/AF60),0)</f>
        <v>-5.0000000000000001E-3</v>
      </c>
      <c r="AA12" s="240"/>
      <c r="AB12" s="240"/>
      <c r="AC12" s="262">
        <f>IF(AF74=0,0,(AF66/AF74))</f>
        <v>0.5</v>
      </c>
      <c r="AD12" s="263"/>
      <c r="AE12" s="264"/>
      <c r="AF12" s="268">
        <v>2</v>
      </c>
      <c r="AG12" s="268"/>
      <c r="AH12" s="270">
        <v>3</v>
      </c>
      <c r="AI12" s="271"/>
      <c r="AJ12" s="31"/>
      <c r="AK12" s="28">
        <v>8</v>
      </c>
      <c r="AL12" s="32" t="s">
        <v>61</v>
      </c>
      <c r="AM12" s="29"/>
      <c r="AN12" s="29"/>
      <c r="AO12" s="29"/>
      <c r="AP12" s="29"/>
      <c r="AQ12" s="29"/>
      <c r="AR12" s="30"/>
      <c r="AT12" s="33">
        <v>10</v>
      </c>
      <c r="AU12" s="15" t="s">
        <v>983</v>
      </c>
      <c r="AV12" s="15" t="s">
        <v>984</v>
      </c>
      <c r="AW12" s="16">
        <f>VLOOKUP(AV12,Initial!G:K,5,FALSE)</f>
        <v>2200</v>
      </c>
      <c r="AX12" s="34">
        <f t="shared" si="0"/>
        <v>2115.1377169844309</v>
      </c>
      <c r="AY12" s="35">
        <f t="shared" si="1"/>
        <v>2108.5454805199915</v>
      </c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fj6celit1pm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39" t="s">
        <v>64</v>
      </c>
      <c r="AU13" s="340"/>
      <c r="AV13" s="340"/>
      <c r="AW13" s="340"/>
      <c r="AX13" s="340"/>
      <c r="AY13" s="341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Intense 16 Region Columb</v>
      </c>
      <c r="F14" s="233"/>
      <c r="G14" s="233"/>
      <c r="H14" s="233"/>
      <c r="I14" s="233"/>
      <c r="J14" s="233"/>
      <c r="K14" s="234"/>
      <c r="L14" s="235">
        <f>IF($AK10=0,AF67,AF49)</f>
        <v>3</v>
      </c>
      <c r="M14" s="236"/>
      <c r="N14" s="236"/>
      <c r="O14" s="236"/>
      <c r="P14" s="236"/>
      <c r="Q14" s="256"/>
      <c r="R14" s="235">
        <f>IF($AK10=0,AG67,AG49)</f>
        <v>5</v>
      </c>
      <c r="S14" s="236"/>
      <c r="T14" s="236"/>
      <c r="U14" s="236"/>
      <c r="V14" s="236"/>
      <c r="W14" s="235">
        <f>AQ27</f>
        <v>-29</v>
      </c>
      <c r="X14" s="236"/>
      <c r="Y14" s="236"/>
      <c r="Z14" s="239">
        <f>IF(AF61&gt;0,(AQ27/AF61),0)</f>
        <v>-0.14499999999999999</v>
      </c>
      <c r="AA14" s="240"/>
      <c r="AB14" s="240"/>
      <c r="AC14" s="262">
        <f>IF(AF75=0,0,(AF67/AF75))</f>
        <v>0.375</v>
      </c>
      <c r="AD14" s="263"/>
      <c r="AE14" s="264"/>
      <c r="AF14" s="268">
        <v>5</v>
      </c>
      <c r="AG14" s="268"/>
      <c r="AH14" s="270">
        <v>9</v>
      </c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42"/>
      <c r="AU14" s="343"/>
      <c r="AV14" s="343"/>
      <c r="AW14" s="343"/>
      <c r="AX14" s="343"/>
      <c r="AY14" s="344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fj6inten3pm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  <c r="AW15" s="97"/>
      <c r="AX15" s="97"/>
      <c r="AY15" s="97"/>
    </row>
    <row r="16" spans="1:53" ht="18.75" customHeight="1" x14ac:dyDescent="0.2">
      <c r="A16" s="227" t="str">
        <f>IF($AK9&gt;4,"5","")</f>
        <v>5</v>
      </c>
      <c r="B16" s="286" t="s">
        <v>10</v>
      </c>
      <c r="C16" s="287"/>
      <c r="D16" s="287"/>
      <c r="E16" s="232" t="str">
        <f>AU11</f>
        <v>Sumter VBC 17-2</v>
      </c>
      <c r="F16" s="233"/>
      <c r="G16" s="233"/>
      <c r="H16" s="233"/>
      <c r="I16" s="233"/>
      <c r="J16" s="233"/>
      <c r="K16" s="234"/>
      <c r="L16" s="235">
        <f>IF($AK10=0,AF68,AF50)</f>
        <v>3</v>
      </c>
      <c r="M16" s="236"/>
      <c r="N16" s="236"/>
      <c r="O16" s="236"/>
      <c r="P16" s="236"/>
      <c r="Q16" s="256"/>
      <c r="R16" s="235">
        <f>IF($AK10=0,AG68,AG50)</f>
        <v>5</v>
      </c>
      <c r="S16" s="236"/>
      <c r="T16" s="236"/>
      <c r="U16" s="236"/>
      <c r="V16" s="236"/>
      <c r="W16" s="235">
        <f>AQ28</f>
        <v>-21</v>
      </c>
      <c r="X16" s="236"/>
      <c r="Y16" s="236"/>
      <c r="Z16" s="239">
        <f>IF(AF62&gt;0,(AQ28/AF62),0)</f>
        <v>-0.105</v>
      </c>
      <c r="AA16" s="240"/>
      <c r="AB16" s="240"/>
      <c r="AC16" s="262">
        <f>IF(AF76=0,0,(AF68/AF76))</f>
        <v>0.375</v>
      </c>
      <c r="AD16" s="263"/>
      <c r="AE16" s="264"/>
      <c r="AF16" s="268">
        <v>4</v>
      </c>
      <c r="AG16" s="268"/>
      <c r="AH16" s="270">
        <v>7</v>
      </c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T16" s="39"/>
      <c r="AU16" s="97"/>
      <c r="AV16" s="97"/>
      <c r="AW16" s="97"/>
      <c r="AX16" s="97"/>
      <c r="AY16" s="97"/>
    </row>
    <row r="17" spans="1:51" ht="18.75" customHeight="1" thickBot="1" x14ac:dyDescent="0.25">
      <c r="A17" s="228"/>
      <c r="B17" s="296" t="s">
        <v>11</v>
      </c>
      <c r="C17" s="297"/>
      <c r="D17" s="297"/>
      <c r="E17" s="410" t="str">
        <f>AV11</f>
        <v>fj7sumtr2pm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T17" s="39"/>
      <c r="AU17" s="97"/>
      <c r="AV17" s="97"/>
      <c r="AW17" s="97"/>
      <c r="AX17" s="97"/>
      <c r="AY17" s="97"/>
    </row>
    <row r="18" spans="1:51" ht="21" customHeight="1" thickTop="1" thickBot="1" x14ac:dyDescent="0.25">
      <c r="A18" s="40"/>
      <c r="B18" s="305" t="s">
        <v>65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T18" s="39"/>
      <c r="AU18" s="97"/>
      <c r="AV18" s="97"/>
      <c r="AW18" s="4"/>
    </row>
    <row r="19" spans="1:51" ht="13.5" thickTop="1" x14ac:dyDescent="0.2">
      <c r="A19" s="4" t="s">
        <v>66</v>
      </c>
      <c r="B19" s="308">
        <v>0.35416666666666669</v>
      </c>
      <c r="C19" s="309"/>
      <c r="D19" s="310"/>
      <c r="E19" s="308">
        <v>0.38541666666666669</v>
      </c>
      <c r="F19" s="309"/>
      <c r="G19" s="310"/>
      <c r="H19" s="308">
        <v>0.41666666666666669</v>
      </c>
      <c r="I19" s="309"/>
      <c r="J19" s="310"/>
      <c r="K19" s="308">
        <v>0.44791666666666669</v>
      </c>
      <c r="L19" s="309"/>
      <c r="M19" s="310"/>
      <c r="N19" s="308">
        <v>0.47916666666666669</v>
      </c>
      <c r="O19" s="309"/>
      <c r="P19" s="310"/>
      <c r="Q19" s="308">
        <v>0.51041666666666663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T19" s="39"/>
      <c r="AU19" s="97"/>
      <c r="AV19" s="97"/>
      <c r="AW19" s="4"/>
    </row>
    <row r="20" spans="1:51" x14ac:dyDescent="0.2">
      <c r="A20" s="41" t="s">
        <v>68</v>
      </c>
      <c r="B20" s="319">
        <v>0.36458333333333331</v>
      </c>
      <c r="C20" s="320"/>
      <c r="D20" s="321"/>
      <c r="E20" s="319">
        <v>0.39930555555555558</v>
      </c>
      <c r="F20" s="320"/>
      <c r="G20" s="321"/>
      <c r="H20" s="319">
        <v>0.42499999999999999</v>
      </c>
      <c r="I20" s="320"/>
      <c r="J20" s="321"/>
      <c r="K20" s="319">
        <v>0.45694444444444443</v>
      </c>
      <c r="L20" s="320"/>
      <c r="M20" s="321"/>
      <c r="N20" s="319">
        <v>0.4909722222222222</v>
      </c>
      <c r="O20" s="320"/>
      <c r="P20" s="321"/>
      <c r="Q20" s="319">
        <v>0.52430555555555558</v>
      </c>
      <c r="R20" s="320"/>
      <c r="S20" s="321"/>
      <c r="T20" s="319">
        <v>0.55694444444444446</v>
      </c>
      <c r="U20" s="320"/>
      <c r="V20" s="321"/>
      <c r="W20" s="319">
        <v>0.59236111111111112</v>
      </c>
      <c r="X20" s="320"/>
      <c r="Y20" s="321"/>
      <c r="Z20" s="319">
        <v>0.62152777777777779</v>
      </c>
      <c r="AA20" s="320"/>
      <c r="AB20" s="321"/>
      <c r="AC20" s="319">
        <v>0.61388888888888882</v>
      </c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T20" s="39"/>
      <c r="AU20" s="97"/>
      <c r="AV20" s="97"/>
      <c r="AW20" s="4"/>
    </row>
    <row r="21" spans="1:51" x14ac:dyDescent="0.2">
      <c r="A21" s="41" t="s">
        <v>69</v>
      </c>
      <c r="B21" s="319">
        <v>0.38750000000000001</v>
      </c>
      <c r="C21" s="320"/>
      <c r="D21" s="321"/>
      <c r="E21" s="319">
        <v>0.4152777777777778</v>
      </c>
      <c r="F21" s="320"/>
      <c r="G21" s="321"/>
      <c r="H21" s="319">
        <v>0.44722222222222219</v>
      </c>
      <c r="I21" s="320"/>
      <c r="J21" s="321"/>
      <c r="K21" s="319">
        <v>0.48125000000000001</v>
      </c>
      <c r="L21" s="320"/>
      <c r="M21" s="321"/>
      <c r="N21" s="319">
        <v>0.51527777777777783</v>
      </c>
      <c r="O21" s="320"/>
      <c r="P21" s="321"/>
      <c r="Q21" s="319">
        <v>0.54861111111111105</v>
      </c>
      <c r="R21" s="320"/>
      <c r="S21" s="321"/>
      <c r="T21" s="319">
        <v>0.58263888888888882</v>
      </c>
      <c r="U21" s="320"/>
      <c r="V21" s="321"/>
      <c r="W21" s="319">
        <v>0.61111111111111105</v>
      </c>
      <c r="X21" s="320"/>
      <c r="Y21" s="321"/>
      <c r="Z21" s="319">
        <v>0.64652777777777781</v>
      </c>
      <c r="AA21" s="320"/>
      <c r="AB21" s="321"/>
      <c r="AC21" s="319">
        <v>0.68263888888888891</v>
      </c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T21" s="6"/>
      <c r="AU21" s="6"/>
      <c r="AV21" s="6"/>
      <c r="AW21" s="4"/>
    </row>
    <row r="22" spans="1:51" ht="13.5" thickBot="1" x14ac:dyDescent="0.25">
      <c r="A22" s="7"/>
      <c r="B22" s="322" t="s">
        <v>70</v>
      </c>
      <c r="C22" s="323"/>
      <c r="D22" s="324"/>
      <c r="E22" s="322" t="str">
        <f>IF($AK8&gt;1,"Match 2","")</f>
        <v>Match 2</v>
      </c>
      <c r="F22" s="323"/>
      <c r="G22" s="324"/>
      <c r="H22" s="322" t="str">
        <f>IF($AK8&gt;2,"Match 3","")</f>
        <v>Match 3</v>
      </c>
      <c r="I22" s="323"/>
      <c r="J22" s="324"/>
      <c r="K22" s="322" t="str">
        <f>IF($AK8&gt;3,"Match 4","")</f>
        <v>Match 4</v>
      </c>
      <c r="L22" s="323"/>
      <c r="M22" s="324"/>
      <c r="N22" s="322" t="str">
        <f>IF($AK8&gt;4,"Match 5","")</f>
        <v>Match 5</v>
      </c>
      <c r="O22" s="323"/>
      <c r="P22" s="324"/>
      <c r="Q22" s="322" t="str">
        <f>IF($AK8&gt;5,"Match 6","")</f>
        <v>Match 6</v>
      </c>
      <c r="R22" s="323"/>
      <c r="S22" s="324"/>
      <c r="T22" s="322" t="str">
        <f>IF($AK8&gt;6,"Match 7","")</f>
        <v>Match 7</v>
      </c>
      <c r="U22" s="323"/>
      <c r="V22" s="324"/>
      <c r="W22" s="322" t="str">
        <f>IF($AK8&gt;7,"Match 8","")</f>
        <v>Match 8</v>
      </c>
      <c r="X22" s="323"/>
      <c r="Y22" s="324"/>
      <c r="Z22" s="322" t="str">
        <f>IF($AK8&gt;8,"Match 9","")</f>
        <v>Match 9</v>
      </c>
      <c r="AA22" s="323"/>
      <c r="AB22" s="324"/>
      <c r="AC22" s="322" t="str">
        <f>IF($AK8&gt;9,"Match 10","")</f>
        <v>Match 10</v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T22" s="39"/>
      <c r="AU22" s="97"/>
      <c r="AV22" s="97"/>
      <c r="AW22" s="4"/>
    </row>
    <row r="23" spans="1:51" ht="15.75" x14ac:dyDescent="0.25">
      <c r="A23" s="7"/>
      <c r="B23" s="325" t="s">
        <v>71</v>
      </c>
      <c r="C23" s="326"/>
      <c r="D23" s="327"/>
      <c r="E23" s="325" t="s">
        <v>72</v>
      </c>
      <c r="F23" s="326"/>
      <c r="G23" s="327"/>
      <c r="H23" s="325" t="s">
        <v>73</v>
      </c>
      <c r="I23" s="326"/>
      <c r="J23" s="327"/>
      <c r="K23" s="325" t="s">
        <v>74</v>
      </c>
      <c r="L23" s="326"/>
      <c r="M23" s="327"/>
      <c r="N23" s="325" t="s">
        <v>75</v>
      </c>
      <c r="O23" s="326"/>
      <c r="P23" s="327"/>
      <c r="Q23" s="325" t="s">
        <v>73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74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9"/>
      <c r="AU23" s="97"/>
      <c r="AV23" s="97"/>
      <c r="AW23" s="97"/>
      <c r="AX23" s="97"/>
      <c r="AY23" s="97"/>
    </row>
    <row r="24" spans="1:51" ht="15.75" x14ac:dyDescent="0.25">
      <c r="A24" s="7"/>
      <c r="B24" s="45">
        <v>2</v>
      </c>
      <c r="C24" s="46" t="s">
        <v>78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2" t="str">
        <f>IF($AK9&gt;0,"Team 1","")</f>
        <v>Team 1</v>
      </c>
      <c r="AG24" s="48" t="str">
        <f>IF($AK9&lt;1,"",IF($AK8&lt;1,"",IF(B24=1,B30-D30,IF(D24=1,D30-B30,""))))</f>
        <v/>
      </c>
      <c r="AH24" s="48">
        <f>IF($AK9&lt;1,"",IF($AK8&lt;2,"",IF(E24=1,E30-G30,IF(G24=1,G30-E30,""))))</f>
        <v>25</v>
      </c>
      <c r="AI24" s="48" t="str">
        <f>IF($AK9&lt;1,"",IF($AK8&lt;3,"",IF(H24=1,H30-J30,IF(J24=1,J30-H30,""))))</f>
        <v/>
      </c>
      <c r="AJ24" s="48" t="str">
        <f>IF($AK9&lt;1,"",IF($AK8&lt;4,"",IF(K24=1,K30-M30,IF(M24=1,M30-K30,""))))</f>
        <v/>
      </c>
      <c r="AK24" s="48">
        <f>IF($AK9&lt;1,"",IF($AK8&lt;5,"",IF(N24=1,N30-P30,IF(P24=1,P30-N30,""))))</f>
        <v>1</v>
      </c>
      <c r="AL24" s="48" t="str">
        <f>IF($AK9&lt;1,"",IF($AK8&lt;6,"",IF(Q24=1,Q30-S30,IF(S24=1,S30-Q30,""))))</f>
        <v/>
      </c>
      <c r="AM24" s="48" t="str">
        <f>IF($AK9&lt;1,"",IF($AK8&lt;7,"",IF(T24=1,T30-V30,IF(V24=1,V30-T30,""))))</f>
        <v/>
      </c>
      <c r="AN24" s="48">
        <f>IF($AK9&lt;1,"",IF($AK8&lt;8,"",IF(W24=1,W30-Y30,IF(Y24=1,Y30-W30,""))))</f>
        <v>19</v>
      </c>
      <c r="AO24" s="48" t="str">
        <f>IF($AK9&lt;1,"",IF($AK8&lt;9,"",IF(Z24=1,Z30-AB30,IF(AB24=1,AB30-Z30,""))))</f>
        <v/>
      </c>
      <c r="AP24" s="48">
        <f>IF($AK9&lt;1,"",IF($AK8&lt;10,"",IF(AC24=1,AC30-AE30,IF(AE24=1,AE30-AC30,""))))</f>
        <v>7</v>
      </c>
      <c r="AQ24" s="44">
        <f>SUM(AG24:AP24)</f>
        <v>52</v>
      </c>
      <c r="AT24" s="39"/>
      <c r="AU24" s="97"/>
      <c r="AV24" s="97"/>
      <c r="AW24" s="97"/>
      <c r="AX24" s="97"/>
      <c r="AY24" s="97"/>
    </row>
    <row r="25" spans="1:51" ht="15" x14ac:dyDescent="0.2">
      <c r="A25" s="4" t="s">
        <v>79</v>
      </c>
      <c r="B25" s="49">
        <v>22</v>
      </c>
      <c r="C25" s="50" t="s">
        <v>80</v>
      </c>
      <c r="D25" s="51">
        <v>25</v>
      </c>
      <c r="E25" s="49">
        <v>25</v>
      </c>
      <c r="F25" s="50" t="str">
        <f>IF($AK8&gt;1,"/","")</f>
        <v>/</v>
      </c>
      <c r="G25" s="51">
        <v>15</v>
      </c>
      <c r="H25" s="49">
        <v>19</v>
      </c>
      <c r="I25" s="50" t="str">
        <f>IF($AK8&gt;2,"/","")</f>
        <v>/</v>
      </c>
      <c r="J25" s="51">
        <v>25</v>
      </c>
      <c r="K25" s="49">
        <v>21</v>
      </c>
      <c r="L25" s="50" t="str">
        <f>IF($AK8&gt;3,"/","")</f>
        <v>/</v>
      </c>
      <c r="M25" s="51">
        <v>25</v>
      </c>
      <c r="N25" s="49">
        <v>25</v>
      </c>
      <c r="O25" s="50" t="str">
        <f>IF($AK8&gt;4,"/","")</f>
        <v>/</v>
      </c>
      <c r="P25" s="51">
        <v>22</v>
      </c>
      <c r="Q25" s="49">
        <v>25</v>
      </c>
      <c r="R25" s="50" t="str">
        <f>IF($AK8&gt;5,"/","")</f>
        <v>/</v>
      </c>
      <c r="S25" s="51">
        <v>23</v>
      </c>
      <c r="T25" s="49">
        <v>23</v>
      </c>
      <c r="U25" s="50" t="str">
        <f>IF($AK8&gt;6,"/","")</f>
        <v>/</v>
      </c>
      <c r="V25" s="51">
        <v>25</v>
      </c>
      <c r="W25" s="49">
        <v>25</v>
      </c>
      <c r="X25" s="50" t="str">
        <f>IF($AK8&gt;7,"/","")</f>
        <v>/</v>
      </c>
      <c r="Y25" s="51">
        <v>18</v>
      </c>
      <c r="Z25" s="49">
        <v>25</v>
      </c>
      <c r="AA25" s="50" t="str">
        <f>IF($AK8&gt;8,"/","")</f>
        <v>/</v>
      </c>
      <c r="AB25" s="51">
        <v>20</v>
      </c>
      <c r="AC25" s="49">
        <v>25</v>
      </c>
      <c r="AD25" s="50" t="str">
        <f>IF($AK8&gt;9,"/","")</f>
        <v>/</v>
      </c>
      <c r="AE25" s="51">
        <v>20</v>
      </c>
      <c r="AF25" s="42" t="str">
        <f>IF($AK9&gt;1,"Team 2","")</f>
        <v>Team 2</v>
      </c>
      <c r="AG25" s="48">
        <f>IF($AK9&lt;2,"",IF($AK8&lt;1,"",IF(B24=2,B30-D30,IF(D24=2,D30-B30,""))))</f>
        <v>0</v>
      </c>
      <c r="AH25" s="48" t="str">
        <f>IF($AK9&lt;2,"",IF($AK8&lt;2,"",IF(E24=2,E30-G30,IF(G24=2,G30-E30,""))))</f>
        <v/>
      </c>
      <c r="AI25" s="48" t="str">
        <f>IF($AK9&lt;2,"",IF($AK8&lt;3,"",IF(H24=2,H30-J30,IF(J24=2,J30-H30,""))))</f>
        <v/>
      </c>
      <c r="AJ25" s="48">
        <f>IF($AK9&lt;2,"",IF($AK8&lt;4,"",IF(K24=2,K30-M30,IF(M24=2,M30-K30,""))))</f>
        <v>1</v>
      </c>
      <c r="AK25" s="48" t="str">
        <f>IF($AK9&lt;2,"",IF($AK8&lt;5,"",IF(N24=2,N30-P30,IF(P24=2,P30-N30,""))))</f>
        <v/>
      </c>
      <c r="AL25" s="48" t="str">
        <f>IF($AK9&lt;2,"",IF($AK8&lt;6,"",IF(Q24=2,Q30-S30,IF(S24=2,S30-Q30,""))))</f>
        <v/>
      </c>
      <c r="AM25" s="48">
        <f>IF($AK9&lt;2,"",IF($AK8&lt;7,"",IF(T24=2,T30-V30,IF(V24=2,V30-T30,""))))</f>
        <v>5</v>
      </c>
      <c r="AN25" s="48" t="str">
        <f>IF($AK9&lt;2,"",IF($AK8&lt;8,"",IF(W24=2,W30-Y30,IF(Y24=2,Y30-W30,""))))</f>
        <v/>
      </c>
      <c r="AO25" s="48" t="str">
        <f>IF($AK9&lt;2,"",IF($AK8&lt;9,"",IF(Z24=2,Z30-AB30,IF(AB24=2,AB30-Z30,""))))</f>
        <v/>
      </c>
      <c r="AP25" s="48">
        <f>IF($AK9&lt;2,"",IF($AK8&lt;10,"",IF(AC24=2,AC30-AE30,IF(AE24=2,AE30-AC30,""))))</f>
        <v>-7</v>
      </c>
      <c r="AQ25" s="44">
        <f>SUM(AG25:AP25)</f>
        <v>-1</v>
      </c>
      <c r="AW25" s="4"/>
    </row>
    <row r="26" spans="1:51" ht="15" x14ac:dyDescent="0.2">
      <c r="A26" s="3" t="str">
        <f>IF($AK7&gt;1,"Game 2","")</f>
        <v>Game 2</v>
      </c>
      <c r="B26" s="49">
        <v>25</v>
      </c>
      <c r="C26" s="50" t="s">
        <v>80</v>
      </c>
      <c r="D26" s="51">
        <v>22</v>
      </c>
      <c r="E26" s="49">
        <v>25</v>
      </c>
      <c r="F26" s="50" t="str">
        <f>IF($AK8&gt;1,IF($AK7&gt;1,"/",""),"")</f>
        <v>/</v>
      </c>
      <c r="G26" s="51">
        <v>10</v>
      </c>
      <c r="H26" s="49">
        <v>25</v>
      </c>
      <c r="I26" s="50" t="str">
        <f>IF($AK8&gt;2,IF($AK7&gt;1,"/",""),"")</f>
        <v>/</v>
      </c>
      <c r="J26" s="51">
        <v>17</v>
      </c>
      <c r="K26" s="49">
        <v>25</v>
      </c>
      <c r="L26" s="50" t="str">
        <f>IF($AK8&gt;3,IF($AK7&gt;1,"/",""),"")</f>
        <v>/</v>
      </c>
      <c r="M26" s="51">
        <v>20</v>
      </c>
      <c r="N26" s="49">
        <v>23</v>
      </c>
      <c r="O26" s="50" t="str">
        <f>IF($AK8&gt;4,IF($AK7&gt;1,"/",""),"")</f>
        <v>/</v>
      </c>
      <c r="P26" s="51">
        <v>25</v>
      </c>
      <c r="Q26" s="49">
        <v>23</v>
      </c>
      <c r="R26" s="50" t="str">
        <f>IF($AK8&gt;5,IF($AK7&gt;1,"/",""),"")</f>
        <v>/</v>
      </c>
      <c r="S26" s="51">
        <v>25</v>
      </c>
      <c r="T26" s="49">
        <v>25</v>
      </c>
      <c r="U26" s="50" t="str">
        <f>IF($AK8&gt;6,IF($AK7&gt;1,"/",""),"")</f>
        <v>/</v>
      </c>
      <c r="V26" s="51">
        <v>18</v>
      </c>
      <c r="W26" s="49">
        <v>25</v>
      </c>
      <c r="X26" s="50" t="str">
        <f>IF($AK8&gt;7,IF($AK7&gt;1,"/",""),"")</f>
        <v>/</v>
      </c>
      <c r="Y26" s="51">
        <v>13</v>
      </c>
      <c r="Z26" s="49">
        <v>23</v>
      </c>
      <c r="AA26" s="50" t="str">
        <f>IF($AK8&gt;8,IF($AK7&gt;1,"/",""),"")</f>
        <v>/</v>
      </c>
      <c r="AB26" s="51">
        <v>25</v>
      </c>
      <c r="AC26" s="49">
        <v>27</v>
      </c>
      <c r="AD26" s="50" t="str">
        <f>IF($AK8&gt;9,IF($AK7&gt;1,"/",""),"")</f>
        <v>/</v>
      </c>
      <c r="AE26" s="51">
        <v>25</v>
      </c>
      <c r="AF26" s="42" t="str">
        <f>IF($AK9&gt;2,"Team 3","")</f>
        <v>Team 3</v>
      </c>
      <c r="AG26" s="48" t="str">
        <f>IF($AK9&lt;3,"",IF($AK8&lt;1,"",IF(B24=3,B30-D30,IF(D24=3,D30-B30,""))))</f>
        <v/>
      </c>
      <c r="AH26" s="48" t="str">
        <f>IF($AK9&lt;3,"",IF($AK8&lt;2,"",IF(E24=3,E30-G30,IF(G24=3,G30-E30,""))))</f>
        <v/>
      </c>
      <c r="AI26" s="48">
        <f>IF($AK9&lt;3,"",IF($AK8&lt;3,"",IF(H24=3,H30-J30,IF(J24=3,J30-H30,""))))</f>
        <v>2</v>
      </c>
      <c r="AJ26" s="48" t="str">
        <f>IF($AK9&lt;3,"",IF($AK8&lt;4,"",IF(K24=3,K30-M30,IF(M24=3,M30-K30,""))))</f>
        <v/>
      </c>
      <c r="AK26" s="48">
        <f>IF($AK9&lt;3,"",IF($AK8&lt;5,"",IF(N24=3,N30-P30,IF(P24=3,P30-N30,""))))</f>
        <v>-1</v>
      </c>
      <c r="AL26" s="48" t="str">
        <f>IF($AK9&lt;3,"",IF($AK8&lt;6,"",IF(Q24=3,Q30-S30,IF(S24=3,S30-Q30,""))))</f>
        <v/>
      </c>
      <c r="AM26" s="48">
        <f>IF($AK9&lt;3,"",IF($AK8&lt;7,"",IF(T24=3,T30-V30,IF(V24=3,V30-T30,""))))</f>
        <v>-5</v>
      </c>
      <c r="AN26" s="48" t="str">
        <f>IF($AK9&lt;3,"",IF($AK8&lt;8,"",IF(W24=3,W30-Y30,IF(Y24=3,Y30-W30,""))))</f>
        <v/>
      </c>
      <c r="AO26" s="48">
        <f>IF($AK9&lt;3,"",IF($AK8&lt;9,"",IF(Z24=3,Z30-AB30,IF(AB24=3,AB30-Z30,""))))</f>
        <v>3</v>
      </c>
      <c r="AP26" s="48" t="str">
        <f>IF($AK9&lt;3,"",IF($AK8&lt;9,"",IF(AC24=3,AC30-AE30,IF(AE24=3,AE30-AC30,""))))</f>
        <v/>
      </c>
      <c r="AQ26" s="44">
        <f>SUM(AG26:AP26)</f>
        <v>-1</v>
      </c>
      <c r="AW26" s="4"/>
    </row>
    <row r="27" spans="1:51" ht="15" x14ac:dyDescent="0.2">
      <c r="A27" s="3" t="str">
        <f>IF($AK7&gt;2,"Game 3","")</f>
        <v/>
      </c>
      <c r="B27" s="49"/>
      <c r="C27" s="50" t="s">
        <v>80</v>
      </c>
      <c r="D27" s="51"/>
      <c r="E27" s="49"/>
      <c r="F27" s="50" t="str">
        <f>IF($AK8&gt;1,IF($AK7&gt;2,"/",""),"")</f>
        <v/>
      </c>
      <c r="G27" s="51"/>
      <c r="H27" s="49"/>
      <c r="I27" s="50" t="str">
        <f>IF($AK8&gt;2,IF($AK7&gt;2,"/",""),"")</f>
        <v/>
      </c>
      <c r="J27" s="51"/>
      <c r="K27" s="49"/>
      <c r="L27" s="50" t="str">
        <f>IF($AK8&gt;3,IF($AK7&gt;2,"/",""),"")</f>
        <v/>
      </c>
      <c r="M27" s="51"/>
      <c r="N27" s="49"/>
      <c r="O27" s="50" t="str">
        <f>IF($AK8&gt;4,IF($AK7&gt;2,"/",""),"")</f>
        <v/>
      </c>
      <c r="P27" s="51"/>
      <c r="Q27" s="49"/>
      <c r="R27" s="50" t="str">
        <f>IF($AK8&gt;5,IF($AK7&gt;2,"/",""),"")</f>
        <v/>
      </c>
      <c r="S27" s="51"/>
      <c r="T27" s="49"/>
      <c r="U27" s="50" t="str">
        <f>IF($AK8&gt;6,IF($AK7&gt;2,"/",""),"")</f>
        <v/>
      </c>
      <c r="V27" s="51"/>
      <c r="W27" s="49"/>
      <c r="X27" s="50" t="str">
        <f>IF($AK8&gt;7,IF($AK7&gt;2,"/",""),"")</f>
        <v/>
      </c>
      <c r="Y27" s="51"/>
      <c r="Z27" s="49"/>
      <c r="AA27" s="50" t="str">
        <f>IF($AK8&gt;8,IF($AK7&gt;2,"/",""),"")</f>
        <v/>
      </c>
      <c r="AB27" s="51"/>
      <c r="AC27" s="49"/>
      <c r="AD27" s="50" t="str">
        <f>IF($AK8&gt;9,IF($AK7&gt;2,"/",""),"")</f>
        <v/>
      </c>
      <c r="AE27" s="51"/>
      <c r="AF27" s="42" t="str">
        <f>IF($AK9&gt;3,"Team 4","")</f>
        <v>Team 4</v>
      </c>
      <c r="AG27" s="48" t="str">
        <f>IF($AK9&lt;4,"",IF($AK8&lt;1,"",IF(B24=4,B30-D30,IF(D24=4,D30-B30,""))))</f>
        <v/>
      </c>
      <c r="AH27" s="48">
        <f>IF($AK9&lt;4,"",IF($AK8&lt;2,"",IF(E24=4,E30-G30,IF(G24=4,G30-E30,""))))</f>
        <v>-25</v>
      </c>
      <c r="AI27" s="48" t="str">
        <f>IF($AK9&lt;4,"",IF($AK8&lt;3,"",IF(H24=4,H30-J30,IF(J24=4,J30-H30,""))))</f>
        <v/>
      </c>
      <c r="AJ27" s="48">
        <f>IF($AK9&lt;4,"",IF($AK8&lt;4,"",IF(K24=4,K30-M30,IF(M24=4,M30-K30,""))))</f>
        <v>-1</v>
      </c>
      <c r="AK27" s="48" t="str">
        <f>IF($AK9&lt;4,"",IF($AK8&lt;5,"",IF(N24=4,N30-P30,IF(P24=4,P30-N30,""))))</f>
        <v/>
      </c>
      <c r="AL27" s="48">
        <f>IF($AK9&lt;4,"",IF($AK8&lt;6,"",IF(Q24=4,Q30-S30,IF(S24=4,S30-Q30,""))))</f>
        <v>0</v>
      </c>
      <c r="AM27" s="48" t="str">
        <f>IF($AK9&lt;4,"",IF($AK8&lt;7,"",IF(T24=4,T30-V30,IF(V24=4,V30-T30,""))))</f>
        <v/>
      </c>
      <c r="AN27" s="48" t="str">
        <f>IF($AK9&lt;4,"",IF($AK8&lt;8,"",IF(W24=4,W30-Y30,IF(Y24=4,Y30-W30,""))))</f>
        <v/>
      </c>
      <c r="AO27" s="48">
        <f>IF($AK9&lt;4,"",IF($AK8&lt;9,"",IF(Z24=4,Z30-AB30,IF(AB24=4,AB30-Z30,""))))</f>
        <v>-3</v>
      </c>
      <c r="AP27" s="48" t="str">
        <f>IF($AK9&lt;4,"",IF($AK8&lt;10,"",IF(AC24=4,AC30-AE30,IF(AE24=4,AE30-AC30,""))))</f>
        <v/>
      </c>
      <c r="AQ27" s="44">
        <f>SUM(AG27:AP27)</f>
        <v>-29</v>
      </c>
      <c r="AW27" s="4"/>
    </row>
    <row r="28" spans="1:51" ht="15" x14ac:dyDescent="0.2">
      <c r="A28" s="3" t="str">
        <f>IF($AK7&gt;3,"Game 4","")</f>
        <v/>
      </c>
      <c r="B28" s="49"/>
      <c r="C28" s="50" t="s">
        <v>80</v>
      </c>
      <c r="D28" s="51"/>
      <c r="E28" s="49"/>
      <c r="F28" s="50" t="str">
        <f>IF($AK8&gt;1,IF($AK7&gt;3,"/",""),"")</f>
        <v/>
      </c>
      <c r="G28" s="51"/>
      <c r="H28" s="49"/>
      <c r="I28" s="50" t="str">
        <f>IF($AK8&gt;2,IF($AK7&gt;3,"/",""),"")</f>
        <v/>
      </c>
      <c r="J28" s="51"/>
      <c r="K28" s="49"/>
      <c r="L28" s="50" t="str">
        <f>IF($AK8&gt;3,IF($AK7&gt;3,"/",""),"")</f>
        <v/>
      </c>
      <c r="M28" s="51"/>
      <c r="N28" s="49"/>
      <c r="O28" s="50" t="str">
        <f>IF($AK8&gt;4,IF($AK7&gt;3,"/",""),"")</f>
        <v/>
      </c>
      <c r="P28" s="51"/>
      <c r="Q28" s="49"/>
      <c r="R28" s="50" t="str">
        <f>IF($AK8&gt;5,IF($AK7&gt;3,"/",""),"")</f>
        <v/>
      </c>
      <c r="S28" s="51"/>
      <c r="T28" s="49"/>
      <c r="U28" s="50" t="str">
        <f>IF($AK8&gt;6,IF($AK7&gt;3,"/",""),"")</f>
        <v/>
      </c>
      <c r="V28" s="51"/>
      <c r="W28" s="49"/>
      <c r="X28" s="50" t="str">
        <f>IF($AK8&gt;7,IF($AK7&gt;3,"/",""),"")</f>
        <v/>
      </c>
      <c r="Y28" s="51"/>
      <c r="Z28" s="49"/>
      <c r="AA28" s="50" t="str">
        <f>IF($AK8&gt;8,IF($AK7&gt;3,"/",""),"")</f>
        <v/>
      </c>
      <c r="AB28" s="51"/>
      <c r="AC28" s="49"/>
      <c r="AD28" s="50" t="str">
        <f>IF($AK8&gt;9,IF($AK7&gt;3,"/",""),"")</f>
        <v/>
      </c>
      <c r="AE28" s="51"/>
      <c r="AF28" s="42" t="str">
        <f>IF($AK9&gt;4,"Team 5","")</f>
        <v>Team 5</v>
      </c>
      <c r="AG28" s="52">
        <f>IF($AK9&lt;5,"",IF($AK8&lt;1,"",IF(B24=5,B30-D30,IF(D24=5,D30-B30,""))))</f>
        <v>0</v>
      </c>
      <c r="AH28" s="48" t="str">
        <f>IF($AK9&lt;5,"",IF($AK8&lt;2,"",IF(E24=5,E30-G30,IF(G24=5,G30-E30,""))))</f>
        <v/>
      </c>
      <c r="AI28" s="48">
        <f>IF($AK9&lt;5,"",IF($AK8&lt;3,"",IF(H24=5,H30-J30,IF(J24=5,J30-H30,""))))</f>
        <v>-2</v>
      </c>
      <c r="AJ28" s="48" t="str">
        <f>IF($AK9&lt;5,"",IF($AK8&lt;4,"",IF(K24=5,K30-M30,IF(M24=5,M30-K30,""))))</f>
        <v/>
      </c>
      <c r="AK28" s="48" t="str">
        <f>IF($AK9&lt;5,"",IF($AK8&lt;5,"",IF(N24=5,N30-P30,IF(P24=5,P30-N30,""))))</f>
        <v/>
      </c>
      <c r="AL28" s="48">
        <f>IF($AK9&lt;5,"",IF($AK8&lt;6,"",IF(Q24=5,Q30-S30,IF(S24=5,S30-Q30,""))))</f>
        <v>0</v>
      </c>
      <c r="AM28" s="48" t="str">
        <f>IF($AK9&lt;5,"",IF($AK8&lt;7,"",IF(T24=5,T30-V30,IF(V24=5,V30-T30,""))))</f>
        <v/>
      </c>
      <c r="AN28" s="48">
        <f>IF($AK9&lt;5,"",IF($AK8&lt;8,"",IF(W24=5,W30-Y30,IF(Y24=5,Y30-W30,""))))</f>
        <v>-19</v>
      </c>
      <c r="AO28" s="48" t="str">
        <f>IF($AK9&lt;5,"",IF($AK8&lt;9,"",IF(Z24=5,Z30-AB30,IF(AB24=5,AB30-Z30,""))))</f>
        <v/>
      </c>
      <c r="AP28" s="48" t="str">
        <f>IF($AK9&lt;5,"",IF($AK8&lt;10,"",IF(AC24=5,AC30-AE30,IF(AE24=5,AE30-AC30,""))))</f>
        <v/>
      </c>
      <c r="AQ28" s="44">
        <f>SUM(AG28:AP28)</f>
        <v>-21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49"/>
      <c r="C29" s="50" t="s">
        <v>80</v>
      </c>
      <c r="D29" s="51"/>
      <c r="E29" s="49"/>
      <c r="F29" s="50" t="str">
        <f>IF($AK8&gt;1,IF($AK7&gt;4,"/",""),"")</f>
        <v/>
      </c>
      <c r="G29" s="51"/>
      <c r="H29" s="49"/>
      <c r="I29" s="50" t="str">
        <f>IF($AK8&gt;2,IF($AK7&gt;4,"/",""),"")</f>
        <v/>
      </c>
      <c r="J29" s="51"/>
      <c r="K29" s="49"/>
      <c r="L29" s="50" t="str">
        <f>IF($AK8&gt;3,IF($AK7&gt;4,"/",""),"")</f>
        <v/>
      </c>
      <c r="M29" s="51"/>
      <c r="N29" s="49"/>
      <c r="O29" s="50" t="str">
        <f>IF($AK8&gt;4,IF($AK7&gt;4,"/",""),"")</f>
        <v/>
      </c>
      <c r="P29" s="51"/>
      <c r="Q29" s="49"/>
      <c r="R29" s="50" t="str">
        <f>IF($AK8&gt;5,IF($AK7&gt;4,"/",""),"")</f>
        <v/>
      </c>
      <c r="S29" s="51"/>
      <c r="T29" s="49"/>
      <c r="U29" s="50" t="str">
        <f>IF($AK8&gt;6,IF($AK7&gt;4,"/",""),"")</f>
        <v/>
      </c>
      <c r="V29" s="51"/>
      <c r="W29" s="49"/>
      <c r="X29" s="50" t="str">
        <f>IF($AK8&gt;7,IF($AK7&gt;4,"/",""),"")</f>
        <v/>
      </c>
      <c r="Y29" s="51"/>
      <c r="Z29" s="49"/>
      <c r="AA29" s="50" t="str">
        <f>IF($AK8&gt;8,IF($AK7&gt;4,"/",""),"")</f>
        <v/>
      </c>
      <c r="AB29" s="51"/>
      <c r="AC29" s="49"/>
      <c r="AD29" s="50" t="str">
        <f>IF($AK8&gt;9,IF($AK7&gt;4,"/",""),"")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3"/>
      <c r="B30" s="53">
        <f>IF($AK7=5,SUM(B25:B29),IF($AK7=4,SUM(B25:B28),IF($AK7=3,SUM(B25:B27),IF($AK7=2,SUM(B25:B26),B25))))</f>
        <v>47</v>
      </c>
      <c r="C30" s="53"/>
      <c r="D30" s="53">
        <f>IF($AK7=5,SUM(D25:D29),IF($AK7=4,SUM(D25:D28),IF($AK7=3,SUM(D25:D27),IF($AK7=2,SUM(D25:D26),D25))))</f>
        <v>47</v>
      </c>
      <c r="E30" s="53">
        <f>IF($AK7=5,SUM(E25:E29),IF($AK7=4,SUM(E25:E28),IF($AK7=3,SUM(E25:E27),IF($AK7=2,SUM(E25:E26),E25))))</f>
        <v>50</v>
      </c>
      <c r="F30" s="53"/>
      <c r="G30" s="53">
        <f>IF($AK7=5,SUM(G25:G29),IF($AK7=4,SUM(G25:G28),IF($AK7=3,SUM(G25:G27),IF($AK7=2,SUM(G25:G26),G25))))</f>
        <v>25</v>
      </c>
      <c r="H30" s="53">
        <f>IF($AK7=5,SUM(H25:H29),IF($AK7=4,SUM(H25:H28),IF($AK7=3,SUM(H25:H27),IF($AK7=2,SUM(H25:H26),H25))))</f>
        <v>44</v>
      </c>
      <c r="I30" s="53"/>
      <c r="J30" s="53">
        <f>IF($AK7=5,SUM(J25:J29),IF($AK7=4,SUM(J25:J28),IF($AK7=3,SUM(J25:J27),IF($AK7=2,SUM(J25:J26),J25))))</f>
        <v>42</v>
      </c>
      <c r="K30" s="53">
        <f>IF($AK7=5,SUM(K25:K29),IF($AK7=4,SUM(K25:K28),IF($AK7=3,SUM(K25:K27),IF($AK7=2,SUM(K25:K26),K25))))</f>
        <v>46</v>
      </c>
      <c r="L30" s="53"/>
      <c r="M30" s="53">
        <f>IF($AK7=5,SUM(M25:M29),IF($AK7=4,SUM(M25:M28),IF($AK7=3,SUM(M25:M27),IF($AK7=2,SUM(M25:M26),M25))))</f>
        <v>45</v>
      </c>
      <c r="N30" s="53">
        <f>IF($AK7=5,SUM(N25:N29),IF($AK7=4,SUM(N25:N28),IF($AK7=3,SUM(N25:N27),IF($AK7=2,SUM(N25:N26),N25))))</f>
        <v>48</v>
      </c>
      <c r="O30" s="53"/>
      <c r="P30" s="53">
        <f>IF($AK7=5,SUM(P25:P29),IF($AK7=4,SUM(P25:P28),IF($AK7=3,SUM(P25:P27),IF($AK7=2,SUM(P25:P26),P25))))</f>
        <v>47</v>
      </c>
      <c r="Q30" s="53">
        <f>IF($AK7=5,SUM(Q25:Q29),IF($AK7=4,SUM(Q25:Q28),IF($AK7=3,SUM(Q25:Q27),IF($AK7=2,SUM(Q25:Q26),Q25))))</f>
        <v>48</v>
      </c>
      <c r="R30" s="53"/>
      <c r="S30" s="53">
        <f>IF($AK7=5,SUM(S25:S29),IF($AK7=4,SUM(S25:S28),IF($AK7=3,SUM(S25:S27),IF($AK7=2,SUM(S25:S26),S25))))</f>
        <v>48</v>
      </c>
      <c r="T30" s="53">
        <f>IF($AK7=5,SUM(T25:T29),IF($AK7=4,SUM(T25:T28),IF($AK7=3,SUM(T25:T27),IF($AK7=2,SUM(T25:T26),T25))))</f>
        <v>48</v>
      </c>
      <c r="U30" s="53"/>
      <c r="V30" s="53">
        <f>IF($AK7=5,SUM(V25:V29),IF($AK7=4,SUM(V25:V28),IF($AK7=3,SUM(V25:V27),IF($AK7=2,SUM(V25:V26),V25))))</f>
        <v>43</v>
      </c>
      <c r="W30" s="53">
        <f>IF($AK7=5,SUM(W25:W29),IF($AK7=4,SUM(W25:W28),IF($AK7=3,SUM(W25:W27),IF($AK7=2,SUM(W25:W26),W25))))</f>
        <v>50</v>
      </c>
      <c r="X30" s="53"/>
      <c r="Y30" s="53">
        <f>IF($AK7=5,SUM(Y25:Y29),IF($AK7=4,SUM(Y25:Y28),IF($AK7=3,SUM(Y25:Y27),IF($AK7=2,SUM(Y25:Y26),Y25))))</f>
        <v>31</v>
      </c>
      <c r="Z30" s="53">
        <f>IF($AK7=5,SUM(Z25:Z29),IF($AK7=4,SUM(Z25:Z28),IF($AK7=3,SUM(Z25:Z27),IF($AK7=2,SUM(Z25:Z26),Z25))))</f>
        <v>48</v>
      </c>
      <c r="AA30" s="53"/>
      <c r="AB30" s="53">
        <f>IF($AK7=5,SUM(AB25:AB29),IF($AK7=4,SUM(AB25:AB28),IF($AK7=3,SUM(AB25:AB27),IF($AK7=2,SUM(AB25:AB26),AB25))))</f>
        <v>45</v>
      </c>
      <c r="AC30" s="53">
        <f>IF($AK7=5,SUM(AC25:AC29),IF($AK7=4,SUM(AC25:AC28),IF($AK7=3,SUM(AC25:AC27),IF($AK7=2,SUM(AC25:AC26),AC25))))</f>
        <v>52</v>
      </c>
      <c r="AD30" s="53"/>
      <c r="AE30" s="53">
        <f>IF($AK7=5,SUM(AE25:AE29),IF($AK7=4,SUM(AE25:AE28),IF($AK7=3,SUM(AE25:AE27),IF($AK7=2,SUM(AE25:AE26),AE25))))</f>
        <v>45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5" customFormat="1" ht="12.75" hidden="1" customHeight="1" x14ac:dyDescent="0.2">
      <c r="A31" s="55" t="s">
        <v>81</v>
      </c>
      <c r="B31" s="56">
        <f>IF(AND(B25&gt;D25,$AK8&gt;0,ISNUMBER(B25),ISNUMBER(D25)),1,0)</f>
        <v>0</v>
      </c>
      <c r="C31" s="56"/>
      <c r="D31" s="57">
        <f>IF(AND(D25&gt;B25,$AK8&gt;0,ISNUMBER(B25),ISNUMBER(D25)),1,0)</f>
        <v>1</v>
      </c>
      <c r="E31" s="56">
        <f>IF(AND(E25&gt;G25,$AK8&gt;1,ISNUMBER(E25),ISNUMBER(G25)),1,0)</f>
        <v>1</v>
      </c>
      <c r="F31" s="56"/>
      <c r="G31" s="57">
        <f>IF(AND(G25&gt;E25,$AK8&gt;1,ISNUMBER(E25),ISNUMBER(G25)),1,0)</f>
        <v>0</v>
      </c>
      <c r="H31" s="56">
        <f>IF(AND(H25&gt;J25,$AK8&gt;2,ISNUMBER(H25),ISNUMBER(J25)),1,0)</f>
        <v>0</v>
      </c>
      <c r="I31" s="56"/>
      <c r="J31" s="57">
        <f>IF(AND(J25&gt;H25,$AK8&gt;2,ISNUMBER(H25),ISNUMBER(J25)),1,0)</f>
        <v>1</v>
      </c>
      <c r="K31" s="56">
        <f>IF(AND(K25&gt;M25,$AK8&gt;3,ISNUMBER(K25),ISNUMBER(M25)),1,0)</f>
        <v>0</v>
      </c>
      <c r="L31" s="56"/>
      <c r="M31" s="57">
        <f>IF(AND(M25&gt;K25,$AK8&gt;3,ISNUMBER(K25),ISNUMBER(M25)),1,0)</f>
        <v>1</v>
      </c>
      <c r="N31" s="56">
        <f>IF(AND(N25&gt;P25,$AK8&gt;4,ISNUMBER(N25),ISNUMBER(P25)),1,0)</f>
        <v>1</v>
      </c>
      <c r="O31" s="56"/>
      <c r="P31" s="57">
        <f>IF(AND(P25&gt;N25,$AK8&gt;4,ISNUMBER(N25),ISNUMBER(P25)),1,0)</f>
        <v>0</v>
      </c>
      <c r="Q31" s="56">
        <f>IF(AND(Q25&gt;S25,$AK8&gt;5,ISNUMBER(Q25),ISNUMBER(S25)),1,0)</f>
        <v>1</v>
      </c>
      <c r="R31" s="56"/>
      <c r="S31" s="57">
        <f>IF(AND(S25&gt;Q25,$AK8&gt;5,ISNUMBER(Q25),ISNUMBER(S25)),1,0)</f>
        <v>0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1</v>
      </c>
      <c r="W31" s="56">
        <f>IF(AND(W25&gt;Y25,$AK8&gt;7,ISNUMBER(W25),ISNUMBER(Y25)),1,0)</f>
        <v>1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1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1</v>
      </c>
      <c r="AD31" s="56"/>
      <c r="AE31" s="57">
        <f>IF(AND(AE25&gt;AC25,$AK8&gt;9,ISNUMBER(AC25),ISNUMBER(AE25)),1,0)</f>
        <v>0</v>
      </c>
      <c r="AW31" s="58"/>
    </row>
    <row r="32" spans="1:51" s="55" customFormat="1" ht="12.75" hidden="1" customHeight="1" x14ac:dyDescent="0.2">
      <c r="A32" s="55" t="s">
        <v>82</v>
      </c>
      <c r="B32" s="56">
        <f>IF(AND(B26&gt;D26,$AK8&gt;0,$AK7&gt;1,ISNUMBER(B26),ISNUMBER(D26)),1,0)</f>
        <v>1</v>
      </c>
      <c r="C32" s="56"/>
      <c r="D32" s="57">
        <f>IF(AND(D26&gt;B26,$AK8&gt;0,$AK7&gt;1,ISNUMBER(B26),ISNUMBER(D26)),1,0)</f>
        <v>0</v>
      </c>
      <c r="E32" s="56">
        <f>IF(AND(E26&gt;G26,$AK8&gt;1,$AK7&gt;1,ISNUMBER(E26),ISNUMBER(G26)),1,0)</f>
        <v>1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1</v>
      </c>
      <c r="I32" s="56"/>
      <c r="J32" s="57">
        <f>IF(AND(J26&gt;H26,$AK8&gt;2,$AK7&gt;1,ISNUMBER(H26),ISNUMBER(J26)),1,0)</f>
        <v>0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1</v>
      </c>
      <c r="Q32" s="56">
        <f>IF(AND(Q26&gt;S26,$AK8&gt;5,$AK7&gt;1,ISNUMBER(Q26),ISNUMBER(S26)),1,0)</f>
        <v>0</v>
      </c>
      <c r="R32" s="56"/>
      <c r="S32" s="57">
        <f>IF(AND(S26&gt;Q26,$AK8&gt;5,$AK7&gt;1,ISNUMBER(Q26),ISNUMBER(S26)),1,0)</f>
        <v>1</v>
      </c>
      <c r="T32" s="56">
        <f>IF(AND(T26&gt;V26,$AK8&gt;6,$AK7&gt;1,ISNUMBER(T26),ISNUMBER(V26)),1,0)</f>
        <v>1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1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1</v>
      </c>
      <c r="AC32" s="56">
        <f>IF(AND(AC26&gt;AE26,$AK8&gt;9,$AK7&gt;1,ISNUMBER(AC26),ISNUMBER(AE26)),1,0)</f>
        <v>1</v>
      </c>
      <c r="AD32" s="56"/>
      <c r="AE32" s="57">
        <f>IF(AND(AE26&gt;AC26,$AK8&gt;9,$AK7&gt;1,ISNUMBER(AC26),ISNUMBER(AE26)),1,0)</f>
        <v>0</v>
      </c>
      <c r="AW32" s="58"/>
    </row>
    <row r="33" spans="1:49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  <c r="AW33" s="58"/>
    </row>
    <row r="34" spans="1:49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  <c r="AW34" s="58"/>
    </row>
    <row r="35" spans="1:49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  <c r="AW35" s="58"/>
    </row>
    <row r="36" spans="1:49" s="55" customFormat="1" ht="38.25" hidden="1" customHeight="1" x14ac:dyDescent="0.2">
      <c r="A36" s="59" t="s">
        <v>86</v>
      </c>
      <c r="B36" s="55">
        <f>SUM(B31:B35)</f>
        <v>1</v>
      </c>
      <c r="D36" s="60">
        <f>SUM(D31:D35)</f>
        <v>1</v>
      </c>
      <c r="E36" s="55">
        <f>SUM(E31:E35)</f>
        <v>2</v>
      </c>
      <c r="G36" s="60">
        <f>SUM(G31:G35)</f>
        <v>0</v>
      </c>
      <c r="H36" s="55">
        <f>SUM(H31:H35)</f>
        <v>1</v>
      </c>
      <c r="J36" s="60">
        <f>SUM(J31:J35)</f>
        <v>1</v>
      </c>
      <c r="K36" s="55">
        <f>SUM(K31:K35)</f>
        <v>1</v>
      </c>
      <c r="M36" s="60">
        <f>SUM(M31:M35)</f>
        <v>1</v>
      </c>
      <c r="N36" s="55">
        <f>SUM(N31:N35)</f>
        <v>1</v>
      </c>
      <c r="P36" s="60">
        <f>SUM(P31:P35)</f>
        <v>1</v>
      </c>
      <c r="Q36" s="55">
        <f>SUM(Q31:Q35)</f>
        <v>1</v>
      </c>
      <c r="S36" s="60">
        <f>SUM(S31:S35)</f>
        <v>1</v>
      </c>
      <c r="T36" s="55">
        <f>SUM(T31:T35)</f>
        <v>1</v>
      </c>
      <c r="V36" s="60">
        <f>SUM(V31:V35)</f>
        <v>1</v>
      </c>
      <c r="W36" s="55">
        <f>SUM(W31:W35)</f>
        <v>2</v>
      </c>
      <c r="Y36" s="60">
        <f>SUM(Y31:Y35)</f>
        <v>0</v>
      </c>
      <c r="Z36" s="55">
        <f>SUM(Z31:Z35)</f>
        <v>1</v>
      </c>
      <c r="AB36" s="60">
        <f>SUM(AB31:AB35)</f>
        <v>1</v>
      </c>
      <c r="AC36" s="55">
        <f>SUM(AC31:AC35)</f>
        <v>2</v>
      </c>
      <c r="AE36" s="60">
        <f>SUM(AE31:AE35)</f>
        <v>0</v>
      </c>
      <c r="AW36" s="58"/>
    </row>
    <row r="37" spans="1:49" s="55" customFormat="1" ht="25.5" hidden="1" customHeight="1" x14ac:dyDescent="0.2">
      <c r="A37" s="59" t="s">
        <v>87</v>
      </c>
      <c r="B37" s="55">
        <f>IF(B36&gt;D36,IF(C71=AK7,1,IF(C71=AK7-1,1,0)),0)</f>
        <v>0</v>
      </c>
      <c r="C37" s="55">
        <f>B37+D37</f>
        <v>0</v>
      </c>
      <c r="D37" s="60">
        <f>IF(D36&gt;B36,IF(C71=AK7,1,IF(C71=AK7-1,1,0)),0)</f>
        <v>0</v>
      </c>
      <c r="E37" s="55">
        <f>IF(E36&gt;G36,IF(F71=AK7,1,IF(F71=AK7-1,1,0)),0)</f>
        <v>1</v>
      </c>
      <c r="F37" s="55">
        <f>E37+G37</f>
        <v>1</v>
      </c>
      <c r="G37" s="60">
        <f>IF(G36&gt;E36,IF(F71=AK7,1,IF(F71=AK7-1,1,0)),0)</f>
        <v>0</v>
      </c>
      <c r="H37" s="55">
        <f>IF(H36&gt;J36,IF(I71=AK7,1,IF(I71=AK7-1,1,0)),0)</f>
        <v>0</v>
      </c>
      <c r="I37" s="55">
        <f>H37+J37</f>
        <v>0</v>
      </c>
      <c r="J37" s="60">
        <f>IF(J36&gt;H36,IF(I71=AK7,1,IF(I71=AK7-1,1,0)),0)</f>
        <v>0</v>
      </c>
      <c r="K37" s="55">
        <f>IF(K36&gt;M36,IF(L71=AK7,1,IF(L71=AK7-1,1,0)),0)</f>
        <v>0</v>
      </c>
      <c r="L37" s="55">
        <f>K37+M37</f>
        <v>0</v>
      </c>
      <c r="M37" s="60">
        <f>IF(M36&gt;K36,IF(L71=AK7,1,IF(L71=AK7-1,1,0)),0)</f>
        <v>0</v>
      </c>
      <c r="N37" s="55">
        <f>IF(N36&gt;P36,IF(O71=AK7,1,IF(O71=AK7-1,1,0)),0)</f>
        <v>0</v>
      </c>
      <c r="O37" s="55">
        <f>N37+P37</f>
        <v>0</v>
      </c>
      <c r="P37" s="60">
        <f>IF(P36&gt;N36,IF(O71=AK7,1,IF(O71=AK7-1,1,0)),0)</f>
        <v>0</v>
      </c>
      <c r="Q37" s="55">
        <f>IF(Q36&gt;S36,IF(R71=AK7,1,IF(R71=AK7-1,1,0)),0)</f>
        <v>0</v>
      </c>
      <c r="R37" s="55">
        <f>Q37+S37</f>
        <v>0</v>
      </c>
      <c r="S37" s="60">
        <f>IF(S36&gt;Q36,IF(R71=AK7,1,IF(R71=AK7-1,1,0)),0)</f>
        <v>0</v>
      </c>
      <c r="T37" s="55">
        <f>IF(T36&gt;V36,IF(U71=AK7,1,IF(U71=AK7-1,1,0)),0)</f>
        <v>0</v>
      </c>
      <c r="U37" s="55">
        <f>T37+V37</f>
        <v>0</v>
      </c>
      <c r="V37" s="60">
        <f>IF(V36&gt;T36,IF(U71=AK7,1,IF(U71=AK7-1,1,0)),0)</f>
        <v>0</v>
      </c>
      <c r="W37" s="55">
        <f>IF(W36&gt;Y36,IF(X71=AK7,1,IF(X71=AK7-1,1,0)),0)</f>
        <v>1</v>
      </c>
      <c r="X37" s="55">
        <f>W37+Y37</f>
        <v>1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0</v>
      </c>
      <c r="AB37" s="60">
        <f>IF(AB36&gt;Z36,IF(AA71=AK7,1,IF(AA71=AK7-1,1,0)),0)</f>
        <v>0</v>
      </c>
      <c r="AC37" s="55">
        <f>IF(AC36&gt;AE36,IF(AD71=AK7,1,IF(AD71=AK7-1,1,0)),0)</f>
        <v>1</v>
      </c>
      <c r="AD37" s="55">
        <f>AC37+AE37</f>
        <v>1</v>
      </c>
      <c r="AE37" s="60">
        <f>IF(AE36&gt;AC36,IF(AD71=AK7,1,IF(AD71=AK7-1,1,0)),0)</f>
        <v>0</v>
      </c>
      <c r="AW37" s="58"/>
    </row>
    <row r="38" spans="1:49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  <c r="AW38" s="58"/>
    </row>
    <row r="39" spans="1:49" s="55" customFormat="1" ht="12.75" hidden="1" customHeight="1" x14ac:dyDescent="0.2">
      <c r="A39" s="55" t="s">
        <v>88</v>
      </c>
      <c r="B39" s="55">
        <f>IF(B31=1,B25,0)</f>
        <v>0</v>
      </c>
      <c r="D39" s="60">
        <f t="shared" ref="D39:E43" si="2">IF(D31=1,D25,0)</f>
        <v>25</v>
      </c>
      <c r="E39" s="55">
        <f t="shared" si="2"/>
        <v>25</v>
      </c>
      <c r="G39" s="60">
        <f t="shared" ref="G39:H43" si="3">IF(G31=1,G25,0)</f>
        <v>0</v>
      </c>
      <c r="H39" s="55">
        <f t="shared" si="3"/>
        <v>0</v>
      </c>
      <c r="J39" s="60">
        <f t="shared" ref="J39:K43" si="4">IF(J31=1,J25,0)</f>
        <v>25</v>
      </c>
      <c r="K39" s="55">
        <f t="shared" si="4"/>
        <v>0</v>
      </c>
      <c r="M39" s="60">
        <f t="shared" ref="M39:N43" si="5">IF(M31=1,M25,0)</f>
        <v>25</v>
      </c>
      <c r="N39" s="55">
        <f t="shared" si="5"/>
        <v>25</v>
      </c>
      <c r="P39" s="60">
        <f t="shared" ref="P39:Q43" si="6">IF(P31=1,P25,0)</f>
        <v>0</v>
      </c>
      <c r="Q39" s="55">
        <f t="shared" si="6"/>
        <v>25</v>
      </c>
      <c r="S39" s="60">
        <f t="shared" ref="S39:T43" si="7">IF(S31=1,S25,0)</f>
        <v>0</v>
      </c>
      <c r="T39" s="55">
        <f t="shared" si="7"/>
        <v>0</v>
      </c>
      <c r="V39" s="60">
        <f t="shared" ref="V39:W43" si="8">IF(V31=1,V25,0)</f>
        <v>25</v>
      </c>
      <c r="W39" s="55">
        <f t="shared" si="8"/>
        <v>25</v>
      </c>
      <c r="Y39" s="60">
        <f t="shared" ref="Y39:Z43" si="9">IF(Y31=1,Y25,0)</f>
        <v>0</v>
      </c>
      <c r="Z39" s="55">
        <f t="shared" si="9"/>
        <v>25</v>
      </c>
      <c r="AB39" s="60">
        <f t="shared" ref="AB39:AC43" si="10">IF(AB31=1,AB25,0)</f>
        <v>0</v>
      </c>
      <c r="AC39" s="55">
        <f t="shared" si="10"/>
        <v>25</v>
      </c>
      <c r="AE39" s="60">
        <f>IF(AE31=1,AE25,0)</f>
        <v>0</v>
      </c>
      <c r="AW39" s="58"/>
    </row>
    <row r="40" spans="1:49" s="55" customFormat="1" ht="12.75" hidden="1" customHeight="1" x14ac:dyDescent="0.2">
      <c r="A40" s="55" t="s">
        <v>89</v>
      </c>
      <c r="B40" s="55">
        <f>IF(B32=1,B26,0)</f>
        <v>25</v>
      </c>
      <c r="D40" s="60">
        <f t="shared" si="2"/>
        <v>0</v>
      </c>
      <c r="E40" s="55">
        <f t="shared" si="2"/>
        <v>25</v>
      </c>
      <c r="G40" s="60">
        <f t="shared" si="3"/>
        <v>0</v>
      </c>
      <c r="H40" s="55">
        <f t="shared" si="3"/>
        <v>25</v>
      </c>
      <c r="J40" s="60">
        <f t="shared" si="4"/>
        <v>0</v>
      </c>
      <c r="K40" s="55">
        <f t="shared" si="4"/>
        <v>25</v>
      </c>
      <c r="M40" s="60">
        <f t="shared" si="5"/>
        <v>0</v>
      </c>
      <c r="N40" s="55">
        <f t="shared" si="5"/>
        <v>0</v>
      </c>
      <c r="P40" s="60">
        <f t="shared" si="6"/>
        <v>25</v>
      </c>
      <c r="Q40" s="55">
        <f t="shared" si="6"/>
        <v>0</v>
      </c>
      <c r="S40" s="60">
        <f t="shared" si="7"/>
        <v>25</v>
      </c>
      <c r="T40" s="55">
        <f t="shared" si="7"/>
        <v>25</v>
      </c>
      <c r="V40" s="60">
        <f t="shared" si="8"/>
        <v>0</v>
      </c>
      <c r="W40" s="55">
        <f t="shared" si="8"/>
        <v>25</v>
      </c>
      <c r="Y40" s="60">
        <f t="shared" si="9"/>
        <v>0</v>
      </c>
      <c r="Z40" s="55">
        <f t="shared" si="9"/>
        <v>0</v>
      </c>
      <c r="AB40" s="60">
        <f t="shared" si="10"/>
        <v>25</v>
      </c>
      <c r="AC40" s="55">
        <f t="shared" si="10"/>
        <v>27</v>
      </c>
      <c r="AE40" s="60">
        <f>IF(AE32=1,AE26,0)</f>
        <v>0</v>
      </c>
      <c r="AW40" s="58"/>
    </row>
    <row r="41" spans="1:49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  <c r="AW41" s="58"/>
    </row>
    <row r="42" spans="1:49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  <c r="AW42" s="58"/>
    </row>
    <row r="43" spans="1:49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  <c r="AW43" s="58"/>
    </row>
    <row r="44" spans="1:49" s="55" customFormat="1" ht="38.25" hidden="1" customHeight="1" x14ac:dyDescent="0.2">
      <c r="A44" s="59" t="s">
        <v>93</v>
      </c>
      <c r="B44" s="55">
        <f>SUM(B39:D43)</f>
        <v>50</v>
      </c>
      <c r="D44" s="60"/>
      <c r="E44" s="55">
        <f>SUM(E39:G43)</f>
        <v>50</v>
      </c>
      <c r="G44" s="60"/>
      <c r="H44" s="55">
        <f>SUM(H39:J43)</f>
        <v>50</v>
      </c>
      <c r="J44" s="60"/>
      <c r="K44" s="55">
        <f>SUM(K39:M43)</f>
        <v>50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50</v>
      </c>
      <c r="V44" s="60"/>
      <c r="W44" s="55">
        <f>SUM(W39:Y43)</f>
        <v>50</v>
      </c>
      <c r="Y44" s="60"/>
      <c r="Z44" s="55">
        <f>SUM(Z39:AB43)</f>
        <v>50</v>
      </c>
      <c r="AB44" s="60"/>
      <c r="AC44" s="55">
        <f>SUM(AC39:AE43)</f>
        <v>52</v>
      </c>
      <c r="AE44" s="60"/>
      <c r="AW44" s="58"/>
    </row>
    <row r="45" spans="1:49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  <c r="AW45" s="58"/>
    </row>
    <row r="46" spans="1:49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1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1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1</v>
      </c>
      <c r="AE46" s="60">
        <f>IF(AE24=1,IF(AE37=1,1,0),0)</f>
        <v>0</v>
      </c>
      <c r="AF46" s="55">
        <f>SUM(B46:AE46)</f>
        <v>3</v>
      </c>
      <c r="AG46" s="55">
        <f>AF52-AF46</f>
        <v>0</v>
      </c>
      <c r="AW46" s="58"/>
    </row>
    <row r="47" spans="1:49" s="55" customFormat="1" ht="12.75" hidden="1" customHeight="1" x14ac:dyDescent="0.2">
      <c r="A47" s="55" t="s">
        <v>98</v>
      </c>
      <c r="B47" s="55">
        <f>IF(B24=2,IF(B37=1,1,0),0)</f>
        <v>0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0</v>
      </c>
      <c r="AG47" s="55">
        <f>AF53-AF47</f>
        <v>1</v>
      </c>
      <c r="AW47" s="58"/>
    </row>
    <row r="48" spans="1:49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0</v>
      </c>
      <c r="AG48" s="55">
        <f>AF54-AF48</f>
        <v>0</v>
      </c>
      <c r="AW48" s="58"/>
    </row>
    <row r="49" spans="1:49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0</v>
      </c>
      <c r="AG49" s="55">
        <f>AF55-AF49</f>
        <v>1</v>
      </c>
      <c r="AW49" s="58"/>
    </row>
    <row r="50" spans="1:49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0</v>
      </c>
      <c r="AG50" s="55">
        <f>AF56-AF50</f>
        <v>1</v>
      </c>
      <c r="AW50" s="58"/>
    </row>
    <row r="51" spans="1:49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  <c r="AW51" s="58"/>
    </row>
    <row r="52" spans="1:49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0</v>
      </c>
      <c r="P52" s="60">
        <f>IF(P24=1,IF(O37=1,1,0),0)</f>
        <v>0</v>
      </c>
      <c r="Q52" s="55">
        <f>IF(Q24=1,IF(R37=1,1,0),0)</f>
        <v>0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1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1</v>
      </c>
      <c r="AE52" s="60">
        <f>IF(AE24=1,IF(AD37=1,1,0),0)</f>
        <v>0</v>
      </c>
      <c r="AF52" s="55">
        <f>SUM(B52:AE52)</f>
        <v>3</v>
      </c>
      <c r="AW52" s="58"/>
    </row>
    <row r="53" spans="1:49" s="55" customFormat="1" ht="12.75" hidden="1" customHeight="1" x14ac:dyDescent="0.2">
      <c r="A53" s="55" t="s">
        <v>104</v>
      </c>
      <c r="B53" s="55">
        <f>IF(B24=2,IF(C37=1,1,0),0)</f>
        <v>0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0</v>
      </c>
      <c r="J53" s="60">
        <f>IF(J24=2,IF(I37=1,1,0),0)</f>
        <v>0</v>
      </c>
      <c r="K53" s="55">
        <f>IF(K24=2,IF(L37=1,1,0),0)</f>
        <v>0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0</v>
      </c>
      <c r="T53" s="55">
        <f>IF(T24=2,IF(U37=1,1,0),0)</f>
        <v>0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1</v>
      </c>
      <c r="AF53" s="55">
        <f>SUM(B53:AE53)</f>
        <v>1</v>
      </c>
      <c r="AW53" s="58"/>
    </row>
    <row r="54" spans="1:49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0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0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0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0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0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0</v>
      </c>
      <c r="AW54" s="58"/>
    </row>
    <row r="55" spans="1:49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0</v>
      </c>
      <c r="K55" s="55">
        <f>IF(K24=4,IF(L37=1,1,0),0)</f>
        <v>0</v>
      </c>
      <c r="M55" s="60">
        <f>IF(M24=4,IF(L37=1,1,0),0)</f>
        <v>0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0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0</v>
      </c>
      <c r="AC55" s="55">
        <f>IF(AC24=4,IF(AD37=1,1,0),0)</f>
        <v>0</v>
      </c>
      <c r="AE55" s="60">
        <f>IF(AE24=4,IF(AD37=1,1,0),0)</f>
        <v>0</v>
      </c>
      <c r="AF55" s="55">
        <f>SUM(B55:AE55)</f>
        <v>1</v>
      </c>
      <c r="AW55" s="58"/>
    </row>
    <row r="56" spans="1:49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0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0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0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1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1</v>
      </c>
      <c r="AW56" s="58"/>
    </row>
    <row r="57" spans="1:49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  <c r="AW57" s="58"/>
    </row>
    <row r="58" spans="1:49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50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0</v>
      </c>
      <c r="M58" s="60">
        <f>IF(M24=1,K44,0)</f>
        <v>0</v>
      </c>
      <c r="N58" s="55">
        <f>IF(N24=1,N44,0)</f>
        <v>50</v>
      </c>
      <c r="P58" s="60">
        <f>IF(P24=1,N44,0)</f>
        <v>0</v>
      </c>
      <c r="Q58" s="55">
        <f>IF(Q24=1,Q44,0)</f>
        <v>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50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52</v>
      </c>
      <c r="AE58" s="60">
        <f>IF(AE24=1,AC44,0)</f>
        <v>0</v>
      </c>
      <c r="AF58" s="55">
        <f>SUM(B58:AE58)</f>
        <v>202</v>
      </c>
      <c r="AW58" s="58"/>
    </row>
    <row r="59" spans="1:49" s="55" customFormat="1" ht="12.75" hidden="1" customHeight="1" x14ac:dyDescent="0.2">
      <c r="A59" s="55" t="s">
        <v>104</v>
      </c>
      <c r="B59" s="55">
        <f>IF(B24=2,B44,0)</f>
        <v>50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0</v>
      </c>
      <c r="J59" s="60">
        <f>IF(J24=2,H44,0)</f>
        <v>0</v>
      </c>
      <c r="K59" s="55">
        <f>IF(K24=2,K44,0)</f>
        <v>50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0</v>
      </c>
      <c r="T59" s="55">
        <f>IF(T24=2,T44,0)</f>
        <v>50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52</v>
      </c>
      <c r="AF59" s="55">
        <f>SUM(B59:AE59)</f>
        <v>202</v>
      </c>
      <c r="AW59" s="58"/>
    </row>
    <row r="60" spans="1:49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0</v>
      </c>
      <c r="E60" s="55">
        <f>IF(E24=3,E44,0)</f>
        <v>0</v>
      </c>
      <c r="G60" s="60">
        <f>IF(G24=3,E44,0)</f>
        <v>0</v>
      </c>
      <c r="H60" s="55">
        <f>IF(H24=3,H44,0)</f>
        <v>50</v>
      </c>
      <c r="J60" s="60">
        <f>IF(J24=3,H44,0)</f>
        <v>0</v>
      </c>
      <c r="K60" s="55">
        <f>IF(K24=3,K44,0)</f>
        <v>0</v>
      </c>
      <c r="M60" s="60">
        <f>IF(M24=3,K44,0)</f>
        <v>0</v>
      </c>
      <c r="N60" s="55">
        <f>IF(N24=3,N44,0)</f>
        <v>0</v>
      </c>
      <c r="P60" s="60">
        <f>IF(P24=3,N44,0)</f>
        <v>50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50</v>
      </c>
      <c r="W60" s="55">
        <f>IF(W24=3,W44,0)</f>
        <v>0</v>
      </c>
      <c r="Y60" s="60">
        <f>IF(Y24=3,W44,0)</f>
        <v>0</v>
      </c>
      <c r="Z60" s="55">
        <f>IF(Z24=3,Z44,0)</f>
        <v>50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200</v>
      </c>
      <c r="AW60" s="58"/>
    </row>
    <row r="61" spans="1:49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50</v>
      </c>
      <c r="H61" s="55">
        <f>IF(H24=4,H44,0)</f>
        <v>0</v>
      </c>
      <c r="J61" s="60">
        <f>IF(J24=4,H44,0)</f>
        <v>0</v>
      </c>
      <c r="K61" s="55">
        <f>IF(K24=4,K44,0)</f>
        <v>0</v>
      </c>
      <c r="M61" s="60">
        <f>IF(M24=4,K44,0)</f>
        <v>50</v>
      </c>
      <c r="N61" s="55">
        <f>IF(N24=4,N44,0)</f>
        <v>0</v>
      </c>
      <c r="P61" s="60">
        <f>IF(P24=4,N44,0)</f>
        <v>0</v>
      </c>
      <c r="Q61" s="55">
        <f>IF(Q24=4,Q44,0)</f>
        <v>50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50</v>
      </c>
      <c r="AC61" s="55">
        <f>IF(AC24=4,AC44,0)</f>
        <v>0</v>
      </c>
      <c r="AE61" s="60">
        <f>IF(AE24=4,AC44,0)</f>
        <v>0</v>
      </c>
      <c r="AF61" s="55">
        <f>SUM(B61:AE61)</f>
        <v>200</v>
      </c>
      <c r="AW61" s="58"/>
    </row>
    <row r="62" spans="1:49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50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50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50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50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200</v>
      </c>
      <c r="AW62" s="58"/>
    </row>
    <row r="63" spans="1:49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  <c r="AW63" s="58"/>
    </row>
    <row r="64" spans="1:49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2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1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2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2</v>
      </c>
      <c r="AE64" s="60">
        <f>IF(AE24=1,SUMIF(AE31:AE35,"&gt;0"),0)</f>
        <v>0</v>
      </c>
      <c r="AF64" s="55">
        <f>SUM(B64:AE64)</f>
        <v>7</v>
      </c>
      <c r="AG64" s="55">
        <f>AF72-AF64</f>
        <v>1</v>
      </c>
      <c r="AW64" s="58"/>
    </row>
    <row r="65" spans="1:54" s="55" customFormat="1" ht="12.75" hidden="1" customHeight="1" x14ac:dyDescent="0.2">
      <c r="A65" s="55" t="s">
        <v>98</v>
      </c>
      <c r="B65" s="55">
        <f>IF(B24=2,SUMIF(B31:B35,"&gt;0"),0)</f>
        <v>1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1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1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3</v>
      </c>
      <c r="AG65" s="55">
        <f>AF73-AF65</f>
        <v>5</v>
      </c>
      <c r="AW65" s="58"/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1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1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1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1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4</v>
      </c>
      <c r="AG66" s="55">
        <f>AF74-AF66</f>
        <v>4</v>
      </c>
      <c r="AW66" s="58"/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0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1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1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1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3</v>
      </c>
      <c r="AG67" s="55">
        <f>AF75-AF67</f>
        <v>5</v>
      </c>
      <c r="AW67" s="58"/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1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1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1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3</v>
      </c>
      <c r="AG68" s="55">
        <f>AF76-AF68</f>
        <v>5</v>
      </c>
      <c r="AW68" s="58"/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  <c r="AW69" s="58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  <c r="AW70" s="58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2</v>
      </c>
      <c r="V71" s="60"/>
      <c r="X71" s="55">
        <f>SUMIF(W64:Y68,"&gt;0")</f>
        <v>2</v>
      </c>
      <c r="Y71" s="60"/>
      <c r="AA71" s="55">
        <f>SUMIF(Z64:AB68,"&gt;0")</f>
        <v>2</v>
      </c>
      <c r="AB71" s="60"/>
      <c r="AD71" s="55">
        <f>SUMIF(AC64:AE68,"&gt;0")</f>
        <v>2</v>
      </c>
      <c r="AE71" s="60"/>
      <c r="AF71" s="59" t="s">
        <v>113</v>
      </c>
      <c r="AW71" s="58"/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0</v>
      </c>
      <c r="M72" s="60">
        <f>IF(M24=1,L71,0)</f>
        <v>0</v>
      </c>
      <c r="N72" s="55">
        <f>IF(N24=1,O71,0)</f>
        <v>2</v>
      </c>
      <c r="P72" s="60">
        <f>IF(P24=1,O71,0)</f>
        <v>0</v>
      </c>
      <c r="Q72" s="55">
        <f>IF(Q24=1,R71,0)</f>
        <v>0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2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2</v>
      </c>
      <c r="AE72" s="60">
        <f>IF(AE24=1,AD71,0)</f>
        <v>0</v>
      </c>
      <c r="AF72" s="55">
        <f>SUM(B72:AE72)</f>
        <v>8</v>
      </c>
      <c r="AW72" s="58"/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0</v>
      </c>
      <c r="J73" s="60">
        <f>IF(J24=2,I71,0)</f>
        <v>0</v>
      </c>
      <c r="K73" s="55">
        <f>IF(K24=2,L71,0)</f>
        <v>2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0</v>
      </c>
      <c r="T73" s="55">
        <f>IF(T24=2,U71,0)</f>
        <v>2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2</v>
      </c>
      <c r="AF73" s="55">
        <f>SUM(B73:AE73)</f>
        <v>8</v>
      </c>
      <c r="AW73" s="58"/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0</v>
      </c>
      <c r="E74" s="55">
        <f>IF(E24=3,F71,0)</f>
        <v>0</v>
      </c>
      <c r="G74" s="60">
        <f>IF(G24=3,F71,0)</f>
        <v>0</v>
      </c>
      <c r="H74" s="55">
        <f>IF(H24=3,I71,0)</f>
        <v>2</v>
      </c>
      <c r="J74" s="60">
        <f>IF(J24=3,I71,0)</f>
        <v>0</v>
      </c>
      <c r="K74" s="55">
        <f>IF(K24=3,L71,0)</f>
        <v>0</v>
      </c>
      <c r="M74" s="60">
        <f>IF(M24=3,L71,0)</f>
        <v>0</v>
      </c>
      <c r="N74" s="55">
        <f>IF(N24=3,O71,0)</f>
        <v>0</v>
      </c>
      <c r="P74" s="60">
        <f>IF(P24=3,O71,0)</f>
        <v>2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2</v>
      </c>
      <c r="W74" s="55">
        <f>IF(W24=3,X71,0)</f>
        <v>0</v>
      </c>
      <c r="Y74" s="60">
        <f>IF(Y24=3,X71,0)</f>
        <v>0</v>
      </c>
      <c r="Z74" s="55">
        <f>IF(Z24=3,AA71,0)</f>
        <v>2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  <c r="AW74" s="58"/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0</v>
      </c>
      <c r="K75" s="55">
        <f>IF(K24=4,L71,0)</f>
        <v>0</v>
      </c>
      <c r="M75" s="60">
        <f>IF(M24=4,L71,0)</f>
        <v>2</v>
      </c>
      <c r="N75" s="55">
        <f>IF(N24=4,O71,0)</f>
        <v>0</v>
      </c>
      <c r="P75" s="60">
        <f>IF(P24=4,O71,0)</f>
        <v>0</v>
      </c>
      <c r="Q75" s="55">
        <f>IF(Q24=4,R71,0)</f>
        <v>2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2</v>
      </c>
      <c r="AC75" s="55">
        <f>IF(AC24=4,AD71,0)</f>
        <v>0</v>
      </c>
      <c r="AE75" s="60">
        <f>IF(AE24=4,AD71,0)</f>
        <v>0</v>
      </c>
      <c r="AF75" s="55">
        <f>SUM(B75:AE75)</f>
        <v>8</v>
      </c>
      <c r="AW75" s="58"/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2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2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2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2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8</v>
      </c>
      <c r="AW76" s="58"/>
    </row>
    <row r="77" spans="1:54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BB77" s="130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Augusta Elite 16 Fusion</v>
      </c>
      <c r="C79" s="67">
        <f>VLOOKUP(B79,AU$3:AY$12,3,FALSE)</f>
        <v>2258.8911105410434</v>
      </c>
      <c r="D79" s="67">
        <f>IF(B72,B87,IF(D72,D87,C79))</f>
        <v>2258.8911105410434</v>
      </c>
      <c r="E79" s="67"/>
      <c r="F79" s="67"/>
      <c r="G79" s="67">
        <f>IF(E72,E87,IF(G72,G87,D79))</f>
        <v>2277.3590133493872</v>
      </c>
      <c r="H79" s="67"/>
      <c r="I79" s="67"/>
      <c r="J79" s="67">
        <f>IF(H72,H87,IF(J72,J87,G79))</f>
        <v>2277.3590133493872</v>
      </c>
      <c r="K79" s="67"/>
      <c r="L79" s="67"/>
      <c r="M79" s="67">
        <f>IF(K72,K87,IF(M72,M87,J79))</f>
        <v>2277.3590133493872</v>
      </c>
      <c r="N79" s="67"/>
      <c r="O79" s="67"/>
      <c r="P79" s="67">
        <f>IF(N72,N87,IF(P72,P87,M79))</f>
        <v>2268.6551315070305</v>
      </c>
      <c r="Q79" s="67"/>
      <c r="R79" s="67"/>
      <c r="S79" s="67">
        <f>IF(Q72,Q87,IF(S72,S87,P79))</f>
        <v>2268.6551315070305</v>
      </c>
      <c r="T79" s="67"/>
      <c r="U79" s="67"/>
      <c r="V79" s="67">
        <f>IF(T72,T87,IF(V72,V87,S79))</f>
        <v>2268.6551315070305</v>
      </c>
      <c r="W79" s="67"/>
      <c r="X79" s="67"/>
      <c r="Y79" s="67">
        <f>IF(W72,W87,IF(Y72,Y87,V79))</f>
        <v>2303.0049229271676</v>
      </c>
      <c r="Z79" s="67"/>
      <c r="AA79" s="67"/>
      <c r="AB79" s="67">
        <f>IF(Z72,Z87,IF(AB72,AB87,Y79))</f>
        <v>2303.0049229271676</v>
      </c>
      <c r="AC79" s="67"/>
      <c r="AD79" s="67"/>
      <c r="AE79" s="67">
        <f>IF(AC72,AC87,IF(AE72,AE87,AB79))</f>
        <v>2325.7587268994484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Augusta Elite 16 Fusion</v>
      </c>
      <c r="AU79" s="63">
        <f>AE79</f>
        <v>2325.7587268994484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PEAK 16-Chip</v>
      </c>
      <c r="C80" s="67">
        <f>VLOOKUP(B80,AU$3:AY$12,3,FALSE)</f>
        <v>2200</v>
      </c>
      <c r="D80" s="67">
        <f>IF(B73,B87,IF(D73,D87,C80))</f>
        <v>2212.058033253521</v>
      </c>
      <c r="E80" s="67"/>
      <c r="F80" s="67"/>
      <c r="G80" s="67">
        <f>IF(E73,E87,IF(G73,G87,D80))</f>
        <v>2212.058033253521</v>
      </c>
      <c r="H80" s="67"/>
      <c r="I80" s="67"/>
      <c r="J80" s="67">
        <f>IF(H73,H87,IF(J73,J87,G80))</f>
        <v>2212.058033253521</v>
      </c>
      <c r="K80" s="67"/>
      <c r="L80" s="67"/>
      <c r="M80" s="67">
        <f>IF(K73,K87,IF(M73,M87,J80))</f>
        <v>2200.7428932177863</v>
      </c>
      <c r="N80" s="67"/>
      <c r="O80" s="67"/>
      <c r="P80" s="67">
        <f>IF(N73,N87,IF(P73,P87,M80))</f>
        <v>2200.7428932177863</v>
      </c>
      <c r="Q80" s="67"/>
      <c r="R80" s="67"/>
      <c r="S80" s="67">
        <f>IF(Q73,Q87,IF(S73,S87,P80))</f>
        <v>2200.7428932177863</v>
      </c>
      <c r="T80" s="67"/>
      <c r="U80" s="67"/>
      <c r="V80" s="67">
        <f>IF(T73,T87,IF(V73,V87,S80))</f>
        <v>2199.6729672333208</v>
      </c>
      <c r="W80" s="67"/>
      <c r="X80" s="67"/>
      <c r="Y80" s="67">
        <f>IF(W73,W87,IF(Y73,Y87,V80))</f>
        <v>2199.6729672333208</v>
      </c>
      <c r="Z80" s="67"/>
      <c r="AA80" s="67"/>
      <c r="AB80" s="67">
        <f>IF(Z73,Z87,IF(AB73,AB87,Y80))</f>
        <v>2199.6729672333208</v>
      </c>
      <c r="AC80" s="67"/>
      <c r="AD80" s="67"/>
      <c r="AE80" s="67">
        <f>IF(AC73,AC87,IF(AE73,AE87,AB80))</f>
        <v>2176.91916326104</v>
      </c>
      <c r="AF80" s="4"/>
      <c r="AG80" s="4"/>
      <c r="AJ80" s="4"/>
      <c r="AL80" s="4"/>
      <c r="AM80" s="4"/>
      <c r="AN80" s="4"/>
      <c r="AO80" s="4"/>
      <c r="AT80" s="63" t="str">
        <f>B80</f>
        <v>PEAK 16-Chip</v>
      </c>
      <c r="AU80" s="63">
        <f>AE80</f>
        <v>2176.91916326104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CHSElite 16-1</v>
      </c>
      <c r="C81" s="67">
        <f>VLOOKUP(B81,AU$3:AY$12,3,FALSE)</f>
        <v>2166.7229327282698</v>
      </c>
      <c r="D81" s="67">
        <f>IF(B74,B87,IF(D74,D87,C81))</f>
        <v>2166.7229327282698</v>
      </c>
      <c r="E81" s="67"/>
      <c r="F81" s="67"/>
      <c r="G81" s="67">
        <f>IF(E74,E87,IF(G74,G87,D81))</f>
        <v>2166.7229327282698</v>
      </c>
      <c r="H81" s="67"/>
      <c r="I81" s="67"/>
      <c r="J81" s="67">
        <f>IF(H74,H87,IF(J74,J87,G81))</f>
        <v>2180.4181059241096</v>
      </c>
      <c r="K81" s="67"/>
      <c r="L81" s="67"/>
      <c r="M81" s="67">
        <f>IF(K74,K87,IF(M74,M87,J81))</f>
        <v>2180.4181059241096</v>
      </c>
      <c r="N81" s="67"/>
      <c r="O81" s="67"/>
      <c r="P81" s="67">
        <f>IF(N74,N87,IF(P74,P87,M81))</f>
        <v>2189.1219877664662</v>
      </c>
      <c r="Q81" s="67"/>
      <c r="R81" s="67"/>
      <c r="S81" s="67">
        <f>IF(Q74,Q87,IF(S74,S87,P81))</f>
        <v>2189.1219877664662</v>
      </c>
      <c r="T81" s="67"/>
      <c r="U81" s="67"/>
      <c r="V81" s="67">
        <f>IF(T74,T87,IF(V74,V87,S81))</f>
        <v>2190.1919137509317</v>
      </c>
      <c r="W81" s="67"/>
      <c r="X81" s="67"/>
      <c r="Y81" s="67">
        <f>IF(W74,W87,IF(Y74,Y87,V81))</f>
        <v>2190.1919137509317</v>
      </c>
      <c r="Z81" s="67"/>
      <c r="AA81" s="67"/>
      <c r="AB81" s="67">
        <f>IF(Z74,Z87,IF(AB74,AB87,Y81))</f>
        <v>2183.1719405604113</v>
      </c>
      <c r="AC81" s="67"/>
      <c r="AD81" s="67"/>
      <c r="AE81" s="67">
        <f>IF(AC74,AC87,IF(AE74,AE87,AB81))</f>
        <v>2183.1719405604113</v>
      </c>
      <c r="AF81" s="4"/>
      <c r="AG81" s="4"/>
      <c r="AJ81" s="4"/>
      <c r="AL81" s="4"/>
      <c r="AM81" s="4"/>
      <c r="AN81" s="4"/>
      <c r="AO81" s="4"/>
      <c r="AT81" s="63" t="str">
        <f>B81</f>
        <v>CHSElite 16-1</v>
      </c>
      <c r="AU81" s="63">
        <f>AE81</f>
        <v>2183.1719405604113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Intense 16 Region Columb</v>
      </c>
      <c r="C82" s="67">
        <f>VLOOKUP(B82,AU$3:AY$12,3,FALSE)</f>
        <v>2102.1310809793767</v>
      </c>
      <c r="D82" s="67">
        <f>IF(B75,B87,IF(D75,D87,C82))</f>
        <v>2102.1310809793767</v>
      </c>
      <c r="E82" s="67"/>
      <c r="F82" s="67"/>
      <c r="G82" s="67">
        <f>IF(E75,E87,IF(G75,G87,D82))</f>
        <v>2083.663178171033</v>
      </c>
      <c r="H82" s="67"/>
      <c r="I82" s="67"/>
      <c r="J82" s="67">
        <f>IF(H75,H87,IF(J75,J87,G82))</f>
        <v>2083.663178171033</v>
      </c>
      <c r="K82" s="67"/>
      <c r="L82" s="67"/>
      <c r="M82" s="67">
        <f>IF(K75,K87,IF(M75,M87,J82))</f>
        <v>2094.9783182067677</v>
      </c>
      <c r="N82" s="67"/>
      <c r="O82" s="67"/>
      <c r="P82" s="67">
        <f>IF(N75,N87,IF(P75,P87,M82))</f>
        <v>2094.9783182067677</v>
      </c>
      <c r="Q82" s="67"/>
      <c r="R82" s="67"/>
      <c r="S82" s="67">
        <f>IF(Q75,Q87,IF(S75,S87,P82))</f>
        <v>2112.7142871395345</v>
      </c>
      <c r="T82" s="67"/>
      <c r="U82" s="67"/>
      <c r="V82" s="67">
        <f>IF(T75,T87,IF(V75,V87,S82))</f>
        <v>2112.7142871395345</v>
      </c>
      <c r="W82" s="67"/>
      <c r="X82" s="67"/>
      <c r="Y82" s="67">
        <f>IF(W75,W87,IF(Y75,Y87,V82))</f>
        <v>2112.7142871395345</v>
      </c>
      <c r="Z82" s="67"/>
      <c r="AA82" s="67"/>
      <c r="AB82" s="67">
        <f>IF(Z75,Z87,IF(AB75,AB87,Y82))</f>
        <v>2119.7342603300549</v>
      </c>
      <c r="AC82" s="67"/>
      <c r="AD82" s="67"/>
      <c r="AE82" s="67">
        <f>IF(AC75,AC87,IF(AE75,AE87,AB82))</f>
        <v>2119.7342603300549</v>
      </c>
      <c r="AF82" s="4"/>
      <c r="AG82" s="4"/>
      <c r="AJ82" s="4"/>
      <c r="AL82" s="4"/>
      <c r="AM82" s="4"/>
      <c r="AN82" s="4"/>
      <c r="AO82" s="4"/>
      <c r="AT82" s="63" t="str">
        <f>B82</f>
        <v>Intense 16 Region Columb</v>
      </c>
      <c r="AU82" s="63">
        <f>AE82</f>
        <v>2119.7342603300549</v>
      </c>
      <c r="AW82" s="66"/>
      <c r="BB82" s="66"/>
    </row>
    <row r="83" spans="1:54" s="63" customFormat="1" hidden="1" x14ac:dyDescent="0.2">
      <c r="A83" s="67">
        <v>5</v>
      </c>
      <c r="B83" s="67" t="str">
        <f>E16</f>
        <v>Sumter VBC 17-2</v>
      </c>
      <c r="C83" s="67">
        <f>VLOOKUP(B83,AU$3:AY$12,3,FALSE)</f>
        <v>2337.7028474617719</v>
      </c>
      <c r="D83" s="67">
        <f>IF(B76,B87,IF(D76,D87,C83))</f>
        <v>2325.6448142082509</v>
      </c>
      <c r="E83" s="67"/>
      <c r="F83" s="67"/>
      <c r="G83" s="67">
        <f>IF(E76,E87,IF(G76,G87,D83))</f>
        <v>2325.6448142082509</v>
      </c>
      <c r="H83" s="67"/>
      <c r="I83" s="67"/>
      <c r="J83" s="67">
        <f>IF(H76,H87,IF(J76,J87,G83))</f>
        <v>2311.9496410124111</v>
      </c>
      <c r="K83" s="67"/>
      <c r="L83" s="67"/>
      <c r="M83" s="67">
        <f>IF(K76,K87,IF(M76,M87,J83))</f>
        <v>2311.9496410124111</v>
      </c>
      <c r="N83" s="67"/>
      <c r="O83" s="67"/>
      <c r="P83" s="67">
        <f>IF(N76,N87,IF(P76,P87,M83))</f>
        <v>2311.9496410124111</v>
      </c>
      <c r="Q83" s="67"/>
      <c r="R83" s="67"/>
      <c r="S83" s="67">
        <f>IF(Q76,Q87,IF(S76,S87,P83))</f>
        <v>2294.2136720796443</v>
      </c>
      <c r="T83" s="67"/>
      <c r="U83" s="67"/>
      <c r="V83" s="67">
        <f>IF(T76,T87,IF(V76,V87,S83))</f>
        <v>2294.2136720796443</v>
      </c>
      <c r="W83" s="67"/>
      <c r="X83" s="67"/>
      <c r="Y83" s="67">
        <f>IF(W76,W87,IF(Y76,Y87,V83))</f>
        <v>2259.8638806595072</v>
      </c>
      <c r="Z83" s="67"/>
      <c r="AA83" s="67"/>
      <c r="AB83" s="67">
        <f>IF(Z76,Z87,IF(AB76,AB87,Y83))</f>
        <v>2259.8638806595072</v>
      </c>
      <c r="AC83" s="67"/>
      <c r="AD83" s="67"/>
      <c r="AE83" s="67">
        <f>IF(AC76,AC87,IF(AE76,AE87,AB83))</f>
        <v>2259.8638806595072</v>
      </c>
      <c r="AF83" s="4"/>
      <c r="AG83" s="4"/>
      <c r="AJ83" s="4"/>
      <c r="AL83" s="4"/>
      <c r="AM83" s="4"/>
      <c r="AN83" s="4"/>
      <c r="AO83" s="4"/>
      <c r="AT83" s="63" t="str">
        <f>B83</f>
        <v>Sumter VBC 17-2</v>
      </c>
      <c r="AU83" s="63">
        <f>AE83</f>
        <v>2259.8638806595072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2200</v>
      </c>
      <c r="C85" s="67">
        <v>1</v>
      </c>
      <c r="D85" s="67">
        <f>VLOOKUP(D24,$A79:$AE83,3,FALSE)</f>
        <v>2337.7028474617719</v>
      </c>
      <c r="E85" s="67">
        <f>VLOOKUP(E24,$A79:$AE83,4,FALSE)</f>
        <v>2258.8911105410434</v>
      </c>
      <c r="F85" s="67">
        <v>2</v>
      </c>
      <c r="G85" s="67">
        <f>VLOOKUP(G24,$A79:$AE83,4,FALSE)</f>
        <v>2102.1310809793767</v>
      </c>
      <c r="H85" s="67">
        <f>VLOOKUP(H24,$A79:$AE83,7,FALSE)</f>
        <v>2166.7229327282698</v>
      </c>
      <c r="I85" s="67">
        <v>3</v>
      </c>
      <c r="J85" s="67">
        <f>VLOOKUP(J24,$A79:$AE83,7,FALSE)</f>
        <v>2325.6448142082509</v>
      </c>
      <c r="K85" s="67">
        <f>VLOOKUP(K24,$A79:$AE83,10,FALSE)</f>
        <v>2212.058033253521</v>
      </c>
      <c r="L85" s="67">
        <v>4</v>
      </c>
      <c r="M85" s="67">
        <f>VLOOKUP(M24,$A79:$AE83,10,FALSE)</f>
        <v>2083.663178171033</v>
      </c>
      <c r="N85" s="67">
        <f>VLOOKUP(N24,$A79:$AE83,13,FALSE)</f>
        <v>2277.3590133493872</v>
      </c>
      <c r="O85" s="67">
        <v>5</v>
      </c>
      <c r="P85" s="67">
        <f>VLOOKUP(P24,$A79:$AE83,13,FALSE)</f>
        <v>2180.4181059241096</v>
      </c>
      <c r="Q85" s="67">
        <f>VLOOKUP(Q24,$A79:$AE83,16,FALSE)</f>
        <v>2094.9783182067677</v>
      </c>
      <c r="R85" s="67">
        <v>6</v>
      </c>
      <c r="S85" s="67">
        <f>VLOOKUP(S24,$A79:$AE83,16,FALSE)</f>
        <v>2311.9496410124111</v>
      </c>
      <c r="T85" s="67">
        <f>VLOOKUP(T24,$A79:$AE83,19,FALSE)</f>
        <v>2200.7428932177863</v>
      </c>
      <c r="U85" s="67">
        <v>7</v>
      </c>
      <c r="V85" s="67">
        <f>VLOOKUP(V24,$A79:$AE83,19,FALSE)</f>
        <v>2189.1219877664662</v>
      </c>
      <c r="W85" s="67">
        <f>VLOOKUP(W24,$A79:$AE83,22,FALSE)</f>
        <v>2268.6551315070305</v>
      </c>
      <c r="X85" s="67">
        <v>8</v>
      </c>
      <c r="Y85" s="67">
        <f>VLOOKUP(Y24,$A79:$AE83,22,FALSE)</f>
        <v>2294.2136720796443</v>
      </c>
      <c r="Z85" s="67">
        <f>VLOOKUP(Z24,$A79:$AE83,25,FALSE)</f>
        <v>2190.1919137509317</v>
      </c>
      <c r="AA85" s="67">
        <v>9</v>
      </c>
      <c r="AB85" s="67">
        <f>VLOOKUP(AB24,$A79:$AE83,25,FALSE)</f>
        <v>2112.7142871395345</v>
      </c>
      <c r="AC85" s="67">
        <f>VLOOKUP(AC24,$A79:$AE83,28,FALSE)</f>
        <v>2303.0049229271676</v>
      </c>
      <c r="AD85" s="67">
        <v>10</v>
      </c>
      <c r="AE85" s="67">
        <f>VLOOKUP(AE24,$A79:$AE83,28,FALSE)</f>
        <v>2199.6729672333208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0.62318646082747553</v>
      </c>
      <c r="C86" s="68"/>
      <c r="D86" s="68">
        <f>1/(1+(10^-((D85-B85)/400)))*(B36+D36)</f>
        <v>1.3768135391725245</v>
      </c>
      <c r="E86" s="68">
        <f>1/(1+(10^-((E85-G85)/400)))*(E36+G36)</f>
        <v>1.4228780372392527</v>
      </c>
      <c r="F86" s="68"/>
      <c r="G86" s="68">
        <f>1/(1+(10^-((G85-E85)/400)))*(E36+G36)</f>
        <v>0.57712196276074745</v>
      </c>
      <c r="H86" s="68">
        <f>1/(1+(10^-((H85-J85)/400)))*(H36+J36)</f>
        <v>0.5720258376300118</v>
      </c>
      <c r="I86" s="68"/>
      <c r="J86" s="68">
        <f>1/(1+(10^-((J85-H85)/400)))*(H36+J36)</f>
        <v>1.4279741623699882</v>
      </c>
      <c r="K86" s="68">
        <f>1/(1+(10^-((K85-M85)/400)))*(K36+M36)</f>
        <v>1.353598126116712</v>
      </c>
      <c r="L86" s="68"/>
      <c r="M86" s="68">
        <f>1/(1+(10^-((M85-K85)/400)))*(K36+M36)</f>
        <v>0.64640187388328796</v>
      </c>
      <c r="N86" s="68">
        <f>1/(1+(10^-((N85-P85)/400)))*(N36+P36)</f>
        <v>1.2719963075736456</v>
      </c>
      <c r="O86" s="68"/>
      <c r="P86" s="68">
        <f>1/(1+(10^-((P85-N85)/400)))*(N36+P36)</f>
        <v>0.72800369242635454</v>
      </c>
      <c r="Q86" s="68">
        <f>1/(1+(10^-((Q85-S85)/400)))*(Q36+S36)</f>
        <v>0.44575097085103821</v>
      </c>
      <c r="R86" s="68"/>
      <c r="S86" s="68">
        <f>1/(1+(10^-((S85-Q85)/400)))*(Q36+S36)</f>
        <v>1.5542490291489617</v>
      </c>
      <c r="T86" s="68">
        <f>1/(1+(10^-((T85-V85)/400)))*(T36+V36)</f>
        <v>1.0334351870145537</v>
      </c>
      <c r="U86" s="68"/>
      <c r="V86" s="68">
        <f>1/(1+(10^-((V85-T85)/400)))*(T36+V36)</f>
        <v>0.96656481298544628</v>
      </c>
      <c r="W86" s="68">
        <f>1/(1+(10^-((W85-Y85)/400)))*(W36+Y36)</f>
        <v>0.92656901812071935</v>
      </c>
      <c r="X86" s="68"/>
      <c r="Y86" s="68">
        <f>1/(1+(10^-((Y85-W85)/400)))*(W36+Y36)</f>
        <v>1.0734309818792807</v>
      </c>
      <c r="Z86" s="68">
        <f>1/(1+(10^-((Z85-AB85)/400)))*(Z36+AB36)</f>
        <v>1.2193741622037702</v>
      </c>
      <c r="AA86" s="68"/>
      <c r="AB86" s="68">
        <f>1/(1+(10^-((AB85-Z85)/400)))*(Z36+AB36)</f>
        <v>0.78062583779622974</v>
      </c>
      <c r="AC86" s="68">
        <f>1/(1+(10^-((AC85-AE85)/400)))*(AC36+AE36)</f>
        <v>1.2889436258662201</v>
      </c>
      <c r="AD86" s="68"/>
      <c r="AE86" s="68">
        <f>1/(1+(10^-((AE85-AC85)/400)))*(AC36+AE36)</f>
        <v>0.71105637413377998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2212.058033253521</v>
      </c>
      <c r="C87" s="74"/>
      <c r="D87" s="74">
        <f>D85+(D36-D86)*$BA$1</f>
        <v>2325.6448142082509</v>
      </c>
      <c r="E87" s="74">
        <f>E85+(E36-E86)*$BA$1</f>
        <v>2277.3590133493872</v>
      </c>
      <c r="F87" s="74"/>
      <c r="G87" s="74">
        <f>G85+(G36-G86)*$BA$1</f>
        <v>2083.663178171033</v>
      </c>
      <c r="H87" s="74">
        <f>H85+(H36-H86)*$BA$1</f>
        <v>2180.4181059241096</v>
      </c>
      <c r="I87" s="74"/>
      <c r="J87" s="74">
        <f>J85+(J36-J86)*$BA$1</f>
        <v>2311.9496410124111</v>
      </c>
      <c r="K87" s="74">
        <f>K85+(K36-K86)*$BA$1</f>
        <v>2200.7428932177863</v>
      </c>
      <c r="L87" s="74"/>
      <c r="M87" s="74">
        <f>M85+(M36-M86)*$BA$1</f>
        <v>2094.9783182067677</v>
      </c>
      <c r="N87" s="74">
        <f>N85+(N36-N86)*$BA$1</f>
        <v>2268.6551315070305</v>
      </c>
      <c r="O87" s="74"/>
      <c r="P87" s="74">
        <f>P85+(P36-P86)*$BA$1</f>
        <v>2189.1219877664662</v>
      </c>
      <c r="Q87" s="74">
        <f>Q85+(Q36-Q86)*$BA$1</f>
        <v>2112.7142871395345</v>
      </c>
      <c r="R87" s="74"/>
      <c r="S87" s="74">
        <f>S85+(S36-S86)*$BA$1</f>
        <v>2294.2136720796443</v>
      </c>
      <c r="T87" s="74">
        <f>T85+(T36-T86)*$BA$1</f>
        <v>2199.6729672333208</v>
      </c>
      <c r="U87" s="74"/>
      <c r="V87" s="74">
        <f>V85+(V36-V86)*$BA$1</f>
        <v>2190.1919137509317</v>
      </c>
      <c r="W87" s="74">
        <f>W85+(W36-W86)*$BA$1</f>
        <v>2303.0049229271676</v>
      </c>
      <c r="X87" s="74"/>
      <c r="Y87" s="74">
        <f>Y85+(Y36-Y86)*$BA$1</f>
        <v>2259.8638806595072</v>
      </c>
      <c r="Z87" s="74">
        <f>Z85+(Z36-Z86)*$BA$1</f>
        <v>2183.1719405604113</v>
      </c>
      <c r="AA87" s="74"/>
      <c r="AB87" s="74">
        <f>AB85+(AB36-AB86)*$BA$1</f>
        <v>2119.7342603300549</v>
      </c>
      <c r="AC87" s="74">
        <f>AC85+(AC36-AC86)*$BA$1</f>
        <v>2325.7587268994484</v>
      </c>
      <c r="AD87" s="74"/>
      <c r="AE87" s="74">
        <f>AE85+(AE36-AE86)*$BA$1</f>
        <v>2176.91916326104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  <c r="AW89" s="66"/>
    </row>
    <row r="90" spans="1:54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W90" s="66"/>
    </row>
    <row r="91" spans="1:54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Games Won</v>
      </c>
      <c r="M92" s="255"/>
      <c r="N92" s="255"/>
      <c r="O92" s="255"/>
      <c r="P92" s="255"/>
      <c r="Q92" s="256"/>
      <c r="R92" s="254" t="str">
        <f>IF($AK95=0,"Games Lost","Matches Lost")</f>
        <v>Games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LAVA 16U Purple</v>
      </c>
      <c r="F93" s="233"/>
      <c r="G93" s="233"/>
      <c r="H93" s="233"/>
      <c r="I93" s="233"/>
      <c r="J93" s="233"/>
      <c r="K93" s="234"/>
      <c r="L93" s="235">
        <f>IF($AK95=0,AF149,AF131)</f>
        <v>8</v>
      </c>
      <c r="M93" s="236"/>
      <c r="N93" s="236"/>
      <c r="O93" s="236"/>
      <c r="P93" s="236"/>
      <c r="Q93" s="256"/>
      <c r="R93" s="235">
        <f>IF($AK95=0,AG149,AG131)</f>
        <v>0</v>
      </c>
      <c r="S93" s="236"/>
      <c r="T93" s="236"/>
      <c r="U93" s="236"/>
      <c r="V93" s="236"/>
      <c r="W93" s="235">
        <f>AQ109</f>
        <v>88</v>
      </c>
      <c r="X93" s="236"/>
      <c r="Y93" s="236"/>
      <c r="Z93" s="239">
        <f>IF(AF143&gt;0,(AQ109/AF143),0)</f>
        <v>0.44</v>
      </c>
      <c r="AA93" s="240"/>
      <c r="AB93" s="240"/>
      <c r="AC93" s="262">
        <f>IF(AF157=0,0,(AF149/AF157))</f>
        <v>1</v>
      </c>
      <c r="AD93" s="263"/>
      <c r="AE93" s="264"/>
      <c r="AF93" s="268">
        <v>1</v>
      </c>
      <c r="AG93" s="268">
        <v>1</v>
      </c>
      <c r="AH93" s="270">
        <v>1</v>
      </c>
      <c r="AI93" s="271"/>
      <c r="AJ93" s="27"/>
      <c r="AK93" s="28">
        <v>10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228"/>
      <c r="B94" s="274" t="s">
        <v>11</v>
      </c>
      <c r="C94" s="275"/>
      <c r="D94" s="276"/>
      <c r="E94" s="277" t="str">
        <f>AV4</f>
        <v>fj6lavaf1cr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5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Kershaw 16 White</v>
      </c>
      <c r="F95" s="233"/>
      <c r="G95" s="233"/>
      <c r="H95" s="233"/>
      <c r="I95" s="233"/>
      <c r="J95" s="233"/>
      <c r="K95" s="234"/>
      <c r="L95" s="235">
        <f>IF($AK95=0,AF150,AF132)</f>
        <v>1</v>
      </c>
      <c r="M95" s="236"/>
      <c r="N95" s="236"/>
      <c r="O95" s="236"/>
      <c r="P95" s="236"/>
      <c r="Q95" s="256"/>
      <c r="R95" s="235">
        <f>IF($AK95=0,AG150,AG132)</f>
        <v>7</v>
      </c>
      <c r="S95" s="236"/>
      <c r="T95" s="236"/>
      <c r="U95" s="236"/>
      <c r="V95" s="236"/>
      <c r="W95" s="235">
        <f>AQ110</f>
        <v>-58</v>
      </c>
      <c r="X95" s="236"/>
      <c r="Y95" s="236"/>
      <c r="Z95" s="239">
        <f>IF(AF144&gt;0,(AQ110/AF144),0)</f>
        <v>-0.28999999999999998</v>
      </c>
      <c r="AA95" s="240"/>
      <c r="AB95" s="240"/>
      <c r="AC95" s="262">
        <f>IF(AF158=0,0,(AF150/AF158))</f>
        <v>0.125</v>
      </c>
      <c r="AD95" s="263"/>
      <c r="AE95" s="264"/>
      <c r="AF95" s="268">
        <v>5</v>
      </c>
      <c r="AG95" s="268">
        <v>5</v>
      </c>
      <c r="AH95" s="270">
        <v>10</v>
      </c>
      <c r="AI95" s="271"/>
      <c r="AJ95" s="27"/>
      <c r="AK95" s="28">
        <v>0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228"/>
      <c r="B96" s="284" t="s">
        <v>11</v>
      </c>
      <c r="C96" s="285"/>
      <c r="D96" s="285"/>
      <c r="E96" s="277" t="str">
        <f>AV5</f>
        <v>fj6kersh2pm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PEAK 16-Andy</v>
      </c>
      <c r="F97" s="233"/>
      <c r="G97" s="233"/>
      <c r="H97" s="233"/>
      <c r="I97" s="233"/>
      <c r="J97" s="233"/>
      <c r="K97" s="234"/>
      <c r="L97" s="235">
        <f>IF($AK95=0,AF151,AF133)</f>
        <v>6</v>
      </c>
      <c r="M97" s="236"/>
      <c r="N97" s="236"/>
      <c r="O97" s="236"/>
      <c r="P97" s="236"/>
      <c r="Q97" s="256"/>
      <c r="R97" s="235">
        <f>IF($AK95=0,AG151,AG133)</f>
        <v>2</v>
      </c>
      <c r="S97" s="236"/>
      <c r="T97" s="236"/>
      <c r="U97" s="236"/>
      <c r="V97" s="236"/>
      <c r="W97" s="235">
        <f>AQ111</f>
        <v>41</v>
      </c>
      <c r="X97" s="236"/>
      <c r="Y97" s="236"/>
      <c r="Z97" s="239">
        <f>IF(AF145&gt;0,(AQ111/AF145),0)</f>
        <v>0.20499999999999999</v>
      </c>
      <c r="AA97" s="240"/>
      <c r="AB97" s="240"/>
      <c r="AC97" s="262">
        <f>IF(AF159=0,0,(AF151/AF159))</f>
        <v>0.75</v>
      </c>
      <c r="AD97" s="263"/>
      <c r="AE97" s="264"/>
      <c r="AF97" s="268">
        <v>2</v>
      </c>
      <c r="AG97" s="268">
        <v>1</v>
      </c>
      <c r="AH97" s="270">
        <v>2</v>
      </c>
      <c r="AI97" s="271"/>
      <c r="AJ97" s="31"/>
      <c r="AK97" s="28">
        <v>8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fj6cpeak5cr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VolleyOneAcademy 16-Amy</v>
      </c>
      <c r="F99" s="233"/>
      <c r="G99" s="233"/>
      <c r="H99" s="233"/>
      <c r="I99" s="233"/>
      <c r="J99" s="233"/>
      <c r="K99" s="234"/>
      <c r="L99" s="235">
        <f>IF($AK95=0,AF152,AF134)</f>
        <v>4</v>
      </c>
      <c r="M99" s="236"/>
      <c r="N99" s="236"/>
      <c r="O99" s="236"/>
      <c r="P99" s="236"/>
      <c r="Q99" s="256"/>
      <c r="R99" s="235">
        <f>IF($AK95=0,AG152,AG134)</f>
        <v>4</v>
      </c>
      <c r="S99" s="236"/>
      <c r="T99" s="236"/>
      <c r="U99" s="236"/>
      <c r="V99" s="236"/>
      <c r="W99" s="235">
        <f>AQ112</f>
        <v>-18</v>
      </c>
      <c r="X99" s="236"/>
      <c r="Y99" s="236"/>
      <c r="Z99" s="239">
        <f>IF(AF146&gt;0,(AQ112/AF146),0)</f>
        <v>-0.09</v>
      </c>
      <c r="AA99" s="240"/>
      <c r="AB99" s="240"/>
      <c r="AC99" s="262">
        <f>IF(AF160=0,0,(AF152/AF160))</f>
        <v>0.5</v>
      </c>
      <c r="AD99" s="263"/>
      <c r="AE99" s="264"/>
      <c r="AF99" s="268">
        <v>3</v>
      </c>
      <c r="AG99" s="268">
        <v>1</v>
      </c>
      <c r="AH99" s="270">
        <v>5</v>
      </c>
      <c r="AI99" s="271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fj6vonea1pm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227" t="str">
        <f>IF($AK94&gt;4,"5","")</f>
        <v>5</v>
      </c>
      <c r="B101" s="286" t="s">
        <v>10</v>
      </c>
      <c r="C101" s="287"/>
      <c r="D101" s="287"/>
      <c r="E101" s="232" t="str">
        <f>AU12</f>
        <v>Statesboro 16s</v>
      </c>
      <c r="F101" s="233"/>
      <c r="G101" s="233"/>
      <c r="H101" s="233"/>
      <c r="I101" s="233"/>
      <c r="J101" s="233"/>
      <c r="K101" s="234"/>
      <c r="L101" s="235">
        <f>IF($AK95=0,AF153,AF135)</f>
        <v>1</v>
      </c>
      <c r="M101" s="236"/>
      <c r="N101" s="236"/>
      <c r="O101" s="236"/>
      <c r="P101" s="236"/>
      <c r="Q101" s="256"/>
      <c r="R101" s="235">
        <f>IF($AK95=0,AG153,AG135)</f>
        <v>7</v>
      </c>
      <c r="S101" s="236"/>
      <c r="T101" s="236"/>
      <c r="U101" s="236"/>
      <c r="V101" s="236"/>
      <c r="W101" s="235">
        <f>AQ113</f>
        <v>-53</v>
      </c>
      <c r="X101" s="236"/>
      <c r="Y101" s="236"/>
      <c r="Z101" s="239">
        <f>IF(AF147&gt;0,(AQ113/AF147),0)</f>
        <v>-0.26500000000000001</v>
      </c>
      <c r="AA101" s="240"/>
      <c r="AB101" s="240"/>
      <c r="AC101" s="262">
        <f>IF(AF161=0,0,(AF153/AF161))</f>
        <v>0.125</v>
      </c>
      <c r="AD101" s="263"/>
      <c r="AE101" s="264"/>
      <c r="AF101" s="268">
        <v>4</v>
      </c>
      <c r="AG101" s="268">
        <v>5</v>
      </c>
      <c r="AH101" s="270">
        <v>7</v>
      </c>
      <c r="AI101" s="271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410" t="str">
        <f>AV12</f>
        <v>FJ6SVAVC1SO</v>
      </c>
      <c r="F102" s="411"/>
      <c r="G102" s="411"/>
      <c r="H102" s="411"/>
      <c r="I102" s="411"/>
      <c r="J102" s="411"/>
      <c r="K102" s="411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305" t="s">
        <v>65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thickTop="1" x14ac:dyDescent="0.2">
      <c r="A104" s="4" t="s">
        <v>66</v>
      </c>
      <c r="B104" s="308">
        <v>0.35416666666666669</v>
      </c>
      <c r="C104" s="309"/>
      <c r="D104" s="310"/>
      <c r="E104" s="308">
        <v>0.38541666666666669</v>
      </c>
      <c r="F104" s="309"/>
      <c r="G104" s="310"/>
      <c r="H104" s="308">
        <v>0.41666666666666669</v>
      </c>
      <c r="I104" s="309"/>
      <c r="J104" s="310"/>
      <c r="K104" s="308">
        <v>0.44791666666666669</v>
      </c>
      <c r="L104" s="309"/>
      <c r="M104" s="310"/>
      <c r="N104" s="308">
        <v>0.47916666666666669</v>
      </c>
      <c r="O104" s="309"/>
      <c r="P104" s="310"/>
      <c r="Q104" s="308">
        <v>0.51041666666666663</v>
      </c>
      <c r="R104" s="309"/>
      <c r="S104" s="310"/>
      <c r="T104" s="308">
        <v>4.1666666666666664E-2</v>
      </c>
      <c r="U104" s="309"/>
      <c r="V104" s="310"/>
      <c r="W104" s="308">
        <v>7.2916666666666671E-2</v>
      </c>
      <c r="X104" s="309"/>
      <c r="Y104" s="310"/>
      <c r="Z104" s="308">
        <v>0.10416666666666667</v>
      </c>
      <c r="AA104" s="309"/>
      <c r="AB104" s="310"/>
      <c r="AC104" s="308">
        <v>0.13541666666666666</v>
      </c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>
        <v>0.36388888888888887</v>
      </c>
      <c r="C105" s="320"/>
      <c r="D105" s="321"/>
      <c r="E105" s="319">
        <v>0.39930555555555558</v>
      </c>
      <c r="F105" s="320"/>
      <c r="G105" s="321"/>
      <c r="H105" s="319">
        <v>0.42708333333333331</v>
      </c>
      <c r="I105" s="320"/>
      <c r="J105" s="321"/>
      <c r="K105" s="319">
        <v>0.45624999999999999</v>
      </c>
      <c r="L105" s="320"/>
      <c r="M105" s="321"/>
      <c r="N105" s="319">
        <v>0.4909722222222222</v>
      </c>
      <c r="O105" s="320"/>
      <c r="P105" s="321"/>
      <c r="Q105" s="319">
        <v>0.52638888888888891</v>
      </c>
      <c r="R105" s="320"/>
      <c r="S105" s="321"/>
      <c r="T105" s="319">
        <v>0.55625000000000002</v>
      </c>
      <c r="U105" s="320"/>
      <c r="V105" s="321"/>
      <c r="W105" s="319">
        <v>0.58680555555555558</v>
      </c>
      <c r="X105" s="320"/>
      <c r="Y105" s="321"/>
      <c r="Z105" s="319">
        <v>0.6166666666666667</v>
      </c>
      <c r="AA105" s="320"/>
      <c r="AB105" s="321"/>
      <c r="AC105" s="319">
        <v>0.64930555555555558</v>
      </c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>
        <v>0.38541666666666669</v>
      </c>
      <c r="C106" s="320"/>
      <c r="D106" s="321"/>
      <c r="E106" s="319">
        <v>0.41666666666666669</v>
      </c>
      <c r="F106" s="320"/>
      <c r="G106" s="321"/>
      <c r="H106" s="319">
        <v>0.44722222222222219</v>
      </c>
      <c r="I106" s="320"/>
      <c r="J106" s="321"/>
      <c r="K106" s="319">
        <v>0.48125000000000001</v>
      </c>
      <c r="L106" s="320"/>
      <c r="M106" s="321"/>
      <c r="N106" s="319">
        <v>0.51944444444444449</v>
      </c>
      <c r="O106" s="320"/>
      <c r="P106" s="321"/>
      <c r="Q106" s="319">
        <v>0.54722222222222217</v>
      </c>
      <c r="R106" s="320"/>
      <c r="S106" s="321"/>
      <c r="T106" s="319">
        <v>0.57638888888888895</v>
      </c>
      <c r="U106" s="320"/>
      <c r="V106" s="321"/>
      <c r="W106" s="319">
        <v>0.60833333333333328</v>
      </c>
      <c r="X106" s="320"/>
      <c r="Y106" s="321"/>
      <c r="Z106" s="319">
        <v>0.63958333333333328</v>
      </c>
      <c r="AA106" s="320"/>
      <c r="AB106" s="321"/>
      <c r="AC106" s="319">
        <v>0.6645833333333333</v>
      </c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7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>Match 7</v>
      </c>
      <c r="U107" s="323"/>
      <c r="V107" s="324"/>
      <c r="W107" s="322" t="str">
        <f>IF(AK93&gt;7,"Match 8","")</f>
        <v>Match 8</v>
      </c>
      <c r="X107" s="323"/>
      <c r="Y107" s="324"/>
      <c r="Z107" s="322" t="str">
        <f>IF(AK93&gt;8,"Match 9","")</f>
        <v>Match 9</v>
      </c>
      <c r="AA107" s="323"/>
      <c r="AB107" s="324"/>
      <c r="AC107" s="322" t="str">
        <f>IF(AK93&gt;9,"Match 10","")</f>
        <v>Match 10</v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7"/>
      <c r="B108" s="325" t="s">
        <v>71</v>
      </c>
      <c r="C108" s="326"/>
      <c r="D108" s="327"/>
      <c r="E108" s="325" t="s">
        <v>72</v>
      </c>
      <c r="F108" s="326"/>
      <c r="G108" s="327"/>
      <c r="H108" s="325" t="s">
        <v>73</v>
      </c>
      <c r="I108" s="326"/>
      <c r="J108" s="327"/>
      <c r="K108" s="325" t="s">
        <v>74</v>
      </c>
      <c r="L108" s="326"/>
      <c r="M108" s="327"/>
      <c r="N108" s="325" t="s">
        <v>75</v>
      </c>
      <c r="O108" s="326"/>
      <c r="P108" s="327"/>
      <c r="Q108" s="325" t="s">
        <v>73</v>
      </c>
      <c r="R108" s="326"/>
      <c r="S108" s="327"/>
      <c r="T108" s="325" t="s">
        <v>71</v>
      </c>
      <c r="U108" s="326"/>
      <c r="V108" s="327"/>
      <c r="W108" s="325" t="s">
        <v>75</v>
      </c>
      <c r="X108" s="326"/>
      <c r="Y108" s="327"/>
      <c r="Z108" s="325" t="s">
        <v>74</v>
      </c>
      <c r="AA108" s="326"/>
      <c r="AB108" s="327"/>
      <c r="AC108" s="325" t="s">
        <v>72</v>
      </c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25</v>
      </c>
      <c r="AI109" s="48" t="str">
        <f>IF(AK94&lt;1,"",IF(AK93&lt;3,"",IF(H109=1,H115-J115,IF(J109=1,J115-H115,""))))</f>
        <v/>
      </c>
      <c r="AJ109" s="48" t="str">
        <f>IF(AK94&lt;1,"",IF(AK93&lt;4,"",IF(K109=1,K115-M115,IF(M109=1,M115-K115,""))))</f>
        <v/>
      </c>
      <c r="AK109" s="48">
        <f>IF(AK94&lt;1,"",IF(AK93&lt;5,"",IF(N109=1,N115-P115,IF(P109=1,P115-N115,""))))</f>
        <v>14</v>
      </c>
      <c r="AL109" s="48" t="str">
        <f>IF(AK94&lt;1,"",IF(AK93&lt;6,"",IF(Q109=1,Q115-S115,IF(S109=1,S115-Q115,""))))</f>
        <v/>
      </c>
      <c r="AM109" s="48" t="str">
        <f>IF(AK94&lt;1,"",IF(AK93&lt;7,"",IF(T109=1,T115-V115,IF(V109=1,V115-T115,""))))</f>
        <v/>
      </c>
      <c r="AN109" s="48">
        <f>IF(AK94&lt;1,"",IF(AK93&lt;8,"",IF(W109=1,W115-Y115,IF(Y109=1,Y115-W115,""))))</f>
        <v>19</v>
      </c>
      <c r="AO109" s="48" t="str">
        <f>IF(AK94&lt;1,"",IF(AK93&lt;9,"",IF(Z109=1,Z115-AB115,IF(AB109=1,AB115-Z115,""))))</f>
        <v/>
      </c>
      <c r="AP109" s="48">
        <f>IF(AK94&lt;1,"",IF(AK93&lt;10,"",IF(AC109=1,AC115-AE115,IF(AE109=1,AE115-AC115,""))))</f>
        <v>30</v>
      </c>
      <c r="AQ109" s="44">
        <f>SUM(AG109:AP109)</f>
        <v>88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19</v>
      </c>
      <c r="E110" s="49">
        <v>25</v>
      </c>
      <c r="F110" s="50" t="str">
        <f>IF(AK93&gt;1,"/","")</f>
        <v>/</v>
      </c>
      <c r="G110" s="51">
        <v>10</v>
      </c>
      <c r="H110" s="49">
        <v>25</v>
      </c>
      <c r="I110" s="50" t="str">
        <f>IF(AK93&gt;2,"/","")</f>
        <v>/</v>
      </c>
      <c r="J110" s="51">
        <v>14</v>
      </c>
      <c r="K110" s="49">
        <v>21</v>
      </c>
      <c r="L110" s="50" t="str">
        <f>IF(AK93&gt;3,"/","")</f>
        <v>/</v>
      </c>
      <c r="M110" s="51">
        <v>25</v>
      </c>
      <c r="N110" s="49">
        <v>25</v>
      </c>
      <c r="O110" s="50" t="str">
        <f>IF(AK93&gt;4,"/","")</f>
        <v>/</v>
      </c>
      <c r="P110" s="51">
        <v>15</v>
      </c>
      <c r="Q110" s="49">
        <v>25</v>
      </c>
      <c r="R110" s="50" t="str">
        <f>IF(AK93&gt;5,"/","")</f>
        <v>/</v>
      </c>
      <c r="S110" s="51">
        <v>20</v>
      </c>
      <c r="T110" s="49">
        <v>15</v>
      </c>
      <c r="U110" s="50" t="str">
        <f>IF(AK93&gt;6,"/","")</f>
        <v>/</v>
      </c>
      <c r="V110" s="51">
        <v>25</v>
      </c>
      <c r="W110" s="49">
        <v>25</v>
      </c>
      <c r="X110" s="50" t="str">
        <f>IF(AK93&gt;7,"/","")</f>
        <v>/</v>
      </c>
      <c r="Y110" s="51">
        <v>15</v>
      </c>
      <c r="Z110" s="49">
        <v>25</v>
      </c>
      <c r="AA110" s="50" t="str">
        <f>IF(AK93&gt;8,"/","")</f>
        <v>/</v>
      </c>
      <c r="AB110" s="51">
        <v>15</v>
      </c>
      <c r="AC110" s="49">
        <v>25</v>
      </c>
      <c r="AD110" s="50" t="str">
        <f>IF(AK93&gt;9,"/","")</f>
        <v>/</v>
      </c>
      <c r="AE110" s="51">
        <v>10</v>
      </c>
      <c r="AF110" s="42" t="str">
        <f>IF(AK94&gt;1,"Team 2","")</f>
        <v>Team 2</v>
      </c>
      <c r="AG110" s="48">
        <f>IF(AK94&lt;2,"",IF(AK93&lt;1,"",IF(B109=2,B115-D115,IF(D109=2,D115-B115,""))))</f>
        <v>0</v>
      </c>
      <c r="AH110" s="48" t="str">
        <f>IF(AK94&lt;2,"",IF(AK93&lt;2,"",IF(E109=2,E115-G115,IF(G109=2,G115-E115,""))))</f>
        <v/>
      </c>
      <c r="AI110" s="48" t="str">
        <f>IF(AK94&lt;2,"",IF(AK93&lt;3,"",IF(H109=2,H115-J115,IF(J109=2,J115-H115,""))))</f>
        <v/>
      </c>
      <c r="AJ110" s="48">
        <f>IF(AK94&lt;2,"",IF(AK93&lt;4,"",IF(K109=2,K115-M115,IF(M109=2,M115-K115,""))))</f>
        <v>-11</v>
      </c>
      <c r="AK110" s="48" t="str">
        <f>IF(AK94&lt;2,"",IF(AK93&lt;5,"",IF(N109=2,N115-P115,IF(P109=2,P115-N115,""))))</f>
        <v/>
      </c>
      <c r="AL110" s="48" t="str">
        <f>IF(AK94&lt;2,"",IF(AK93&lt;6,"",IF(Q109=2,Q115-S115,IF(S109=2,S115-Q115,""))))</f>
        <v/>
      </c>
      <c r="AM110" s="48">
        <f>IF(AK94&lt;2,"",IF(AK93&lt;7,"",IF(T109=2,T115-V115,IF(V109=2,V115-T115,""))))</f>
        <v>-17</v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>
        <f>IF(AK94&lt;2,"",IF(AK93&lt;10,"",IF(AC109=2,AC115-AE115,IF(AE109=2,AE115-AC115,""))))</f>
        <v>-30</v>
      </c>
      <c r="AQ110" s="44">
        <f>SUM(AG110:AP110)</f>
        <v>-58</v>
      </c>
    </row>
    <row r="111" spans="1:44" ht="15" x14ac:dyDescent="0.2">
      <c r="A111" s="3" t="str">
        <f>IF(AK92&gt;1,"Game 2","")</f>
        <v>Game 2</v>
      </c>
      <c r="B111" s="49">
        <v>19</v>
      </c>
      <c r="C111" s="50" t="s">
        <v>80</v>
      </c>
      <c r="D111" s="51">
        <v>25</v>
      </c>
      <c r="E111" s="49">
        <v>25</v>
      </c>
      <c r="F111" s="50" t="str">
        <f>IF(AK93&gt;1,IF(AK92&gt;1,"/",""),"")</f>
        <v>/</v>
      </c>
      <c r="G111" s="51">
        <v>15</v>
      </c>
      <c r="H111" s="49">
        <v>25</v>
      </c>
      <c r="I111" s="50" t="str">
        <f>IF(AK93&gt;2,IF(AK92&gt;1,"/",""),"")</f>
        <v>/</v>
      </c>
      <c r="J111" s="51">
        <v>12</v>
      </c>
      <c r="K111" s="49">
        <v>18</v>
      </c>
      <c r="L111" s="50" t="str">
        <f>IF(AK93&gt;3,IF(AK92&gt;1,"/",""),"")</f>
        <v>/</v>
      </c>
      <c r="M111" s="51">
        <v>25</v>
      </c>
      <c r="N111" s="49">
        <v>25</v>
      </c>
      <c r="O111" s="50" t="str">
        <f>IF(AK93&gt;4,IF(AK92&gt;1,"/",""),"")</f>
        <v>/</v>
      </c>
      <c r="P111" s="51">
        <v>21</v>
      </c>
      <c r="Q111" s="49">
        <v>25</v>
      </c>
      <c r="R111" s="50" t="str">
        <f>IF(AK93&gt;5,IF(AK92&gt;1,"/",""),"")</f>
        <v>/</v>
      </c>
      <c r="S111" s="51">
        <v>20</v>
      </c>
      <c r="T111" s="49">
        <v>18</v>
      </c>
      <c r="U111" s="50" t="str">
        <f>IF(AK93&gt;6,IF(AK92&gt;1,"/",""),"")</f>
        <v>/</v>
      </c>
      <c r="V111" s="51">
        <v>25</v>
      </c>
      <c r="W111" s="49">
        <v>25</v>
      </c>
      <c r="X111" s="50" t="str">
        <f>IF(AK93&gt;7,IF(AK92&gt;1,"/",""),"")</f>
        <v>/</v>
      </c>
      <c r="Y111" s="51">
        <v>16</v>
      </c>
      <c r="Z111" s="49">
        <v>25</v>
      </c>
      <c r="AA111" s="50" t="str">
        <f>IF(AK93&gt;8,IF(AK92&gt;1,"/",""),"")</f>
        <v>/</v>
      </c>
      <c r="AB111" s="51">
        <v>21</v>
      </c>
      <c r="AC111" s="49">
        <v>25</v>
      </c>
      <c r="AD111" s="50" t="str">
        <f>IF(AK93&gt;9,IF(AK92&gt;1,"/",""),"")</f>
        <v>/</v>
      </c>
      <c r="AE111" s="51">
        <v>10</v>
      </c>
      <c r="AF111" s="42" t="str">
        <f>IF(AK94&gt;2,"Team 3","")</f>
        <v>Team 3</v>
      </c>
      <c r="AG111" s="48" t="str">
        <f>IF(AK94&lt;3,"",IF(AK93&lt;1,"",IF(B109=3,B115-D115,IF(D109=3,D115-B115,""))))</f>
        <v/>
      </c>
      <c r="AH111" s="48" t="str">
        <f>IF(AK94&lt;3,"",IF(AK93&lt;2,"",IF(E109=3,E115-G115,IF(G109=3,G115-E115,""))))</f>
        <v/>
      </c>
      <c r="AI111" s="48">
        <f>IF(AK94&lt;3,"",IF(AK93&lt;3,"",IF(H109=3,H115-J115,IF(J109=3,J115-H115,""))))</f>
        <v>24</v>
      </c>
      <c r="AJ111" s="48" t="str">
        <f>IF(AK94&lt;3,"",IF(AK93&lt;4,"",IF(K109=3,K115-M115,IF(M109=3,M115-K115,""))))</f>
        <v/>
      </c>
      <c r="AK111" s="48">
        <f>IF(AK94&lt;3,"",IF(AK93&lt;5,"",IF(N109=3,N115-P115,IF(P109=3,P115-N115,""))))</f>
        <v>-14</v>
      </c>
      <c r="AL111" s="48" t="str">
        <f>IF(AK94&lt;3,"",IF(AK93&lt;6,"",IF(Q109=3,Q115-S115,IF(S109=3,S115-Q115,""))))</f>
        <v/>
      </c>
      <c r="AM111" s="48">
        <f>IF(AK94&lt;3,"",IF(AK93&lt;7,"",IF(T109=3,T115-V115,IF(V109=3,V115-T115,""))))</f>
        <v>17</v>
      </c>
      <c r="AN111" s="48" t="str">
        <f>IF(AK94&lt;3,"",IF(AK93&lt;8,"",IF(W109=3,W115-Y115,IF(Y109=3,Y115-W115,""))))</f>
        <v/>
      </c>
      <c r="AO111" s="48">
        <f>IF(AK94&lt;3,"",IF(AK93&lt;9,"",IF(Z109=3,Z115-AB115,IF(AB109=3,AB115-Z115,""))))</f>
        <v>14</v>
      </c>
      <c r="AP111" s="48" t="str">
        <f>IF(AK94&lt;3,"",IF(AK93&lt;9,"",IF(AC109=3,AC115-AE115,IF(AE109=3,AE115-AC115,""))))</f>
        <v/>
      </c>
      <c r="AQ111" s="44">
        <f>SUM(AG111:AP111)</f>
        <v>41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-25</v>
      </c>
      <c r="AI112" s="48" t="str">
        <f>IF(AK94&lt;4,"",IF(AK93&lt;3,"",IF(H109=4,H115-J115,IF(J109=4,J115-H115,""))))</f>
        <v/>
      </c>
      <c r="AJ112" s="48">
        <f>IF(AK94&lt;4,"",IF(AK93&lt;4,"",IF(K109=4,K115-M115,IF(M109=4,M115-K115,""))))</f>
        <v>11</v>
      </c>
      <c r="AK112" s="48" t="str">
        <f>IF(AK94&lt;4,"",IF(AK93&lt;5,"",IF(N109=4,N115-P115,IF(P109=4,P115-N115,""))))</f>
        <v/>
      </c>
      <c r="AL112" s="48">
        <f>IF(AK94&lt;4,"",IF(AK93&lt;6,"",IF(Q109=4,Q115-S115,IF(S109=4,S115-Q115,""))))</f>
        <v>10</v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>
        <f>IF(AK94&lt;4,"",IF(AK93&lt;9,"",IF(Z109=4,Z115-AB115,IF(AB109=4,AB115-Z115,""))))</f>
        <v>-14</v>
      </c>
      <c r="AP112" s="48" t="str">
        <f>IF(AK94&lt;4,"",IF(AK93&lt;10,"",IF(AC109=4,AC115-AE115,IF(AE109=4,AE115-AC115,""))))</f>
        <v/>
      </c>
      <c r="AQ112" s="44">
        <f>SUM(AG112:AP112)</f>
        <v>-18</v>
      </c>
    </row>
    <row r="113" spans="1:49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>Team 5</v>
      </c>
      <c r="AG113" s="52">
        <f>IF(AK94&lt;5,"",IF(AK93&lt;1,"",IF(B109=5,B115-D115,IF(D109=5,D115-B115,""))))</f>
        <v>0</v>
      </c>
      <c r="AH113" s="48" t="str">
        <f>IF(AK94&lt;5,"",IF(AK93&lt;2,"",IF(E109=5,E115-G115,IF(G109=5,G115-E115,""))))</f>
        <v/>
      </c>
      <c r="AI113" s="48">
        <f>IF(AK94&lt;5,"",IF(AK93&lt;3,"",IF(H109=5,H115-J115,IF(J109=5,J115-H115,""))))</f>
        <v>-24</v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>
        <f>IF(AK94&lt;5,"",IF(AK93&lt;6,"",IF(Q109=5,Q115-S115,IF(S109=5,S115-Q115,""))))</f>
        <v>-10</v>
      </c>
      <c r="AM113" s="48" t="str">
        <f>IF(AK94&lt;5,"",IF(AK93&lt;7,"",IF(T109=5,T115-V115,IF(V109=5,V115-T115,""))))</f>
        <v/>
      </c>
      <c r="AN113" s="48">
        <f>IF(AK94&lt;5,"",IF(AK93&lt;8,"",IF(W109=5,W115-Y115,IF(Y109=5,Y115-W115,""))))</f>
        <v>-19</v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-53</v>
      </c>
    </row>
    <row r="114" spans="1:49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3"/>
      <c r="B115" s="53">
        <f>IF($AK92=5,SUM(B110:B114),IF($AK92=4,SUM(B110:B113),IF($AK92=3,SUM(B110:B112),IF($AK92=2,SUM(B110:B111),B110))))</f>
        <v>44</v>
      </c>
      <c r="C115" s="53"/>
      <c r="D115" s="53">
        <f>IF($AK92=5,SUM(D110:D114),IF($AK92=4,SUM(D110:D113),IF($AK92=3,SUM(D110:D112),IF($AK92=2,SUM(D110:D111),D110))))</f>
        <v>44</v>
      </c>
      <c r="E115" s="53">
        <f>IF($AK92=5,SUM(E110:E114),IF($AK92=4,SUM(E110:E113),IF($AK92=3,SUM(E110:E112),IF($AK92=2,SUM(E110:E111),E110))))</f>
        <v>50</v>
      </c>
      <c r="F115" s="53"/>
      <c r="G115" s="53">
        <f>IF($AK92=5,SUM(G110:G114),IF($AK92=4,SUM(G110:G113),IF($AK92=3,SUM(G110:G112),IF($AK92=2,SUM(G110:G111),G110))))</f>
        <v>25</v>
      </c>
      <c r="H115" s="53">
        <f>IF($AK92=5,SUM(H110:H114),IF($AK92=4,SUM(H110:H113),IF($AK92=3,SUM(H110:H112),IF($AK92=2,SUM(H110:H111),H110))))</f>
        <v>50</v>
      </c>
      <c r="I115" s="53"/>
      <c r="J115" s="53">
        <f>IF($AK92=5,SUM(J110:J114),IF($AK92=4,SUM(J110:J113),IF($AK92=3,SUM(J110:J112),IF($AK92=2,SUM(J110:J111),J110))))</f>
        <v>26</v>
      </c>
      <c r="K115" s="53">
        <f>IF($AK92=5,SUM(K110:K114),IF($AK92=4,SUM(K110:K113),IF($AK92=3,SUM(K110:K112),IF($AK92=2,SUM(K110:K111),K110))))</f>
        <v>39</v>
      </c>
      <c r="L115" s="53"/>
      <c r="M115" s="53">
        <f>IF($AK92=5,SUM(M110:M114),IF($AK92=4,SUM(M110:M113),IF($AK92=3,SUM(M110:M112),IF($AK92=2,SUM(M110:M111),M110))))</f>
        <v>50</v>
      </c>
      <c r="N115" s="53">
        <f>IF($AK92=5,SUM(N110:N114),IF($AK92=4,SUM(N110:N113),IF($AK92=3,SUM(N110:N112),IF($AK92=2,SUM(N110:N111),N110))))</f>
        <v>50</v>
      </c>
      <c r="O115" s="53"/>
      <c r="P115" s="53">
        <f>IF($AK92=5,SUM(P110:P114),IF($AK92=4,SUM(P110:P113),IF($AK92=3,SUM(P110:P112),IF($AK92=2,SUM(P110:P111),P110))))</f>
        <v>36</v>
      </c>
      <c r="Q115" s="53">
        <f>IF($AK92=5,SUM(Q110:Q114),IF($AK92=4,SUM(Q110:Q113),IF($AK92=3,SUM(Q110:Q112),IF($AK92=2,SUM(Q110:Q111),Q110))))</f>
        <v>50</v>
      </c>
      <c r="R115" s="53"/>
      <c r="S115" s="53">
        <f>IF($AK92=5,SUM(S110:S114),IF($AK92=4,SUM(S110:S113),IF($AK92=3,SUM(S110:S112),IF($AK92=2,SUM(S110:S111),S110))))</f>
        <v>40</v>
      </c>
      <c r="T115" s="53">
        <f>IF($AK92=5,SUM(T110:T114),IF($AK92=4,SUM(T110:T113),IF($AK92=3,SUM(T110:T112),IF($AK92=2,SUM(T110:T111),T110))))</f>
        <v>33</v>
      </c>
      <c r="U115" s="53"/>
      <c r="V115" s="53">
        <f>IF($AK92=5,SUM(V110:V114),IF($AK92=4,SUM(V110:V113),IF($AK92=3,SUM(V110:V112),IF($AK92=2,SUM(V110:V111),V110))))</f>
        <v>50</v>
      </c>
      <c r="W115" s="53">
        <f>IF($AK92=5,SUM(W110:W114),IF($AK92=4,SUM(W110:W113),IF($AK92=3,SUM(W110:W112),IF($AK92=2,SUM(W110:W111),W110))))</f>
        <v>50</v>
      </c>
      <c r="X115" s="53"/>
      <c r="Y115" s="53">
        <f>IF($AK92=5,SUM(Y110:Y114),IF($AK92=4,SUM(Y110:Y113),IF($AK92=3,SUM(Y110:Y112),IF($AK92=2,SUM(Y110:Y111),Y110))))</f>
        <v>31</v>
      </c>
      <c r="Z115" s="53">
        <f>IF($AK92=5,SUM(Z110:Z114),IF($AK92=4,SUM(Z110:Z113),IF($AK92=3,SUM(Z110:Z112),IF($AK92=2,SUM(Z110:Z111),Z110))))</f>
        <v>50</v>
      </c>
      <c r="AA115" s="53"/>
      <c r="AB115" s="53">
        <f>IF($AK92=5,SUM(AB110:AB114),IF($AK92=4,SUM(AB110:AB113),IF($AK92=3,SUM(AB110:AB112),IF($AK92=2,SUM(AB110:AB111),AB110))))</f>
        <v>36</v>
      </c>
      <c r="AC115" s="53">
        <f>IF($AK92=5,SUM(AC110:AC114),IF($AK92=4,SUM(AC110:AC113),IF($AK92=3,SUM(AC110:AC112),IF($AK92=2,SUM(AC110:AC111),AC110))))</f>
        <v>50</v>
      </c>
      <c r="AD115" s="53"/>
      <c r="AE115" s="53">
        <f>IF($AK92=5,SUM(AE110:AE114),IF($AK92=4,SUM(AE110:AE113),IF($AK92=3,SUM(AE110:AE112),IF($AK92=2,SUM(AE110:AE111),AE110))))</f>
        <v>20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1</v>
      </c>
      <c r="F116" s="56"/>
      <c r="G116" s="57">
        <f>IF(AND(G110&gt;E110,$AK93&gt;1,ISNUMBER(E110),ISNUMBER(G110)),1,0)</f>
        <v>0</v>
      </c>
      <c r="H116" s="56">
        <f>IF(AND(H110&gt;J110,$AK93&gt;2,ISNUMBER(H110),ISNUMBER(J110)),1,0)</f>
        <v>1</v>
      </c>
      <c r="I116" s="56"/>
      <c r="J116" s="57">
        <f>IF(AND(J110&gt;H110,$AK93&gt;2,ISNUMBER(H110),ISNUMBER(J110)),1,0)</f>
        <v>0</v>
      </c>
      <c r="K116" s="56">
        <f>IF(AND(K110&gt;M110,$AK93&gt;3,ISNUMBER(K110),ISNUMBER(M110)),1,0)</f>
        <v>0</v>
      </c>
      <c r="L116" s="56"/>
      <c r="M116" s="57">
        <f>IF(AND(M110&gt;K110,$AK93&gt;3,ISNUMBER(K110),ISNUMBER(M110)),1,0)</f>
        <v>1</v>
      </c>
      <c r="N116" s="56">
        <f>IF(AND(N110&gt;P110,$AK93&gt;4,ISNUMBER(N110),ISNUMBER(P110)),1,0)</f>
        <v>1</v>
      </c>
      <c r="O116" s="56"/>
      <c r="P116" s="57">
        <f>IF(AND(P110&gt;N110,$AK93&gt;4,ISNUMBER(N110),ISNUMBER(P110)),1,0)</f>
        <v>0</v>
      </c>
      <c r="Q116" s="56">
        <f>IF(AND(Q110&gt;S110,$AK93&gt;5,ISNUMBER(Q110),ISNUMBER(S110)),1,0)</f>
        <v>1</v>
      </c>
      <c r="R116" s="56"/>
      <c r="S116" s="57">
        <f>IF(AND(S110&gt;Q110,$AK93&gt;5,ISNUMBER(Q110),ISNUMBER(S110)),1,0)</f>
        <v>0</v>
      </c>
      <c r="T116" s="56">
        <f>IF(AND(T110&gt;V110,$AK93&gt;6,ISNUMBER(T110),ISNUMBER(V110)),1,0)</f>
        <v>0</v>
      </c>
      <c r="U116" s="56"/>
      <c r="V116" s="57">
        <f>IF(AND(V110&gt;T110,$AK93&gt;6,ISNUMBER(T110),ISNUMBER(V110)),1,0)</f>
        <v>1</v>
      </c>
      <c r="W116" s="56">
        <f>IF(AND(W110&gt;Y110,$AK93&gt;7,ISNUMBER(W110),ISNUMBER(Y110)),1,0)</f>
        <v>1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1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1</v>
      </c>
      <c r="AD116" s="56"/>
      <c r="AE116" s="57">
        <f>IF(AND(AE110&gt;AC110,$AK93&gt;9,ISNUMBER(AC110),ISNUMBER(AE110)),1,0)</f>
        <v>0</v>
      </c>
      <c r="AW116" s="58"/>
    </row>
    <row r="117" spans="1:49" s="55" customFormat="1" ht="12.75" hidden="1" customHeight="1" x14ac:dyDescent="0.2">
      <c r="A117" s="55" t="s">
        <v>82</v>
      </c>
      <c r="B117" s="56">
        <f>IF(AND(B111&gt;D111,$AK93&gt;0,$AK92&gt;1,ISNUMBER(B111),ISNUMBER(D111)),1,0)</f>
        <v>0</v>
      </c>
      <c r="C117" s="56"/>
      <c r="D117" s="57">
        <f>IF(AND(D111&gt;B111,$AK93&gt;0,$AK92&gt;1,ISNUMBER(B111),ISNUMBER(D111)),1,0)</f>
        <v>1</v>
      </c>
      <c r="E117" s="56">
        <f>IF(AND(E111&gt;G111,$AK93&gt;1,$AK92&gt;1,ISNUMBER(E111),ISNUMBER(G111)),1,0)</f>
        <v>1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1</v>
      </c>
      <c r="I117" s="56"/>
      <c r="J117" s="57">
        <f>IF(AND(J111&gt;H111,$AK93&gt;2,$AK92&gt;1,ISNUMBER(H111),ISNUMBER(J111)),1,0)</f>
        <v>0</v>
      </c>
      <c r="K117" s="56">
        <f>IF(AND(K111&gt;M111,$AK93&gt;3,$AK92&gt;1,ISNUMBER(K111),ISNUMBER(M111)),1,0)</f>
        <v>0</v>
      </c>
      <c r="L117" s="56"/>
      <c r="M117" s="57">
        <f>IF(AND(M111&gt;K111,$AK93&gt;3,$AK92&gt;1,ISNUMBER(K111),ISNUMBER(M111)),1,0)</f>
        <v>1</v>
      </c>
      <c r="N117" s="56">
        <f>IF(AND(N111&gt;P111,$AK93&gt;4,$AK92&gt;1,ISNUMBER(N111),ISNUMBER(P111)),1,0)</f>
        <v>1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1</v>
      </c>
      <c r="R117" s="56"/>
      <c r="S117" s="57">
        <f>IF(AND(S111&gt;Q111,$AK93&gt;5,$AK92&gt;1,ISNUMBER(Q111),ISNUMBER(S111)),1,0)</f>
        <v>0</v>
      </c>
      <c r="T117" s="56">
        <f>IF(AND(T111&gt;V111,$AK93&gt;6,$AK92&gt;1,ISNUMBER(T111),ISNUMBER(V111)),1,0)</f>
        <v>0</v>
      </c>
      <c r="U117" s="56"/>
      <c r="V117" s="57">
        <f>IF(AND(V111&gt;T111,$AK93&gt;6,$AK92&gt;1,ISNUMBER(T111),ISNUMBER(V111)),1,0)</f>
        <v>1</v>
      </c>
      <c r="W117" s="56">
        <f>IF(AND(W111&gt;Y111,$AK93&gt;7,$AK92&gt;1,ISNUMBER(W111),ISNUMBER(Y111)),1,0)</f>
        <v>1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1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1</v>
      </c>
      <c r="AD117" s="56"/>
      <c r="AE117" s="57">
        <f>IF(AND(AE111&gt;AC111,$AK93&gt;9,$AK92&gt;1,ISNUMBER(AC111),ISNUMBER(AE111)),1,0)</f>
        <v>0</v>
      </c>
      <c r="AW117" s="58"/>
    </row>
    <row r="118" spans="1:49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  <c r="AW118" s="58"/>
    </row>
    <row r="119" spans="1:49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  <c r="AW119" s="58"/>
    </row>
    <row r="120" spans="1:49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  <c r="AW120" s="58"/>
    </row>
    <row r="121" spans="1:49" s="55" customFormat="1" ht="38.25" hidden="1" customHeight="1" x14ac:dyDescent="0.2">
      <c r="A121" s="59" t="s">
        <v>86</v>
      </c>
      <c r="B121" s="55">
        <f>SUM(B116:B120)</f>
        <v>1</v>
      </c>
      <c r="D121" s="60">
        <f>SUM(D116:D120)</f>
        <v>1</v>
      </c>
      <c r="E121" s="55">
        <f>SUM(E116:E120)</f>
        <v>2</v>
      </c>
      <c r="G121" s="60">
        <f>SUM(G116:G120)</f>
        <v>0</v>
      </c>
      <c r="H121" s="55">
        <f>SUM(H116:H120)</f>
        <v>2</v>
      </c>
      <c r="J121" s="60">
        <f>SUM(J116:J120)</f>
        <v>0</v>
      </c>
      <c r="K121" s="55">
        <f>SUM(K116:K120)</f>
        <v>0</v>
      </c>
      <c r="M121" s="60">
        <f>SUM(M116:M120)</f>
        <v>2</v>
      </c>
      <c r="N121" s="55">
        <f>SUM(N116:N120)</f>
        <v>2</v>
      </c>
      <c r="P121" s="60">
        <f>SUM(P116:P120)</f>
        <v>0</v>
      </c>
      <c r="Q121" s="55">
        <f>SUM(Q116:Q120)</f>
        <v>2</v>
      </c>
      <c r="S121" s="60">
        <f>SUM(S116:S120)</f>
        <v>0</v>
      </c>
      <c r="T121" s="55">
        <f>SUM(T116:T120)</f>
        <v>0</v>
      </c>
      <c r="V121" s="60">
        <f>SUM(V116:V120)</f>
        <v>2</v>
      </c>
      <c r="W121" s="55">
        <f>SUM(W116:W120)</f>
        <v>2</v>
      </c>
      <c r="Y121" s="60">
        <f>SUM(Y116:Y120)</f>
        <v>0</v>
      </c>
      <c r="Z121" s="55">
        <f>SUM(Z116:Z120)</f>
        <v>2</v>
      </c>
      <c r="AB121" s="60">
        <f>SUM(AB116:AB120)</f>
        <v>0</v>
      </c>
      <c r="AC121" s="55">
        <f>SUM(AC116:AC120)</f>
        <v>2</v>
      </c>
      <c r="AE121" s="60">
        <f>SUM(AE116:AE120)</f>
        <v>0</v>
      </c>
      <c r="AW121" s="58"/>
    </row>
    <row r="122" spans="1:49" s="55" customFormat="1" ht="25.5" hidden="1" customHeight="1" x14ac:dyDescent="0.2">
      <c r="A122" s="59" t="s">
        <v>87</v>
      </c>
      <c r="B122" s="55">
        <f>IF(B121&gt;D121,IF(C156=AK92,1,IF(C156=AK92-1,1,0)),0)</f>
        <v>0</v>
      </c>
      <c r="C122" s="55">
        <f>B122+D122</f>
        <v>0</v>
      </c>
      <c r="D122" s="60">
        <f>IF(D121&gt;B121,IF(C156=AK92,1,IF(C156=AK92-1,1,0)),0)</f>
        <v>0</v>
      </c>
      <c r="E122" s="55">
        <f>IF(E121&gt;G121,IF(F156=AK92,1,IF(F156=AK92-1,1,0)),0)</f>
        <v>1</v>
      </c>
      <c r="F122" s="55">
        <f>E122+G122</f>
        <v>1</v>
      </c>
      <c r="G122" s="60">
        <f>IF(G121&gt;E121,IF(F156=AK92,1,IF(F156=AK92-1,1,0)),0)</f>
        <v>0</v>
      </c>
      <c r="H122" s="55">
        <f>IF(H121&gt;J121,IF(I156=AK92,1,IF(I156=AK92-1,1,0)),0)</f>
        <v>1</v>
      </c>
      <c r="I122" s="55">
        <f>H122+J122</f>
        <v>1</v>
      </c>
      <c r="J122" s="60">
        <f>IF(J121&gt;H121,IF(I156=AK92,1,IF(I156=AK92-1,1,0)),0)</f>
        <v>0</v>
      </c>
      <c r="K122" s="55">
        <f>IF(K121&gt;M121,IF(L156=AK92,1,IF(L156=AK92-1,1,0)),0)</f>
        <v>0</v>
      </c>
      <c r="L122" s="55">
        <f>K122+M122</f>
        <v>1</v>
      </c>
      <c r="M122" s="60">
        <f>IF(M121&gt;K121,IF(L156=AK92,1,IF(L156=AK92-1,1,0)),0)</f>
        <v>1</v>
      </c>
      <c r="N122" s="55">
        <f>IF(N121&gt;P121,IF(O156=AK92,1,IF(O156=AK92-1,1,0)),0)</f>
        <v>1</v>
      </c>
      <c r="O122" s="55">
        <f>N122+P122</f>
        <v>1</v>
      </c>
      <c r="P122" s="60">
        <f>IF(P121&gt;N121,IF(O156=AK92,1,IF(O156=AK92-1,1,0)),0)</f>
        <v>0</v>
      </c>
      <c r="Q122" s="55">
        <f>IF(Q121&gt;S121,IF(R156=AK92,1,IF(R156=AK92-1,1,0)),0)</f>
        <v>1</v>
      </c>
      <c r="R122" s="55">
        <f>Q122+S122</f>
        <v>1</v>
      </c>
      <c r="S122" s="60">
        <f>IF(S121&gt;Q121,IF(R156=AK92,1,IF(R156=AK92-1,1,0)),0)</f>
        <v>0</v>
      </c>
      <c r="T122" s="55">
        <f>IF(T121&gt;V121,IF(U156=AK92,1,IF(U156=AK92-1,1,0)),0)</f>
        <v>0</v>
      </c>
      <c r="U122" s="55">
        <f>T122+V122</f>
        <v>1</v>
      </c>
      <c r="V122" s="60">
        <f>IF(V121&gt;T121,IF(U156=AK92,1,IF(U156=AK92-1,1,0)),0)</f>
        <v>1</v>
      </c>
      <c r="W122" s="55">
        <f>IF(W121&gt;Y121,IF(X156=AK92,1,IF(X156=AK92-1,1,0)),0)</f>
        <v>1</v>
      </c>
      <c r="X122" s="55">
        <f>W122+Y122</f>
        <v>1</v>
      </c>
      <c r="Y122" s="60">
        <f>IF(Y121&gt;W121,IF(X156=AK92,1,IF(X156=AK92-1,1,0)),0)</f>
        <v>0</v>
      </c>
      <c r="Z122" s="55">
        <f>IF(Z121&gt;AB121,IF(AA156=AK92,1,IF(AA156=AK92-1,1,0)),0)</f>
        <v>1</v>
      </c>
      <c r="AA122" s="55">
        <f>Z122+AB122</f>
        <v>1</v>
      </c>
      <c r="AB122" s="60">
        <f>IF(AB121&gt;Z121,IF(AA156=AK92,1,IF(AA156=AK92-1,1,0)),0)</f>
        <v>0</v>
      </c>
      <c r="AC122" s="55">
        <f>IF(AC121&gt;AE121,IF(AD156=AK92,1,IF(AD156=AK92-1,1,0)),0)</f>
        <v>1</v>
      </c>
      <c r="AD122" s="55">
        <f>AC122+AE122</f>
        <v>1</v>
      </c>
      <c r="AE122" s="60">
        <f>IF(AE121&gt;AC121,IF(AD156=AK92,1,IF(AD156=AK92-1,1,0)),0)</f>
        <v>0</v>
      </c>
      <c r="AW122" s="58"/>
    </row>
    <row r="123" spans="1:49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  <c r="AW123" s="58"/>
    </row>
    <row r="124" spans="1:49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25</v>
      </c>
      <c r="G124" s="60">
        <f t="shared" ref="G124:H128" si="12">IF(G116=1,G110,0)</f>
        <v>0</v>
      </c>
      <c r="H124" s="55">
        <f t="shared" si="12"/>
        <v>25</v>
      </c>
      <c r="J124" s="60">
        <f t="shared" ref="J124:K128" si="13">IF(J116=1,J110,0)</f>
        <v>0</v>
      </c>
      <c r="K124" s="55">
        <f t="shared" si="13"/>
        <v>0</v>
      </c>
      <c r="M124" s="60">
        <f t="shared" ref="M124:N128" si="14">IF(M116=1,M110,0)</f>
        <v>25</v>
      </c>
      <c r="N124" s="55">
        <f t="shared" si="14"/>
        <v>25</v>
      </c>
      <c r="P124" s="60">
        <f t="shared" ref="P124:Q128" si="15">IF(P116=1,P110,0)</f>
        <v>0</v>
      </c>
      <c r="Q124" s="55">
        <f t="shared" si="15"/>
        <v>25</v>
      </c>
      <c r="S124" s="60">
        <f t="shared" ref="S124:T128" si="16">IF(S116=1,S110,0)</f>
        <v>0</v>
      </c>
      <c r="T124" s="55">
        <f t="shared" si="16"/>
        <v>0</v>
      </c>
      <c r="V124" s="60">
        <f t="shared" ref="V124:W128" si="17">IF(V116=1,V110,0)</f>
        <v>25</v>
      </c>
      <c r="W124" s="55">
        <f t="shared" si="17"/>
        <v>25</v>
      </c>
      <c r="Y124" s="60">
        <f t="shared" ref="Y124:Z128" si="18">IF(Y116=1,Y110,0)</f>
        <v>0</v>
      </c>
      <c r="Z124" s="55">
        <f t="shared" si="18"/>
        <v>25</v>
      </c>
      <c r="AB124" s="60">
        <f t="shared" ref="AB124:AC128" si="19">IF(AB116=1,AB110,0)</f>
        <v>0</v>
      </c>
      <c r="AC124" s="55">
        <f t="shared" si="19"/>
        <v>25</v>
      </c>
      <c r="AE124" s="60">
        <f>IF(AE116=1,AE110,0)</f>
        <v>0</v>
      </c>
      <c r="AW124" s="58"/>
    </row>
    <row r="125" spans="1:49" s="55" customFormat="1" ht="12.75" hidden="1" customHeight="1" x14ac:dyDescent="0.2">
      <c r="A125" s="55" t="s">
        <v>89</v>
      </c>
      <c r="B125" s="55">
        <f>IF(B117=1,B111,0)</f>
        <v>0</v>
      </c>
      <c r="D125" s="60">
        <f t="shared" si="11"/>
        <v>25</v>
      </c>
      <c r="E125" s="55">
        <f t="shared" si="11"/>
        <v>25</v>
      </c>
      <c r="G125" s="60">
        <f t="shared" si="12"/>
        <v>0</v>
      </c>
      <c r="H125" s="55">
        <f t="shared" si="12"/>
        <v>25</v>
      </c>
      <c r="J125" s="60">
        <f t="shared" si="13"/>
        <v>0</v>
      </c>
      <c r="K125" s="55">
        <f t="shared" si="13"/>
        <v>0</v>
      </c>
      <c r="M125" s="60">
        <f t="shared" si="14"/>
        <v>25</v>
      </c>
      <c r="N125" s="55">
        <f t="shared" si="14"/>
        <v>25</v>
      </c>
      <c r="P125" s="60">
        <f t="shared" si="15"/>
        <v>0</v>
      </c>
      <c r="Q125" s="55">
        <f t="shared" si="15"/>
        <v>25</v>
      </c>
      <c r="S125" s="60">
        <f t="shared" si="16"/>
        <v>0</v>
      </c>
      <c r="T125" s="55">
        <f t="shared" si="16"/>
        <v>0</v>
      </c>
      <c r="V125" s="60">
        <f t="shared" si="17"/>
        <v>25</v>
      </c>
      <c r="W125" s="55">
        <f t="shared" si="17"/>
        <v>25</v>
      </c>
      <c r="Y125" s="60">
        <f t="shared" si="18"/>
        <v>0</v>
      </c>
      <c r="Z125" s="55">
        <f t="shared" si="18"/>
        <v>25</v>
      </c>
      <c r="AB125" s="60">
        <f t="shared" si="19"/>
        <v>0</v>
      </c>
      <c r="AC125" s="55">
        <f t="shared" si="19"/>
        <v>25</v>
      </c>
      <c r="AE125" s="60">
        <f>IF(AE117=1,AE111,0)</f>
        <v>0</v>
      </c>
      <c r="AW125" s="58"/>
    </row>
    <row r="126" spans="1:49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  <c r="AW126" s="58"/>
    </row>
    <row r="127" spans="1:49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  <c r="AW127" s="58"/>
    </row>
    <row r="128" spans="1:49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  <c r="AW128" s="58"/>
    </row>
    <row r="129" spans="1:49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50</v>
      </c>
      <c r="G129" s="60"/>
      <c r="H129" s="55">
        <f>SUM(H124:J128)</f>
        <v>50</v>
      </c>
      <c r="J129" s="60"/>
      <c r="K129" s="55">
        <f>SUM(K124:M128)</f>
        <v>50</v>
      </c>
      <c r="M129" s="60"/>
      <c r="N129" s="55">
        <f>SUM(N124:P128)</f>
        <v>50</v>
      </c>
      <c r="P129" s="60"/>
      <c r="Q129" s="55">
        <f>SUM(Q124:S128)</f>
        <v>50</v>
      </c>
      <c r="S129" s="60"/>
      <c r="T129" s="55">
        <f>SUM(T124:V128)</f>
        <v>50</v>
      </c>
      <c r="V129" s="60"/>
      <c r="W129" s="55">
        <f>SUM(W124:Y128)</f>
        <v>50</v>
      </c>
      <c r="Y129" s="60"/>
      <c r="Z129" s="55">
        <f>SUM(Z124:AB128)</f>
        <v>50</v>
      </c>
      <c r="AB129" s="60"/>
      <c r="AC129" s="55">
        <f>SUM(AC124:AE128)</f>
        <v>50</v>
      </c>
      <c r="AE129" s="60"/>
      <c r="AW129" s="58"/>
    </row>
    <row r="130" spans="1:49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  <c r="AW130" s="58"/>
    </row>
    <row r="131" spans="1:49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1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1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1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1</v>
      </c>
      <c r="AE131" s="60">
        <f>IF(AE109=1,IF(AE122=1,1,0),0)</f>
        <v>0</v>
      </c>
      <c r="AF131" s="55">
        <f>SUM(B131:AE131)</f>
        <v>4</v>
      </c>
      <c r="AG131" s="55">
        <f>AF137-AF131</f>
        <v>0</v>
      </c>
      <c r="AW131" s="58"/>
    </row>
    <row r="132" spans="1:49" s="55" customFormat="1" ht="12.75" hidden="1" customHeight="1" x14ac:dyDescent="0.2">
      <c r="A132" s="55" t="s">
        <v>98</v>
      </c>
      <c r="B132" s="55">
        <f>IF(B109=2,IF(B122=1,1,0),0)</f>
        <v>0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0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0</v>
      </c>
      <c r="AG132" s="55">
        <f>AF138-AF132</f>
        <v>3</v>
      </c>
      <c r="AW132" s="58"/>
    </row>
    <row r="133" spans="1:49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1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1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1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3</v>
      </c>
      <c r="AG133" s="55">
        <f>AF139-AF133</f>
        <v>1</v>
      </c>
      <c r="AW133" s="58"/>
    </row>
    <row r="134" spans="1:49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1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1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2</v>
      </c>
      <c r="AG134" s="55">
        <f>AF140-AF134</f>
        <v>2</v>
      </c>
      <c r="AW134" s="58"/>
    </row>
    <row r="135" spans="1:49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0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0</v>
      </c>
      <c r="AG135" s="55">
        <f>AF141-AF135</f>
        <v>3</v>
      </c>
      <c r="AW135" s="58"/>
    </row>
    <row r="136" spans="1:49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  <c r="AW136" s="58"/>
    </row>
    <row r="137" spans="1:49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0</v>
      </c>
      <c r="M137" s="60">
        <f>IF(M109=1,IF(L122=1,1,0),0)</f>
        <v>0</v>
      </c>
      <c r="N137" s="55">
        <f>IF(N109=1,IF(O122=1,1,0),0)</f>
        <v>1</v>
      </c>
      <c r="P137" s="60">
        <f>IF(P109=1,IF(O122=1,1,0),0)</f>
        <v>0</v>
      </c>
      <c r="Q137" s="55">
        <f>IF(Q109=1,IF(R122=1,1,0),0)</f>
        <v>0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1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1</v>
      </c>
      <c r="AE137" s="60">
        <f>IF(AE109=1,IF(AD122=1,1,0),0)</f>
        <v>0</v>
      </c>
      <c r="AF137" s="55">
        <f>SUM(B137:AE137)</f>
        <v>4</v>
      </c>
      <c r="AW137" s="58"/>
    </row>
    <row r="138" spans="1:49" s="55" customFormat="1" ht="12.75" hidden="1" customHeight="1" x14ac:dyDescent="0.2">
      <c r="A138" s="55" t="s">
        <v>104</v>
      </c>
      <c r="B138" s="55">
        <f>IF(B109=2,IF(C122=1,1,0),0)</f>
        <v>0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0</v>
      </c>
      <c r="K138" s="55">
        <f>IF(K109=2,IF(L122=1,1,0),0)</f>
        <v>1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0</v>
      </c>
      <c r="T138" s="55">
        <f>IF(T109=2,IF(U122=1,1,0),0)</f>
        <v>1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1</v>
      </c>
      <c r="AF138" s="55">
        <f>SUM(B138:AE138)</f>
        <v>3</v>
      </c>
      <c r="AW138" s="58"/>
    </row>
    <row r="139" spans="1:49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0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1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0</v>
      </c>
      <c r="N139" s="55">
        <f>IF(N109=3,IF(O122=1,1,0),0)</f>
        <v>0</v>
      </c>
      <c r="P139" s="60">
        <f>IF(P109=3,IF(O122=1,1,0),0)</f>
        <v>1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1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1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4</v>
      </c>
      <c r="AW139" s="58"/>
    </row>
    <row r="140" spans="1:49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1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1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1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4</v>
      </c>
      <c r="AW140" s="58"/>
    </row>
    <row r="141" spans="1:49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0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1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1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1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3</v>
      </c>
      <c r="AW141" s="58"/>
    </row>
    <row r="142" spans="1:49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  <c r="AW142" s="58"/>
    </row>
    <row r="143" spans="1:49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0</v>
      </c>
      <c r="M143" s="60">
        <f>IF(M109=1,K129,0)</f>
        <v>0</v>
      </c>
      <c r="N143" s="55">
        <f>IF(N109=1,N129,0)</f>
        <v>50</v>
      </c>
      <c r="P143" s="60">
        <f>IF(P109=1,N129,0)</f>
        <v>0</v>
      </c>
      <c r="Q143" s="55">
        <f>IF(Q109=1,Q129,0)</f>
        <v>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50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50</v>
      </c>
      <c r="AE143" s="60">
        <f>IF(AE109=1,AC129,0)</f>
        <v>0</v>
      </c>
      <c r="AF143" s="55">
        <f>SUM(B143:AE143)</f>
        <v>200</v>
      </c>
      <c r="AW143" s="58"/>
    </row>
    <row r="144" spans="1:49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0</v>
      </c>
      <c r="J144" s="60">
        <f>IF(J109=2,H129,0)</f>
        <v>0</v>
      </c>
      <c r="K144" s="55">
        <f>IF(K109=2,K129,0)</f>
        <v>50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0</v>
      </c>
      <c r="T144" s="55">
        <f>IF(T109=2,T129,0)</f>
        <v>50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50</v>
      </c>
      <c r="AF144" s="55">
        <f>SUM(B144:AE144)</f>
        <v>200</v>
      </c>
      <c r="AW144" s="58"/>
    </row>
    <row r="145" spans="1:49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0</v>
      </c>
      <c r="E145" s="55">
        <f>IF(E109=3,E129,0)</f>
        <v>0</v>
      </c>
      <c r="G145" s="60">
        <f>IF(G109=3,E129,0)</f>
        <v>0</v>
      </c>
      <c r="H145" s="55">
        <f>IF(H109=3,H129,0)</f>
        <v>50</v>
      </c>
      <c r="J145" s="60">
        <f>IF(J109=3,H129,0)</f>
        <v>0</v>
      </c>
      <c r="K145" s="55">
        <f>IF(K109=3,K129,0)</f>
        <v>0</v>
      </c>
      <c r="M145" s="60">
        <f>IF(M109=3,K129,0)</f>
        <v>0</v>
      </c>
      <c r="N145" s="55">
        <f>IF(N109=3,N129,0)</f>
        <v>0</v>
      </c>
      <c r="P145" s="60">
        <f>IF(P109=3,N129,0)</f>
        <v>50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50</v>
      </c>
      <c r="W145" s="55">
        <f>IF(W109=3,W129,0)</f>
        <v>0</v>
      </c>
      <c r="Y145" s="60">
        <f>IF(Y109=3,W129,0)</f>
        <v>0</v>
      </c>
      <c r="Z145" s="55">
        <f>IF(Z109=3,Z129,0)</f>
        <v>50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200</v>
      </c>
      <c r="AW145" s="58"/>
    </row>
    <row r="146" spans="1:49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50</v>
      </c>
      <c r="N146" s="55">
        <f>IF(N109=4,N129,0)</f>
        <v>0</v>
      </c>
      <c r="P146" s="60">
        <f>IF(P109=4,N129,0)</f>
        <v>0</v>
      </c>
      <c r="Q146" s="55">
        <f>IF(Q109=4,Q129,0)</f>
        <v>50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50</v>
      </c>
      <c r="AC146" s="55">
        <f>IF(AC109=4,AC129,0)</f>
        <v>0</v>
      </c>
      <c r="AE146" s="60">
        <f>IF(AE109=4,AC129,0)</f>
        <v>0</v>
      </c>
      <c r="AF146" s="55">
        <f>SUM(B146:AE146)</f>
        <v>200</v>
      </c>
      <c r="AW146" s="58"/>
    </row>
    <row r="147" spans="1:49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50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50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50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50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200</v>
      </c>
      <c r="AW147" s="58"/>
    </row>
    <row r="148" spans="1:49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  <c r="AW148" s="58"/>
    </row>
    <row r="149" spans="1:49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2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2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2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2</v>
      </c>
      <c r="AE149" s="60">
        <f>IF(AE109=1,SUMIF(AE116:AE120,"&gt;0"),0)</f>
        <v>0</v>
      </c>
      <c r="AF149" s="55">
        <f>SUM(B149:AE149)</f>
        <v>8</v>
      </c>
      <c r="AG149" s="55">
        <f>AF157-AF149</f>
        <v>0</v>
      </c>
      <c r="AW149" s="58"/>
    </row>
    <row r="150" spans="1:49" s="55" customFormat="1" ht="12.75" hidden="1" customHeight="1" x14ac:dyDescent="0.2">
      <c r="A150" s="55" t="s">
        <v>98</v>
      </c>
      <c r="B150" s="55">
        <f>IF(B109=2,SUMIF(B116:B120,"&gt;0"),0)</f>
        <v>1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0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0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1</v>
      </c>
      <c r="AG150" s="55">
        <f>AF158-AF150</f>
        <v>7</v>
      </c>
      <c r="AW150" s="58"/>
    </row>
    <row r="151" spans="1:49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2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0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2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2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6</v>
      </c>
      <c r="AG151" s="55">
        <f>AF159-AF151</f>
        <v>2</v>
      </c>
      <c r="AW151" s="58"/>
    </row>
    <row r="152" spans="1:49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2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2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0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4</v>
      </c>
      <c r="AG152" s="55">
        <f>AF160-AF152</f>
        <v>4</v>
      </c>
      <c r="AW152" s="58"/>
    </row>
    <row r="153" spans="1:49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1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0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1</v>
      </c>
      <c r="AG153" s="55">
        <f>AF161-AF153</f>
        <v>7</v>
      </c>
      <c r="AW153" s="58"/>
    </row>
    <row r="154" spans="1:49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  <c r="AW154" s="58"/>
    </row>
    <row r="155" spans="1:49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  <c r="AW155" s="58"/>
    </row>
    <row r="156" spans="1:49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2</v>
      </c>
      <c r="V156" s="60"/>
      <c r="X156" s="55">
        <f>SUMIF(W149:Y153,"&gt;0")</f>
        <v>2</v>
      </c>
      <c r="Y156" s="60"/>
      <c r="AA156" s="55">
        <f>SUMIF(Z149:AB153,"&gt;0")</f>
        <v>2</v>
      </c>
      <c r="AB156" s="60"/>
      <c r="AD156" s="55">
        <f>SUMIF(AC149:AE153,"&gt;0")</f>
        <v>2</v>
      </c>
      <c r="AE156" s="60"/>
      <c r="AF156" s="59" t="s">
        <v>113</v>
      </c>
      <c r="AW156" s="58"/>
    </row>
    <row r="157" spans="1:49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0</v>
      </c>
      <c r="M157" s="60">
        <f>IF(M109=1,L156,0)</f>
        <v>0</v>
      </c>
      <c r="N157" s="55">
        <f>IF(N109=1,O156,0)</f>
        <v>2</v>
      </c>
      <c r="P157" s="60">
        <f>IF(P109=1,O156,0)</f>
        <v>0</v>
      </c>
      <c r="Q157" s="55">
        <f>IF(Q109=1,R156,0)</f>
        <v>0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2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2</v>
      </c>
      <c r="AE157" s="60">
        <f>IF(AE109=1,AD156,0)</f>
        <v>0</v>
      </c>
      <c r="AF157" s="55">
        <f>SUM(B157:AE157)</f>
        <v>8</v>
      </c>
      <c r="AW157" s="58"/>
    </row>
    <row r="158" spans="1:49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0</v>
      </c>
      <c r="J158" s="60">
        <f>IF(J109=2,I156,0)</f>
        <v>0</v>
      </c>
      <c r="K158" s="55">
        <f>IF(K109=2,L156,0)</f>
        <v>2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0</v>
      </c>
      <c r="T158" s="55">
        <f>IF(T109=2,U156,0)</f>
        <v>2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2</v>
      </c>
      <c r="AF158" s="55">
        <f>SUM(B158:AE158)</f>
        <v>8</v>
      </c>
      <c r="AW158" s="58"/>
    </row>
    <row r="159" spans="1:49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0</v>
      </c>
      <c r="E159" s="55">
        <f>IF(E109=3,F156,0)</f>
        <v>0</v>
      </c>
      <c r="G159" s="60">
        <f>IF(G109=3,F156,0)</f>
        <v>0</v>
      </c>
      <c r="H159" s="55">
        <f>IF(H109=3,I156,0)</f>
        <v>2</v>
      </c>
      <c r="J159" s="60">
        <f>IF(J109=3,I156,0)</f>
        <v>0</v>
      </c>
      <c r="K159" s="55">
        <f>IF(K109=3,L156,0)</f>
        <v>0</v>
      </c>
      <c r="M159" s="60">
        <f>IF(M109=3,L156,0)</f>
        <v>0</v>
      </c>
      <c r="N159" s="55">
        <f>IF(N109=3,O156,0)</f>
        <v>0</v>
      </c>
      <c r="P159" s="60">
        <f>IF(P109=3,O156,0)</f>
        <v>2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2</v>
      </c>
      <c r="W159" s="55">
        <f>IF(W109=3,X156,0)</f>
        <v>0</v>
      </c>
      <c r="Y159" s="60">
        <f>IF(Y109=3,X156,0)</f>
        <v>0</v>
      </c>
      <c r="Z159" s="55">
        <f>IF(Z109=3,AA156,0)</f>
        <v>2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8</v>
      </c>
      <c r="AW159" s="58"/>
    </row>
    <row r="160" spans="1:49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2</v>
      </c>
      <c r="N160" s="55">
        <f>IF(N109=4,O156,0)</f>
        <v>0</v>
      </c>
      <c r="P160" s="60">
        <f>IF(P109=4,O156,0)</f>
        <v>0</v>
      </c>
      <c r="Q160" s="55">
        <f>IF(Q109=4,R156,0)</f>
        <v>2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2</v>
      </c>
      <c r="AC160" s="55">
        <f>IF(AC109=4,AD156,0)</f>
        <v>0</v>
      </c>
      <c r="AE160" s="60">
        <f>IF(AE109=4,AD156,0)</f>
        <v>0</v>
      </c>
      <c r="AF160" s="55">
        <f>SUM(B160:AE160)</f>
        <v>8</v>
      </c>
      <c r="AW160" s="58"/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2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2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2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2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8</v>
      </c>
      <c r="AW161" s="58"/>
    </row>
    <row r="162" spans="1:54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BB162" s="130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LAVA 16U Purple</v>
      </c>
      <c r="C164" s="67">
        <f>VLOOKUP(B164,AU$3:AY$12,3,FALSE)</f>
        <v>2200</v>
      </c>
      <c r="D164" s="67">
        <f>IF(B157,B172,IF(D157,D172,C164))</f>
        <v>2200</v>
      </c>
      <c r="E164" s="67"/>
      <c r="F164" s="67"/>
      <c r="G164" s="67">
        <f>IF(E157,E172,IF(G157,G172,D164))</f>
        <v>2228.2902496442657</v>
      </c>
      <c r="H164" s="67"/>
      <c r="I164" s="67"/>
      <c r="J164" s="67">
        <f>IF(H157,H172,IF(J157,J172,G164))</f>
        <v>2228.2902496442657</v>
      </c>
      <c r="K164" s="67"/>
      <c r="L164" s="67"/>
      <c r="M164" s="67">
        <f>IF(K157,K172,IF(M157,M172,J164))</f>
        <v>2228.2902496442657</v>
      </c>
      <c r="N164" s="67"/>
      <c r="O164" s="67"/>
      <c r="P164" s="67">
        <f>IF(N157,N172,IF(P157,P172,M164))</f>
        <v>2260.6319172946332</v>
      </c>
      <c r="Q164" s="67"/>
      <c r="R164" s="67"/>
      <c r="S164" s="67">
        <f>IF(Q157,Q172,IF(S157,S172,P164))</f>
        <v>2260.6319172946332</v>
      </c>
      <c r="T164" s="67"/>
      <c r="U164" s="67"/>
      <c r="V164" s="67">
        <f>IF(T157,T172,IF(V157,V172,S164))</f>
        <v>2260.6319172946332</v>
      </c>
      <c r="W164" s="67"/>
      <c r="X164" s="67"/>
      <c r="Y164" s="67">
        <f>IF(W157,W172,IF(Y157,Y172,V164))</f>
        <v>2281.632400317495</v>
      </c>
      <c r="Z164" s="67"/>
      <c r="AA164" s="67"/>
      <c r="AB164" s="67">
        <f>IF(Z157,Z172,IF(AB157,AB172,Y164))</f>
        <v>2281.632400317495</v>
      </c>
      <c r="AC164" s="67"/>
      <c r="AD164" s="67"/>
      <c r="AE164" s="67">
        <f>IF(AC157,AC172,IF(AE157,AE172,AB164))</f>
        <v>2300.7385559451241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LAVA 16U Purple</v>
      </c>
      <c r="AU164" s="63">
        <f>AE164</f>
        <v>2300.7385559451241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Kershaw 16 White</v>
      </c>
      <c r="C165" s="67">
        <f>VLOOKUP(B165,AU$3:AY$12,3,FALSE)</f>
        <v>2200</v>
      </c>
      <c r="D165" s="67">
        <f>IF(B158,B172,IF(D158,D172,C165))</f>
        <v>2200</v>
      </c>
      <c r="E165" s="67"/>
      <c r="F165" s="67"/>
      <c r="G165" s="67">
        <f>IF(E158,E172,IF(G158,G172,D165))</f>
        <v>2200</v>
      </c>
      <c r="H165" s="67"/>
      <c r="I165" s="67"/>
      <c r="J165" s="67">
        <f>IF(H158,H172,IF(J158,J172,G165))</f>
        <v>2200</v>
      </c>
      <c r="K165" s="67"/>
      <c r="L165" s="67"/>
      <c r="M165" s="67">
        <f>IF(K158,K172,IF(M158,M172,J165))</f>
        <v>2161.7492398232748</v>
      </c>
      <c r="N165" s="67"/>
      <c r="O165" s="67"/>
      <c r="P165" s="67">
        <f>IF(N158,N172,IF(P158,P172,M165))</f>
        <v>2161.7492398232748</v>
      </c>
      <c r="Q165" s="67"/>
      <c r="R165" s="67"/>
      <c r="S165" s="67">
        <f>IF(Q158,Q172,IF(S158,S172,P165))</f>
        <v>2161.7492398232748</v>
      </c>
      <c r="T165" s="67"/>
      <c r="U165" s="67"/>
      <c r="V165" s="67">
        <f>IF(T158,T172,IF(V158,V172,S165))</f>
        <v>2133.2270060037768</v>
      </c>
      <c r="W165" s="67"/>
      <c r="X165" s="67"/>
      <c r="Y165" s="67">
        <f>IF(W158,W172,IF(Y158,Y172,V165))</f>
        <v>2133.2270060037768</v>
      </c>
      <c r="Z165" s="67"/>
      <c r="AA165" s="67"/>
      <c r="AB165" s="67">
        <f>IF(Z158,Z172,IF(AB158,AB172,Y165))</f>
        <v>2133.2270060037768</v>
      </c>
      <c r="AC165" s="67"/>
      <c r="AD165" s="67"/>
      <c r="AE165" s="67">
        <f>IF(AC158,AC172,IF(AE158,AE172,AB165))</f>
        <v>2114.1208503761477</v>
      </c>
      <c r="AF165" s="4"/>
      <c r="AG165" s="4"/>
      <c r="AJ165" s="4"/>
      <c r="AL165" s="4"/>
      <c r="AM165" s="4"/>
      <c r="AN165" s="4"/>
      <c r="AO165" s="4"/>
      <c r="AT165" s="63" t="str">
        <f>B165</f>
        <v>Kershaw 16 White</v>
      </c>
      <c r="AU165" s="63">
        <f>AE165</f>
        <v>2114.1208503761477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PEAK 16-Andy</v>
      </c>
      <c r="C166" s="67">
        <f>VLOOKUP(B166,AU$3:AY$12,3,FALSE)</f>
        <v>2200</v>
      </c>
      <c r="D166" s="67">
        <f>IF(B159,B172,IF(D159,D172,C166))</f>
        <v>2200</v>
      </c>
      <c r="E166" s="67"/>
      <c r="F166" s="67"/>
      <c r="G166" s="67">
        <f>IF(E159,E172,IF(G159,G172,D166))</f>
        <v>2200</v>
      </c>
      <c r="H166" s="67"/>
      <c r="I166" s="67"/>
      <c r="J166" s="67">
        <f>IF(H159,H172,IF(J159,J172,G166))</f>
        <v>2232</v>
      </c>
      <c r="K166" s="67"/>
      <c r="L166" s="67"/>
      <c r="M166" s="67">
        <f>IF(K159,K172,IF(M159,M172,J166))</f>
        <v>2232</v>
      </c>
      <c r="N166" s="67"/>
      <c r="O166" s="67"/>
      <c r="P166" s="67">
        <f>IF(N159,N172,IF(P159,P172,M166))</f>
        <v>2199.6583323496325</v>
      </c>
      <c r="Q166" s="67"/>
      <c r="R166" s="67"/>
      <c r="S166" s="67">
        <f>IF(Q159,Q172,IF(S159,S172,P166))</f>
        <v>2199.6583323496325</v>
      </c>
      <c r="T166" s="67"/>
      <c r="U166" s="67"/>
      <c r="V166" s="67">
        <f>IF(T159,T172,IF(V159,V172,S166))</f>
        <v>2228.1805661691305</v>
      </c>
      <c r="W166" s="67"/>
      <c r="X166" s="67"/>
      <c r="Y166" s="67">
        <f>IF(W159,W172,IF(Y159,Y172,V166))</f>
        <v>2228.1805661691305</v>
      </c>
      <c r="Z166" s="67"/>
      <c r="AA166" s="67"/>
      <c r="AB166" s="67">
        <f>IF(Z159,Z172,IF(AB159,AB172,Y166))</f>
        <v>2257.7154062853579</v>
      </c>
      <c r="AC166" s="67"/>
      <c r="AD166" s="67"/>
      <c r="AE166" s="67">
        <f>IF(AC159,AC172,IF(AE159,AE172,AB166))</f>
        <v>2257.7154062853579</v>
      </c>
      <c r="AF166" s="4"/>
      <c r="AG166" s="4"/>
      <c r="AJ166" s="4"/>
      <c r="AL166" s="4"/>
      <c r="AM166" s="4"/>
      <c r="AN166" s="4"/>
      <c r="AO166" s="4"/>
      <c r="AT166" s="63" t="str">
        <f>B166</f>
        <v>PEAK 16-Andy</v>
      </c>
      <c r="AU166" s="63">
        <f>AE166</f>
        <v>2257.7154062853579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VolleyOneAcademy 16-Amy</v>
      </c>
      <c r="C167" s="67">
        <f>VLOOKUP(B167,AU$3:AY$12,3,FALSE)</f>
        <v>2159.5399863106313</v>
      </c>
      <c r="D167" s="67">
        <f>IF(B160,B172,IF(D160,D172,C167))</f>
        <v>2159.5399863106313</v>
      </c>
      <c r="E167" s="67"/>
      <c r="F167" s="67"/>
      <c r="G167" s="67">
        <f>IF(E160,E172,IF(G160,G172,D167))</f>
        <v>2131.2497366663656</v>
      </c>
      <c r="H167" s="67"/>
      <c r="I167" s="67"/>
      <c r="J167" s="67">
        <f>IF(H160,H172,IF(J160,J172,G167))</f>
        <v>2131.2497366663656</v>
      </c>
      <c r="K167" s="67"/>
      <c r="L167" s="67"/>
      <c r="M167" s="67">
        <f>IF(K160,K172,IF(M160,M172,J167))</f>
        <v>2169.5004968430908</v>
      </c>
      <c r="N167" s="67"/>
      <c r="O167" s="67"/>
      <c r="P167" s="67">
        <f>IF(N160,N172,IF(P160,P172,M167))</f>
        <v>2169.5004968430908</v>
      </c>
      <c r="Q167" s="67"/>
      <c r="R167" s="67"/>
      <c r="S167" s="67">
        <f>IF(Q160,Q172,IF(S160,S172,P167))</f>
        <v>2201.3622968357981</v>
      </c>
      <c r="T167" s="67"/>
      <c r="U167" s="67"/>
      <c r="V167" s="67">
        <f>IF(T160,T172,IF(V160,V172,S167))</f>
        <v>2201.3622968357981</v>
      </c>
      <c r="W167" s="67"/>
      <c r="X167" s="67"/>
      <c r="Y167" s="67">
        <f>IF(W160,W172,IF(Y160,Y172,V167))</f>
        <v>2201.3622968357981</v>
      </c>
      <c r="Z167" s="67"/>
      <c r="AA167" s="67"/>
      <c r="AB167" s="67">
        <f>IF(Z160,Z172,IF(AB160,AB172,Y167))</f>
        <v>2171.8274567195708</v>
      </c>
      <c r="AC167" s="67"/>
      <c r="AD167" s="67"/>
      <c r="AE167" s="67">
        <f>IF(AC160,AC172,IF(AE160,AE172,AB167))</f>
        <v>2171.8274567195708</v>
      </c>
      <c r="AF167" s="4"/>
      <c r="AG167" s="4"/>
      <c r="AJ167" s="4"/>
      <c r="AL167" s="4"/>
      <c r="AM167" s="4"/>
      <c r="AN167" s="4"/>
      <c r="AO167" s="4"/>
      <c r="AT167" s="63" t="str">
        <f>B167</f>
        <v>VolleyOneAcademy 16-Amy</v>
      </c>
      <c r="AU167" s="63">
        <f>AE167</f>
        <v>2171.8274567195708</v>
      </c>
      <c r="AW167" s="66"/>
      <c r="BB167" s="66"/>
    </row>
    <row r="168" spans="1:54" s="63" customFormat="1" hidden="1" x14ac:dyDescent="0.2">
      <c r="A168" s="67">
        <v>5</v>
      </c>
      <c r="B168" s="67" t="str">
        <f>E101</f>
        <v>Statesboro 16s</v>
      </c>
      <c r="C168" s="67">
        <f>VLOOKUP(B168,AU$3:AY$12,3,FALSE)</f>
        <v>2200</v>
      </c>
      <c r="D168" s="67">
        <f>IF(B161,B172,IF(D161,D172,C168))</f>
        <v>2200</v>
      </c>
      <c r="E168" s="67"/>
      <c r="F168" s="67"/>
      <c r="G168" s="67">
        <f>IF(E161,E172,IF(G161,G172,D168))</f>
        <v>2200</v>
      </c>
      <c r="H168" s="67"/>
      <c r="I168" s="67"/>
      <c r="J168" s="67">
        <f>IF(H161,H172,IF(J161,J172,G168))</f>
        <v>2168</v>
      </c>
      <c r="K168" s="67"/>
      <c r="L168" s="67"/>
      <c r="M168" s="67">
        <f>IF(K161,K172,IF(M161,M172,J168))</f>
        <v>2168</v>
      </c>
      <c r="N168" s="67"/>
      <c r="O168" s="67"/>
      <c r="P168" s="67">
        <f>IF(N161,N172,IF(P161,P172,M168))</f>
        <v>2168</v>
      </c>
      <c r="Q168" s="67"/>
      <c r="R168" s="67"/>
      <c r="S168" s="67">
        <f>IF(Q161,Q172,IF(S161,S172,P168))</f>
        <v>2136.1382000072927</v>
      </c>
      <c r="T168" s="67"/>
      <c r="U168" s="67"/>
      <c r="V168" s="67">
        <f>IF(T161,T172,IF(V161,V172,S168))</f>
        <v>2136.1382000072927</v>
      </c>
      <c r="W168" s="67"/>
      <c r="X168" s="67"/>
      <c r="Y168" s="67">
        <f>IF(W161,W172,IF(Y161,Y172,V168))</f>
        <v>2115.1377169844309</v>
      </c>
      <c r="Z168" s="67"/>
      <c r="AA168" s="67"/>
      <c r="AB168" s="67">
        <f>IF(Z161,Z172,IF(AB161,AB172,Y168))</f>
        <v>2115.1377169844309</v>
      </c>
      <c r="AC168" s="67"/>
      <c r="AD168" s="67"/>
      <c r="AE168" s="67">
        <f>IF(AC161,AC172,IF(AE161,AE172,AB168))</f>
        <v>2115.1377169844309</v>
      </c>
      <c r="AF168" s="4"/>
      <c r="AG168" s="4"/>
      <c r="AJ168" s="4"/>
      <c r="AL168" s="4"/>
      <c r="AM168" s="4"/>
      <c r="AN168" s="4"/>
      <c r="AO168" s="4"/>
      <c r="AT168" s="63" t="str">
        <f>B168</f>
        <v>Statesboro 16s</v>
      </c>
      <c r="AU168" s="63">
        <f>AE168</f>
        <v>2115.1377169844309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2200</v>
      </c>
      <c r="C170" s="67">
        <v>1</v>
      </c>
      <c r="D170" s="67">
        <f>VLOOKUP(D109,$A164:$AE168,3,FALSE)</f>
        <v>2200</v>
      </c>
      <c r="E170" s="67">
        <f>VLOOKUP(E109,$A164:$AE168,4,FALSE)</f>
        <v>2200</v>
      </c>
      <c r="F170" s="67">
        <v>2</v>
      </c>
      <c r="G170" s="67">
        <f>VLOOKUP(G109,$A164:$AE168,4,FALSE)</f>
        <v>2159.5399863106313</v>
      </c>
      <c r="H170" s="67">
        <f>VLOOKUP(H109,$A164:$AE168,7,FALSE)</f>
        <v>2200</v>
      </c>
      <c r="I170" s="67">
        <v>3</v>
      </c>
      <c r="J170" s="67">
        <f>VLOOKUP(J109,$A164:$AE168,7,FALSE)</f>
        <v>2200</v>
      </c>
      <c r="K170" s="67">
        <f>VLOOKUP(K109,$A164:$AE168,10,FALSE)</f>
        <v>2200</v>
      </c>
      <c r="L170" s="67">
        <v>4</v>
      </c>
      <c r="M170" s="67">
        <f>VLOOKUP(M109,$A164:$AE168,10,FALSE)</f>
        <v>2131.2497366663656</v>
      </c>
      <c r="N170" s="67">
        <f>VLOOKUP(N109,$A164:$AE168,13,FALSE)</f>
        <v>2228.2902496442657</v>
      </c>
      <c r="O170" s="67">
        <v>5</v>
      </c>
      <c r="P170" s="67">
        <f>VLOOKUP(P109,$A164:$AE168,13,FALSE)</f>
        <v>2232</v>
      </c>
      <c r="Q170" s="67">
        <f>VLOOKUP(Q109,$A164:$AE168,16,FALSE)</f>
        <v>2169.5004968430908</v>
      </c>
      <c r="R170" s="67">
        <v>6</v>
      </c>
      <c r="S170" s="67">
        <f>VLOOKUP(S109,$A164:$AE168,16,FALSE)</f>
        <v>2168</v>
      </c>
      <c r="T170" s="67">
        <f>VLOOKUP(T109,$A164:$AE168,19,FALSE)</f>
        <v>2161.7492398232748</v>
      </c>
      <c r="U170" s="67">
        <v>7</v>
      </c>
      <c r="V170" s="67">
        <f>VLOOKUP(V109,$A164:$AE168,19,FALSE)</f>
        <v>2199.6583323496325</v>
      </c>
      <c r="W170" s="67">
        <f>VLOOKUP(W109,$A164:$AE168,22,FALSE)</f>
        <v>2260.6319172946332</v>
      </c>
      <c r="X170" s="67">
        <v>8</v>
      </c>
      <c r="Y170" s="67">
        <f>VLOOKUP(Y109,$A164:$AE168,22,FALSE)</f>
        <v>2136.1382000072927</v>
      </c>
      <c r="Z170" s="67">
        <f>VLOOKUP(Z109,$A164:$AE168,25,FALSE)</f>
        <v>2228.1805661691305</v>
      </c>
      <c r="AA170" s="67">
        <v>9</v>
      </c>
      <c r="AB170" s="67">
        <f>VLOOKUP(AB109,$A164:$AE168,25,FALSE)</f>
        <v>2201.3622968357981</v>
      </c>
      <c r="AC170" s="67">
        <f>VLOOKUP(AC109,$A164:$AE168,28,FALSE)</f>
        <v>2281.632400317495</v>
      </c>
      <c r="AD170" s="67">
        <v>10</v>
      </c>
      <c r="AE170" s="67">
        <f>VLOOKUP(AE109,$A164:$AE168,28,FALSE)</f>
        <v>2133.2270060037768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</v>
      </c>
      <c r="C171" s="68"/>
      <c r="D171" s="68">
        <f>1/(1+(10^-((D170-B170)/400)))*(B121+D121)</f>
        <v>1</v>
      </c>
      <c r="E171" s="68">
        <f>1/(1+(10^-((E170-G170)/400)))*(E121+G121)</f>
        <v>1.1159296986166896</v>
      </c>
      <c r="F171" s="68"/>
      <c r="G171" s="68">
        <f>1/(1+(10^-((G170-E170)/400)))*(E121+G121)</f>
        <v>0.88407030138331055</v>
      </c>
      <c r="H171" s="68">
        <f>1/(1+(10^-((H170-J170)/400)))*(H121+J121)</f>
        <v>1</v>
      </c>
      <c r="I171" s="68"/>
      <c r="J171" s="68">
        <f>1/(1+(10^-((J170-H170)/400)))*(H121+J121)</f>
        <v>1</v>
      </c>
      <c r="K171" s="68">
        <f>1/(1+(10^-((K170-M170)/400)))*(K121+M121)</f>
        <v>1.195336255522657</v>
      </c>
      <c r="L171" s="68"/>
      <c r="M171" s="68">
        <f>1/(1+(10^-((M170-K170)/400)))*(K121+M121)</f>
        <v>0.80466374447734312</v>
      </c>
      <c r="N171" s="68">
        <f>1/(1+(10^-((N170-P170)/400)))*(N121+P121)</f>
        <v>0.98932288592600792</v>
      </c>
      <c r="O171" s="68"/>
      <c r="P171" s="68">
        <f>1/(1+(10^-((P170-N170)/400)))*(N121+P121)</f>
        <v>1.0106771140739921</v>
      </c>
      <c r="Q171" s="68">
        <f>1/(1+(10^-((Q170-S170)/400)))*(Q121+S121)</f>
        <v>1.0043187502278923</v>
      </c>
      <c r="R171" s="68"/>
      <c r="S171" s="68">
        <f>1/(1+(10^-((S170-Q170)/400)))*(Q121+S121)</f>
        <v>0.99568124977210781</v>
      </c>
      <c r="T171" s="68">
        <f>1/(1+(10^-((T170-V170)/400)))*(T121+V121)</f>
        <v>0.891319806859311</v>
      </c>
      <c r="U171" s="68"/>
      <c r="V171" s="68">
        <f>1/(1+(10^-((V170-T170)/400)))*(T121+V121)</f>
        <v>1.1086801931406889</v>
      </c>
      <c r="W171" s="68">
        <f>1/(1+(10^-((W170-Y170)/400)))*(W121+Y121)</f>
        <v>1.3437349055355738</v>
      </c>
      <c r="X171" s="68"/>
      <c r="Y171" s="68">
        <f>1/(1+(10^-((Y170-W170)/400)))*(W121+Y121)</f>
        <v>0.65626509446442616</v>
      </c>
      <c r="Z171" s="68">
        <f>1/(1+(10^-((Z170-AB170)/400)))*(Z121+AB121)</f>
        <v>1.0770362463678957</v>
      </c>
      <c r="AA171" s="68"/>
      <c r="AB171" s="68">
        <f>1/(1+(10^-((AB170-Z170)/400)))*(Z121+AB121)</f>
        <v>0.92296375363210426</v>
      </c>
      <c r="AC171" s="68">
        <f>1/(1+(10^-((AC170-AE170)/400)))*(AC121+AE121)</f>
        <v>1.4029326366365984</v>
      </c>
      <c r="AD171" s="68"/>
      <c r="AE171" s="68">
        <f>1/(1+(10^-((AE170-AC170)/400)))*(AC121+AE121)</f>
        <v>0.5970673633634016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2200</v>
      </c>
      <c r="C172" s="74"/>
      <c r="D172" s="74">
        <f>D170+(D121-D171)*$BA$1</f>
        <v>2200</v>
      </c>
      <c r="E172" s="74">
        <f>E170+(E121-E171)*$BA$1</f>
        <v>2228.2902496442657</v>
      </c>
      <c r="F172" s="74"/>
      <c r="G172" s="74">
        <f>G170+(G121-G171)*$BA$1</f>
        <v>2131.2497366663656</v>
      </c>
      <c r="H172" s="74">
        <f>H170+(H121-H171)*$BA$1</f>
        <v>2232</v>
      </c>
      <c r="I172" s="74"/>
      <c r="J172" s="74">
        <f>J170+(J121-J171)*$BA$1</f>
        <v>2168</v>
      </c>
      <c r="K172" s="74">
        <f>K170+(K121-K171)*$BA$1</f>
        <v>2161.7492398232748</v>
      </c>
      <c r="L172" s="74"/>
      <c r="M172" s="74">
        <f>M170+(M121-M171)*$BA$1</f>
        <v>2169.5004968430908</v>
      </c>
      <c r="N172" s="74">
        <f>N170+(N121-N171)*$BA$1</f>
        <v>2260.6319172946332</v>
      </c>
      <c r="O172" s="74"/>
      <c r="P172" s="74">
        <f>P170+(P121-P171)*$BA$1</f>
        <v>2199.6583323496325</v>
      </c>
      <c r="Q172" s="74">
        <f>Q170+(Q121-Q171)*$BA$1</f>
        <v>2201.3622968357981</v>
      </c>
      <c r="R172" s="74"/>
      <c r="S172" s="74">
        <f>S170+(S121-S171)*$BA$1</f>
        <v>2136.1382000072927</v>
      </c>
      <c r="T172" s="74">
        <f>T170+(T121-T171)*$BA$1</f>
        <v>2133.2270060037768</v>
      </c>
      <c r="U172" s="74"/>
      <c r="V172" s="74">
        <f>V170+(V121-V171)*$BA$1</f>
        <v>2228.1805661691305</v>
      </c>
      <c r="W172" s="74">
        <f>W170+(W121-W171)*$BA$1</f>
        <v>2281.632400317495</v>
      </c>
      <c r="X172" s="74"/>
      <c r="Y172" s="74">
        <f>Y170+(Y121-Y171)*$BA$1</f>
        <v>2115.1377169844309</v>
      </c>
      <c r="Z172" s="74">
        <f>Z170+(Z121-Z171)*$BA$1</f>
        <v>2257.7154062853579</v>
      </c>
      <c r="AA172" s="74"/>
      <c r="AB172" s="74">
        <f>AB170+(AB121-AB171)*$BA$1</f>
        <v>2171.8274567195708</v>
      </c>
      <c r="AC172" s="74">
        <f>AC170+(AC121-AC171)*$BA$1</f>
        <v>2300.7385559451241</v>
      </c>
      <c r="AD172" s="74"/>
      <c r="AE172" s="74">
        <f>AE170+(AE121-AE171)*$BA$1</f>
        <v>2114.1208503761477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  <c r="AW174" s="66"/>
    </row>
    <row r="175" spans="1:54" s="63" customFormat="1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W175" s="66"/>
    </row>
    <row r="176" spans="1:54" ht="21" thickBot="1" x14ac:dyDescent="0.35">
      <c r="A176" s="345" t="s">
        <v>120</v>
      </c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</row>
    <row r="177" spans="1:53" ht="13.5" thickBot="1" x14ac:dyDescent="0.25">
      <c r="A177" s="346" t="s">
        <v>121</v>
      </c>
      <c r="B177" s="348" t="s">
        <v>122</v>
      </c>
      <c r="C177" s="349"/>
      <c r="D177" s="349"/>
      <c r="E177" s="349"/>
      <c r="F177" s="349"/>
      <c r="G177" s="349"/>
      <c r="H177" s="349"/>
      <c r="I177" s="349"/>
      <c r="J177" s="349"/>
      <c r="K177" s="350"/>
      <c r="L177" s="348" t="s">
        <v>123</v>
      </c>
      <c r="M177" s="349"/>
      <c r="N177" s="349"/>
      <c r="O177" s="349"/>
      <c r="P177" s="349"/>
      <c r="Q177" s="349"/>
      <c r="R177" s="349"/>
      <c r="S177" s="349"/>
      <c r="T177" s="349"/>
      <c r="U177" s="350"/>
      <c r="V177" s="348" t="s">
        <v>124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348" t="s">
        <v>125</v>
      </c>
      <c r="AG177" s="349"/>
      <c r="AH177" s="349"/>
      <c r="AI177" s="349"/>
      <c r="AJ177" s="349"/>
      <c r="AK177" s="349"/>
      <c r="AL177" s="349"/>
      <c r="AM177" s="349"/>
      <c r="AN177" s="349"/>
      <c r="AO177" s="350"/>
    </row>
    <row r="178" spans="1:53" ht="13.5" thickBot="1" x14ac:dyDescent="0.25">
      <c r="A178" s="347"/>
      <c r="B178" s="354" t="s">
        <v>10</v>
      </c>
      <c r="C178" s="355"/>
      <c r="D178" s="355"/>
      <c r="E178" s="355"/>
      <c r="F178" s="355"/>
      <c r="G178" s="356"/>
      <c r="H178" s="354" t="s">
        <v>126</v>
      </c>
      <c r="I178" s="355"/>
      <c r="J178" s="355"/>
      <c r="K178" s="356"/>
      <c r="L178" s="354" t="s">
        <v>10</v>
      </c>
      <c r="M178" s="355"/>
      <c r="N178" s="355"/>
      <c r="O178" s="355"/>
      <c r="P178" s="355"/>
      <c r="Q178" s="356"/>
      <c r="R178" s="354" t="s">
        <v>126</v>
      </c>
      <c r="S178" s="355"/>
      <c r="T178" s="355"/>
      <c r="U178" s="356"/>
      <c r="V178" s="354" t="s">
        <v>10</v>
      </c>
      <c r="W178" s="355"/>
      <c r="X178" s="355"/>
      <c r="Y178" s="355"/>
      <c r="Z178" s="355"/>
      <c r="AA178" s="356"/>
      <c r="AB178" s="354" t="s">
        <v>126</v>
      </c>
      <c r="AC178" s="355"/>
      <c r="AD178" s="355"/>
      <c r="AE178" s="356"/>
      <c r="AF178" s="354" t="s">
        <v>10</v>
      </c>
      <c r="AG178" s="355"/>
      <c r="AH178" s="355"/>
      <c r="AI178" s="355"/>
      <c r="AJ178" s="355"/>
      <c r="AK178" s="356"/>
      <c r="AL178" s="354" t="s">
        <v>126</v>
      </c>
      <c r="AM178" s="355"/>
      <c r="AN178" s="355"/>
      <c r="AO178" s="356"/>
    </row>
    <row r="179" spans="1:53" x14ac:dyDescent="0.2">
      <c r="A179" s="82" t="s">
        <v>127</v>
      </c>
      <c r="B179" s="412" t="str">
        <f>IF($AF$8=1,$E$8,IF($AF$10=1,$E$10,IF($AF$12=1,$E$12,IF($AF$14=1,$E$14,IF($AF$16=1,$E$16,"1st Place "&amp;$A179)))))</f>
        <v>Augusta Elite 16 Fusion</v>
      </c>
      <c r="C179" s="413"/>
      <c r="D179" s="413"/>
      <c r="E179" s="413"/>
      <c r="F179" s="413"/>
      <c r="G179" s="413"/>
      <c r="H179" s="414" t="str">
        <f>IF($AF$8=1,$E$9,IF($AF$10=1,$E$11,IF($AF$12=1,$E$13,IF($AF$14=1,$E$15,IF($AF$16=1,$E$17,"1st Place "&amp;$A179)))))</f>
        <v>fj6aelit1pm</v>
      </c>
      <c r="I179" s="414"/>
      <c r="J179" s="414"/>
      <c r="K179" s="415"/>
      <c r="L179" s="412" t="str">
        <f>IF($AF$8=2,$E$8,IF($AF$10=2,$E$10,IF($AF$12=2,$E$12,IF($AF$14=2,$E$14,IF($AF$16=2,$E$16,"2nd Place "&amp;$A179)))))</f>
        <v>CHSElite 16-1</v>
      </c>
      <c r="M179" s="413"/>
      <c r="N179" s="413"/>
      <c r="O179" s="413"/>
      <c r="P179" s="413"/>
      <c r="Q179" s="413"/>
      <c r="R179" s="414" t="str">
        <f>IF($AF$8=2,$E$9,IF($AF$10=2,$E$11,IF($AF$12=2,$E$13,IF($AF$14=2,$E$15,IF($AF$16=2,$E$17,"2nd Place "&amp;$A179)))))</f>
        <v>fj6celit1pm</v>
      </c>
      <c r="S179" s="414"/>
      <c r="T179" s="414"/>
      <c r="U179" s="415"/>
      <c r="V179" s="412" t="str">
        <f>IF($AF$8=3,$E$8,IF($AF$10=3,$E$10,IF($AF$12=3,$E$12,IF($AF$14=3,$E$14,IF($AF$16=3,$E$16,"3rd Place "&amp;$A179)))))</f>
        <v>PEAK 16-Chip</v>
      </c>
      <c r="W179" s="413"/>
      <c r="X179" s="413"/>
      <c r="Y179" s="413"/>
      <c r="Z179" s="413"/>
      <c r="AA179" s="413"/>
      <c r="AB179" s="414" t="str">
        <f>IF($AF$8=3,$E$9,IF($AF$10=3,$E$11,IF($AF$12=3,$E$13,IF($AF$14=3,$E$15,IF($AF$16=3,$E$17,"3rd Place "&amp;$A179)))))</f>
        <v>fj6cpeak4cr</v>
      </c>
      <c r="AC179" s="414"/>
      <c r="AD179" s="414"/>
      <c r="AE179" s="415"/>
      <c r="AF179" s="412" t="str">
        <f>IF($AF$8=4,$E$8,IF($AF$10=4,$E$10,IF($AF$12=4,$E$12,IF($AF$14=4,$E$14,IF($AF$16=4,$E$16,"4th Place "&amp;$A179)))))</f>
        <v>Sumter VBC 17-2</v>
      </c>
      <c r="AG179" s="413"/>
      <c r="AH179" s="413"/>
      <c r="AI179" s="413"/>
      <c r="AJ179" s="413"/>
      <c r="AK179" s="413"/>
      <c r="AL179" s="414" t="str">
        <f>IF($AF$8=4,$E$9,IF($AF$10=4,$E$11,IF($AF$12=4,$E$13,IF($AF$14=4,$E$15,IF($AF$16=4,$E$17,"4th Place "&amp;$A179)))))</f>
        <v>fj7sumtr2pm</v>
      </c>
      <c r="AM179" s="414"/>
      <c r="AN179" s="414"/>
      <c r="AO179" s="415"/>
    </row>
    <row r="180" spans="1:53" ht="13.5" thickBot="1" x14ac:dyDescent="0.25">
      <c r="A180" s="83" t="s">
        <v>128</v>
      </c>
      <c r="B180" s="416" t="str">
        <f>IF($AF$93=1,$E$93,IF($AF$95=1,$E$95,IF($AF$97=1,$E$97,IF($AF$99=1,$E$99,IF($AF$101=1,$E$101,"1st Place "&amp;$A180)))))</f>
        <v>LAVA 16U Purple</v>
      </c>
      <c r="C180" s="417"/>
      <c r="D180" s="417"/>
      <c r="E180" s="417"/>
      <c r="F180" s="417"/>
      <c r="G180" s="417"/>
      <c r="H180" s="418" t="str">
        <f>IF($AF$93=1,$E$94,IF($AF$95=1,$E$96,IF($AF$97=1,$E$98,IF($AF$99=1,$E$100,IF($AF$101=1,$E$102,"1st Place "&amp;$A180)))))</f>
        <v>fj6lavaf1cr</v>
      </c>
      <c r="I180" s="418"/>
      <c r="J180" s="418"/>
      <c r="K180" s="419"/>
      <c r="L180" s="416" t="str">
        <f>IF($AF$93=2,$E$93,IF($AF$95=2,$E$95,IF($AF$97=2,$E$97,IF($AF$99=2,$E$99,IF($AF$101=2,$E$101,"2nd Place "&amp;$A180)))))</f>
        <v>PEAK 16-Andy</v>
      </c>
      <c r="M180" s="417"/>
      <c r="N180" s="417"/>
      <c r="O180" s="417"/>
      <c r="P180" s="417"/>
      <c r="Q180" s="417"/>
      <c r="R180" s="418" t="str">
        <f>IF($AF$93=2,$E$94,IF($AF$95=2,$E$96,IF($AF$97=2,$E$98,IF($AF$99=2,$E$100,IF($AF$101=2,$E$102,"2nd Place "&amp;$A180)))))</f>
        <v>fj6cpeak5cr</v>
      </c>
      <c r="S180" s="418"/>
      <c r="T180" s="418"/>
      <c r="U180" s="419"/>
      <c r="V180" s="416" t="str">
        <f>IF($AF$93=3,$E$93,IF($AF$95=3,$E$95,IF($AF$97=3,$E$97,IF($AF$99=3,$E$99,IF($AF$101=3,$E$101,"3rd Place "&amp;$A180)))))</f>
        <v>VolleyOneAcademy 16-Amy</v>
      </c>
      <c r="W180" s="417"/>
      <c r="X180" s="417"/>
      <c r="Y180" s="417"/>
      <c r="Z180" s="417"/>
      <c r="AA180" s="417"/>
      <c r="AB180" s="418" t="str">
        <f>IF($AF$93=3,$E$94,IF($AF$95=3,$E$96,IF($AF$97=3,$E$98,IF($AF$99=3,$E$100,IF($AF$101=3,$E$102,"3rd Place "&amp;$A180)))))</f>
        <v>fj6vonea1pm</v>
      </c>
      <c r="AC180" s="418"/>
      <c r="AD180" s="418"/>
      <c r="AE180" s="419"/>
      <c r="AF180" s="416" t="str">
        <f>IF($AF$93=4,$E$93,IF($AF$95=4,$E$95,IF($AF$97=4,$E$97,IF($AF$99=4,$E$99,IF($AF$101=4,$E$101,"4th Place "&amp;$A180)))))</f>
        <v>Statesboro 16s</v>
      </c>
      <c r="AG180" s="417"/>
      <c r="AH180" s="417"/>
      <c r="AI180" s="417"/>
      <c r="AJ180" s="417"/>
      <c r="AK180" s="417"/>
      <c r="AL180" s="418" t="str">
        <f>IF($AF$93=4,$E$94,IF($AF$95=4,$E$96,IF($AF$97=4,$E$98,IF($AF$99=4,$E$100,IF($AF$101=4,$E$102,"4th Place "&amp;$A180)))))</f>
        <v>FJ6SVAVC1SO</v>
      </c>
      <c r="AM180" s="418"/>
      <c r="AN180" s="418"/>
      <c r="AO180" s="41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W181" s="130"/>
      <c r="AX181" s="4"/>
      <c r="AY181" s="4"/>
      <c r="AZ181" s="4"/>
      <c r="BA181" s="4"/>
    </row>
    <row r="182" spans="1:53" ht="15.75" x14ac:dyDescent="0.25">
      <c r="A182" s="426" t="s">
        <v>129</v>
      </c>
      <c r="B182" s="426"/>
      <c r="C182" s="426"/>
      <c r="D182" s="426"/>
      <c r="E182" s="426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T182" s="86"/>
      <c r="AU182" s="86"/>
      <c r="AV182" s="86"/>
    </row>
    <row r="183" spans="1:53" ht="14.25" x14ac:dyDescent="0.2">
      <c r="A183" s="427" t="s">
        <v>130</v>
      </c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</row>
    <row r="184" spans="1:53" x14ac:dyDescent="0.2">
      <c r="A184" s="428" t="s">
        <v>131</v>
      </c>
      <c r="B184" s="428"/>
      <c r="C184" s="428"/>
      <c r="D184" s="428"/>
      <c r="E184" s="428"/>
      <c r="F184" s="428"/>
      <c r="G184" s="428"/>
      <c r="H184" s="428"/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53" x14ac:dyDescent="0.2">
      <c r="A185" s="428"/>
      <c r="B185" s="428"/>
      <c r="C185" s="428"/>
      <c r="D185" s="428"/>
      <c r="E185" s="428"/>
      <c r="F185" s="428"/>
      <c r="G185" s="428"/>
      <c r="H185" s="428"/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53" x14ac:dyDescent="0.2">
      <c r="A186" s="429" t="s">
        <v>132</v>
      </c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330" t="s">
        <v>133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130"/>
      <c r="R188" s="330" t="s">
        <v>134</v>
      </c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</row>
    <row r="190" spans="1:53" ht="13.5" thickBot="1" x14ac:dyDescent="0.25">
      <c r="A190" s="420" t="str">
        <f>IF(B218=1,B210,IF(B218=2,B211,IF(B218=3,B212,IF(B218=4,B213,IF(OR(B218="B",B218="b"),"BYE","invalid")))))</f>
        <v>Augusta Elite 16 Fusion</v>
      </c>
      <c r="B190" s="420"/>
      <c r="C190" s="420"/>
      <c r="D190" s="420"/>
      <c r="E190" s="420"/>
      <c r="F190" s="88"/>
      <c r="G190" s="88"/>
      <c r="H190" s="88"/>
      <c r="I190" s="88"/>
      <c r="J190" s="88"/>
      <c r="K190" s="88"/>
      <c r="L190" s="88"/>
      <c r="M190" s="88"/>
      <c r="N190" s="88"/>
      <c r="S190" s="131"/>
      <c r="T190" s="131"/>
      <c r="U190" s="420" t="str">
        <f>IF(W218=1,X210,IF(W218=2,X211,IF(W218=3,X212,IF(W218=4,X213,IF(OR(W218="B",W218="b"),"BYE","invalid")))))</f>
        <v>PEAK 16-Chip</v>
      </c>
      <c r="V190" s="420"/>
      <c r="W190" s="420"/>
      <c r="X190" s="420"/>
      <c r="Y190" s="420"/>
      <c r="Z190" s="420"/>
      <c r="AA190" s="420"/>
      <c r="AB190" s="88"/>
      <c r="AC190" s="88"/>
      <c r="AD190" s="88"/>
      <c r="AE190" s="88"/>
    </row>
    <row r="191" spans="1:53" x14ac:dyDescent="0.2">
      <c r="A191" s="421" t="s">
        <v>135</v>
      </c>
      <c r="B191" s="421"/>
      <c r="C191" s="421"/>
      <c r="D191" s="421"/>
      <c r="E191" s="421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422" t="s">
        <v>136</v>
      </c>
      <c r="V191" s="422"/>
      <c r="W191" s="422"/>
      <c r="X191" s="422"/>
      <c r="Y191" s="422"/>
      <c r="Z191" s="422"/>
      <c r="AA191" s="423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422" t="str">
        <f>B212&amp;" ref"</f>
        <v>CHSElite 16-1 ref</v>
      </c>
      <c r="B193" s="422"/>
      <c r="C193" s="422"/>
      <c r="D193" s="422"/>
      <c r="E193" s="423"/>
      <c r="F193" s="424" t="str">
        <f>IF(H218=1,B210,IF(H218=2,B211,IF(H218=3,B212,IF(H218=4,B213,"Winner Match 1"))))</f>
        <v>PEAK 16-Andy</v>
      </c>
      <c r="G193" s="425"/>
      <c r="H193" s="425"/>
      <c r="I193" s="425"/>
      <c r="J193" s="425"/>
      <c r="K193" s="425"/>
      <c r="L193" s="425"/>
      <c r="M193" s="425"/>
      <c r="N193" s="88"/>
      <c r="P193" s="93"/>
      <c r="Q193" s="93"/>
      <c r="R193" s="93"/>
      <c r="S193" s="93"/>
      <c r="T193" s="422" t="str">
        <f>X212&amp;" ref"</f>
        <v>Sumter VBC 17-2 ref</v>
      </c>
      <c r="U193" s="422"/>
      <c r="V193" s="422"/>
      <c r="W193" s="422"/>
      <c r="X193" s="422"/>
      <c r="Y193" s="422"/>
      <c r="Z193" s="422"/>
      <c r="AA193" s="423"/>
      <c r="AB193" s="424" t="str">
        <f>IF(AC218=1,X210,IF(AC218=2,X211,IF(AC218=3,X212,IF(AC218=4,X213,"Winner Match 1"))))</f>
        <v>PEAK 16-Chip</v>
      </c>
      <c r="AC193" s="425"/>
      <c r="AD193" s="425"/>
      <c r="AE193" s="425"/>
      <c r="AF193" s="425"/>
      <c r="AG193" s="425"/>
      <c r="AH193" s="425"/>
    </row>
    <row r="194" spans="1:53" x14ac:dyDescent="0.2">
      <c r="A194" s="434" t="s">
        <v>137</v>
      </c>
      <c r="B194" s="434"/>
      <c r="C194" s="434"/>
      <c r="D194" s="434"/>
      <c r="E194" s="434"/>
      <c r="F194" s="435"/>
      <c r="G194" s="436"/>
      <c r="H194" s="436"/>
      <c r="I194" s="437"/>
      <c r="J194" s="438"/>
      <c r="K194" s="439"/>
      <c r="L194" s="439"/>
      <c r="M194" s="439"/>
      <c r="N194" s="88"/>
      <c r="O194" s="88"/>
      <c r="P194" s="94"/>
      <c r="Q194" s="6"/>
      <c r="R194" s="95"/>
      <c r="S194" s="95"/>
      <c r="T194" s="440" t="s">
        <v>138</v>
      </c>
      <c r="U194" s="440"/>
      <c r="V194" s="440"/>
      <c r="W194" s="440"/>
      <c r="X194" s="440"/>
      <c r="Y194" s="440"/>
      <c r="Z194" s="440"/>
      <c r="AA194" s="92"/>
      <c r="AB194" s="435"/>
      <c r="AC194" s="436"/>
      <c r="AD194" s="436"/>
      <c r="AE194" s="437"/>
      <c r="AF194" s="438"/>
      <c r="AG194" s="439"/>
      <c r="AH194" s="439"/>
    </row>
    <row r="195" spans="1:53" ht="13.5" thickBot="1" x14ac:dyDescent="0.25">
      <c r="A195" s="420" t="str">
        <f>IF(D218=1,B210,IF(D218=2,B211,IF(D218=3,B212,IF(D218=4,B213,IF(OR(D218="B",D218="b"),"BYE","invalid")))))</f>
        <v>PEAK 16-Andy</v>
      </c>
      <c r="B195" s="420"/>
      <c r="C195" s="420"/>
      <c r="D195" s="420"/>
      <c r="E195" s="430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420" t="str">
        <f>IF(Y218=1,X210,IF(Y218=2,X211,IF(Y218=3,X212,IF(Y218=4,X213,IF(OR(Y218="B",Y218="b"),"BYE","invalid")))))</f>
        <v>Statesboro 16s</v>
      </c>
      <c r="V195" s="420"/>
      <c r="W195" s="420"/>
      <c r="X195" s="420"/>
      <c r="Y195" s="420"/>
      <c r="Z195" s="420"/>
      <c r="AA195" s="430"/>
      <c r="AB195" s="88"/>
      <c r="AC195" s="88"/>
      <c r="AD195" s="88"/>
      <c r="AE195" s="92"/>
      <c r="AF195" s="88"/>
      <c r="AG195" s="88"/>
    </row>
    <row r="196" spans="1:53" x14ac:dyDescent="0.2">
      <c r="A196" s="421" t="s">
        <v>139</v>
      </c>
      <c r="B196" s="421"/>
      <c r="C196" s="421"/>
      <c r="D196" s="421"/>
      <c r="E196" s="421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431" t="s">
        <v>140</v>
      </c>
      <c r="V196" s="431"/>
      <c r="W196" s="431"/>
      <c r="X196" s="431"/>
      <c r="Y196" s="431"/>
      <c r="Z196" s="431"/>
      <c r="AA196" s="431"/>
      <c r="AB196" s="88"/>
      <c r="AC196" s="88"/>
      <c r="AD196" s="88"/>
      <c r="AE196" s="92"/>
      <c r="AF196" s="88"/>
      <c r="AG196" s="88"/>
      <c r="AQ196" s="96"/>
      <c r="AR196" s="96"/>
      <c r="AS196" s="96"/>
    </row>
    <row r="197" spans="1:53" x14ac:dyDescent="0.2">
      <c r="A197" s="88"/>
      <c r="B197" s="88"/>
      <c r="C197" s="88"/>
      <c r="D197" s="88"/>
      <c r="E197" s="88"/>
      <c r="F197" s="432" t="s">
        <v>141</v>
      </c>
      <c r="G197" s="432"/>
      <c r="H197" s="432"/>
      <c r="I197" s="433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432" t="s">
        <v>141</v>
      </c>
      <c r="AC197" s="432"/>
      <c r="AD197" s="432"/>
      <c r="AE197" s="433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445" t="str">
        <f>IF(K223=1,B210,IF(K223=2,B211,IF(K223=3,B212,IF(K223=4,B213,"Division Winner"))))</f>
        <v>LAVA 16U Purple</v>
      </c>
      <c r="K198" s="446"/>
      <c r="L198" s="446"/>
      <c r="M198" s="446"/>
      <c r="N198" s="446"/>
      <c r="O198" s="446"/>
      <c r="P198" s="446"/>
      <c r="Q198" s="131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446" t="str">
        <f>IF(AF223=1,X210,IF(AF223=2,X211,IF(AF223=3,X212,IF(AF223=4,X213,"Division Winner"))))</f>
        <v>VolleyOneAcademy 16-Amy</v>
      </c>
      <c r="AG198" s="446"/>
      <c r="AH198" s="446"/>
      <c r="AI198" s="446"/>
      <c r="AJ198" s="446"/>
      <c r="AK198" s="98"/>
    </row>
    <row r="199" spans="1:53" ht="13.5" thickBot="1" x14ac:dyDescent="0.25">
      <c r="A199" s="420" t="str">
        <f>IF(E218=1,B210,IF(E218=2,B211,IF(E218=3,B212,IF(E218=4,B213,IF(OR(E218="B",E218="b"),"BYE","invalid")))))</f>
        <v>LAVA 16U Purple</v>
      </c>
      <c r="B199" s="420"/>
      <c r="C199" s="420"/>
      <c r="D199" s="420"/>
      <c r="E199" s="420"/>
      <c r="F199" s="434" t="s">
        <v>142</v>
      </c>
      <c r="G199" s="434"/>
      <c r="H199" s="434"/>
      <c r="I199" s="434"/>
      <c r="J199" s="441" t="s">
        <v>143</v>
      </c>
      <c r="K199" s="432"/>
      <c r="L199" s="432"/>
      <c r="M199" s="432"/>
      <c r="N199" s="432"/>
      <c r="O199" s="432"/>
      <c r="P199" s="432"/>
      <c r="R199" s="98"/>
      <c r="S199" s="98"/>
      <c r="T199" s="98"/>
      <c r="U199" s="420" t="str">
        <f>IF(Z218=1,X210,IF(Z218=2,X211,IF(Z218=3,X212,IF(Z218=4,X213,IF(OR(Z218="B",Z218="b"),"BYE","invalid")))))</f>
        <v>VolleyOneAcademy 16-Amy</v>
      </c>
      <c r="V199" s="420"/>
      <c r="W199" s="420"/>
      <c r="X199" s="420"/>
      <c r="Y199" s="420"/>
      <c r="Z199" s="420"/>
      <c r="AA199" s="420"/>
      <c r="AB199" s="434" t="s">
        <v>144</v>
      </c>
      <c r="AC199" s="434"/>
      <c r="AD199" s="434"/>
      <c r="AE199" s="447"/>
      <c r="AF199" s="448" t="s">
        <v>145</v>
      </c>
      <c r="AG199" s="449"/>
      <c r="AH199" s="449"/>
      <c r="AI199" s="449"/>
      <c r="AJ199" s="449"/>
    </row>
    <row r="200" spans="1:53" x14ac:dyDescent="0.2">
      <c r="A200" s="421" t="s">
        <v>146</v>
      </c>
      <c r="B200" s="421"/>
      <c r="C200" s="421"/>
      <c r="D200" s="421"/>
      <c r="E200" s="421"/>
      <c r="F200" s="90"/>
      <c r="G200" s="88"/>
      <c r="H200" s="88"/>
      <c r="I200" s="88"/>
      <c r="J200" s="441"/>
      <c r="K200" s="432"/>
      <c r="L200" s="432"/>
      <c r="M200" s="432"/>
      <c r="N200" s="432"/>
      <c r="O200" s="432"/>
      <c r="P200" s="432"/>
      <c r="Q200" s="88"/>
      <c r="R200" s="96"/>
      <c r="S200" s="96"/>
      <c r="T200" s="96"/>
      <c r="U200" s="422" t="s">
        <v>147</v>
      </c>
      <c r="V200" s="422"/>
      <c r="W200" s="422"/>
      <c r="X200" s="422"/>
      <c r="Y200" s="422"/>
      <c r="Z200" s="422"/>
      <c r="AA200" s="423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W201" s="58"/>
      <c r="AX201" s="55"/>
      <c r="AY201" s="55"/>
      <c r="AZ201" s="55"/>
      <c r="BA201" s="55"/>
    </row>
    <row r="202" spans="1:53" ht="13.5" thickBot="1" x14ac:dyDescent="0.25">
      <c r="A202" s="432" t="s">
        <v>148</v>
      </c>
      <c r="B202" s="432"/>
      <c r="C202" s="432"/>
      <c r="D202" s="432"/>
      <c r="E202" s="94"/>
      <c r="F202" s="442"/>
      <c r="G202" s="443"/>
      <c r="H202" s="443"/>
      <c r="I202" s="444"/>
      <c r="J202" s="438"/>
      <c r="K202" s="439"/>
      <c r="L202" s="439"/>
      <c r="M202" s="439"/>
      <c r="N202" s="88"/>
      <c r="Q202" s="93"/>
      <c r="R202" s="93"/>
      <c r="S202" s="93"/>
      <c r="T202" s="432" t="s">
        <v>148</v>
      </c>
      <c r="U202" s="432"/>
      <c r="V202" s="432"/>
      <c r="W202" s="432"/>
      <c r="X202" s="432"/>
      <c r="Y202" s="432"/>
      <c r="Z202" s="432"/>
      <c r="AA202" s="88"/>
      <c r="AB202" s="442"/>
      <c r="AC202" s="443"/>
      <c r="AD202" s="443"/>
      <c r="AE202" s="444"/>
      <c r="AF202" s="438"/>
      <c r="AG202" s="439"/>
      <c r="AH202" s="439"/>
      <c r="AW202" s="58"/>
      <c r="AX202" s="55"/>
      <c r="AY202" s="55"/>
      <c r="AZ202" s="55"/>
      <c r="BA202" s="55"/>
    </row>
    <row r="203" spans="1:53" x14ac:dyDescent="0.2">
      <c r="A203" s="434" t="s">
        <v>137</v>
      </c>
      <c r="B203" s="434"/>
      <c r="C203" s="434"/>
      <c r="D203" s="434"/>
      <c r="E203" s="447"/>
      <c r="F203" s="424" t="str">
        <f>IF(J218=1,B210,IF(J218=2,B211,IF(J218=3,B212,IF(J218=4,B213,"Winner Match 2"))))</f>
        <v>LAVA 16U Purple</v>
      </c>
      <c r="G203" s="425"/>
      <c r="H203" s="425"/>
      <c r="I203" s="425"/>
      <c r="J203" s="425"/>
      <c r="K203" s="425"/>
      <c r="L203" s="425"/>
      <c r="M203" s="425"/>
      <c r="N203" s="88"/>
      <c r="P203" s="94"/>
      <c r="Q203" s="94"/>
      <c r="S203" s="95"/>
      <c r="T203" s="434" t="s">
        <v>138</v>
      </c>
      <c r="U203" s="434"/>
      <c r="V203" s="434"/>
      <c r="W203" s="434"/>
      <c r="X203" s="434"/>
      <c r="Y203" s="434"/>
      <c r="Z203" s="434"/>
      <c r="AA203" s="92"/>
      <c r="AB203" s="424" t="str">
        <f>IF(AE218=1,X210,IF(AE218=2,X211,IF(AE218=3,X212,IF(AE218=4,X213,"Winner Match 2"))))</f>
        <v>VolleyOneAcademy 16-Amy</v>
      </c>
      <c r="AC203" s="425"/>
      <c r="AD203" s="425"/>
      <c r="AE203" s="425"/>
      <c r="AF203" s="425"/>
      <c r="AG203" s="425"/>
      <c r="AH203" s="425"/>
      <c r="AW203" s="58"/>
      <c r="AX203" s="55"/>
      <c r="AY203" s="55"/>
      <c r="AZ203" s="55"/>
      <c r="BA203" s="55"/>
    </row>
    <row r="204" spans="1:53" ht="13.5" thickBot="1" x14ac:dyDescent="0.25">
      <c r="A204" s="420" t="str">
        <f>IF(G218=1,B210,IF(G218=2,B211,IF(G218=3,B212,IF(G218=4,B213,IF(OR(G218="B",G218="b"),"BYE","invalid")))))</f>
        <v>CHSElite 16-1</v>
      </c>
      <c r="B204" s="420"/>
      <c r="C204" s="420"/>
      <c r="D204" s="420"/>
      <c r="E204" s="430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420" t="str">
        <f>IF(AB218=1,X210,IF(AB218=2,X211,IF(AB218=3,X212,IF(AB218=4,X213,IF(OR(AB218="B",AB218="b"),"BYE","invalid")))))</f>
        <v>Sumter VBC 17-2</v>
      </c>
      <c r="V204" s="420"/>
      <c r="W204" s="420"/>
      <c r="X204" s="420"/>
      <c r="Y204" s="420"/>
      <c r="Z204" s="420"/>
      <c r="AA204" s="430"/>
      <c r="AB204" s="88"/>
      <c r="AC204" s="88"/>
      <c r="AD204" s="88"/>
      <c r="AE204" s="88"/>
      <c r="AW204" s="58"/>
      <c r="AX204" s="55"/>
      <c r="AY204" s="55"/>
      <c r="AZ204" s="55"/>
      <c r="BA204" s="55"/>
    </row>
    <row r="205" spans="1:53" x14ac:dyDescent="0.2">
      <c r="A205" s="421" t="s">
        <v>149</v>
      </c>
      <c r="B205" s="421"/>
      <c r="C205" s="421"/>
      <c r="D205" s="421"/>
      <c r="E205" s="421"/>
      <c r="S205" s="96"/>
      <c r="T205" s="96"/>
      <c r="U205" s="422" t="s">
        <v>150</v>
      </c>
      <c r="V205" s="422"/>
      <c r="W205" s="422"/>
      <c r="X205" s="422"/>
      <c r="Y205" s="422"/>
      <c r="Z205" s="422"/>
      <c r="AA205" s="422"/>
      <c r="AW205" s="58"/>
      <c r="AX205" s="55"/>
      <c r="AY205" s="55"/>
      <c r="AZ205" s="55"/>
      <c r="BA205" s="55"/>
    </row>
    <row r="206" spans="1:53" x14ac:dyDescent="0.2">
      <c r="AT206" s="55"/>
      <c r="AU206" s="55"/>
      <c r="AV206" s="55"/>
      <c r="AW206" s="58"/>
      <c r="AX206" s="55"/>
      <c r="AY206" s="55"/>
      <c r="AZ206" s="55"/>
      <c r="BA206" s="55"/>
    </row>
    <row r="207" spans="1:53" x14ac:dyDescent="0.2">
      <c r="AT207" s="55"/>
      <c r="AU207" s="55"/>
      <c r="AV207" s="55"/>
      <c r="AW207" s="58"/>
      <c r="AX207" s="55"/>
      <c r="AY207" s="55"/>
      <c r="AZ207" s="55"/>
      <c r="BA207" s="55"/>
    </row>
    <row r="208" spans="1:53" ht="16.5" thickBot="1" x14ac:dyDescent="0.3">
      <c r="A208" s="450" t="s">
        <v>151</v>
      </c>
      <c r="B208" s="450"/>
      <c r="C208" s="450"/>
      <c r="D208" s="450"/>
      <c r="E208" s="450"/>
      <c r="F208" s="450"/>
      <c r="G208" s="450"/>
      <c r="H208" s="450"/>
      <c r="I208" s="450"/>
      <c r="J208" s="450"/>
      <c r="Q208" s="100"/>
      <c r="R208" s="100"/>
      <c r="S208" s="100"/>
      <c r="U208" s="450" t="s">
        <v>152</v>
      </c>
      <c r="V208" s="450"/>
      <c r="W208" s="450"/>
      <c r="X208" s="450"/>
      <c r="Y208" s="450"/>
      <c r="Z208" s="450"/>
      <c r="AA208" s="450"/>
      <c r="AB208" s="450"/>
      <c r="AC208" s="450"/>
      <c r="AD208" s="450"/>
      <c r="AE208" s="450"/>
      <c r="AF208" s="450"/>
      <c r="AT208" s="55"/>
      <c r="AU208" s="55"/>
      <c r="AV208" s="55"/>
      <c r="AW208" s="58"/>
      <c r="AX208" s="55"/>
      <c r="AY208" s="55"/>
      <c r="AZ208" s="55"/>
      <c r="BA208" s="55"/>
    </row>
    <row r="209" spans="1:53" ht="13.5" thickBot="1" x14ac:dyDescent="0.25">
      <c r="A209" s="101" t="s">
        <v>153</v>
      </c>
      <c r="B209" s="451" t="s">
        <v>154</v>
      </c>
      <c r="C209" s="452"/>
      <c r="D209" s="452"/>
      <c r="E209" s="452"/>
      <c r="F209" s="452"/>
      <c r="G209" s="452"/>
      <c r="H209" s="452"/>
      <c r="I209" s="452"/>
      <c r="J209" s="453"/>
      <c r="K209" s="454" t="s">
        <v>155</v>
      </c>
      <c r="L209" s="455"/>
      <c r="M209" s="455"/>
      <c r="N209" s="455"/>
      <c r="O209" s="455"/>
      <c r="P209" s="455"/>
      <c r="Q209" s="456"/>
      <c r="U209" s="457" t="s">
        <v>153</v>
      </c>
      <c r="V209" s="458"/>
      <c r="W209" s="459"/>
      <c r="X209" s="451" t="s">
        <v>154</v>
      </c>
      <c r="Y209" s="452"/>
      <c r="Z209" s="452"/>
      <c r="AA209" s="452"/>
      <c r="AB209" s="452"/>
      <c r="AC209" s="452"/>
      <c r="AD209" s="452"/>
      <c r="AE209" s="452"/>
      <c r="AF209" s="453"/>
      <c r="AG209" s="454" t="s">
        <v>155</v>
      </c>
      <c r="AH209" s="455"/>
      <c r="AI209" s="455"/>
      <c r="AJ209" s="455"/>
      <c r="AK209" s="455"/>
      <c r="AL209" s="455"/>
      <c r="AM209" s="456"/>
      <c r="AT209" s="55"/>
      <c r="AU209" s="55"/>
      <c r="AV209" s="55"/>
      <c r="AW209" s="58"/>
      <c r="AX209" s="55"/>
      <c r="AY209" s="55"/>
      <c r="AZ209" s="55"/>
      <c r="BA209" s="55"/>
    </row>
    <row r="210" spans="1:53" ht="13.5" thickBot="1" x14ac:dyDescent="0.25">
      <c r="A210" s="101">
        <v>1</v>
      </c>
      <c r="B210" s="460" t="str">
        <f>B179</f>
        <v>Augusta Elite 16 Fusion</v>
      </c>
      <c r="C210" s="461"/>
      <c r="D210" s="461"/>
      <c r="E210" s="461"/>
      <c r="F210" s="461"/>
      <c r="G210" s="461"/>
      <c r="H210" s="461"/>
      <c r="I210" s="461"/>
      <c r="J210" s="462"/>
      <c r="K210" s="463" t="str">
        <f>H179</f>
        <v>fj6aelit1pm</v>
      </c>
      <c r="L210" s="464"/>
      <c r="M210" s="464"/>
      <c r="N210" s="464"/>
      <c r="O210" s="464"/>
      <c r="P210" s="464"/>
      <c r="Q210" s="465"/>
      <c r="U210" s="457">
        <v>1</v>
      </c>
      <c r="V210" s="458"/>
      <c r="W210" s="459"/>
      <c r="X210" s="460" t="str">
        <f>V179</f>
        <v>PEAK 16-Chip</v>
      </c>
      <c r="Y210" s="461"/>
      <c r="Z210" s="461"/>
      <c r="AA210" s="461"/>
      <c r="AB210" s="461"/>
      <c r="AC210" s="461"/>
      <c r="AD210" s="461"/>
      <c r="AE210" s="461"/>
      <c r="AF210" s="462"/>
      <c r="AG210" s="463" t="str">
        <f>AB179</f>
        <v>fj6cpeak4cr</v>
      </c>
      <c r="AH210" s="464"/>
      <c r="AI210" s="464"/>
      <c r="AJ210" s="464"/>
      <c r="AK210" s="464"/>
      <c r="AL210" s="464"/>
      <c r="AM210" s="465"/>
      <c r="AT210" s="55"/>
      <c r="AU210" s="55"/>
      <c r="AV210" s="55"/>
      <c r="AW210" s="58"/>
      <c r="AX210" s="55"/>
      <c r="AY210" s="55"/>
      <c r="AZ210" s="55"/>
      <c r="BA210" s="55"/>
    </row>
    <row r="211" spans="1:53" ht="13.5" thickBot="1" x14ac:dyDescent="0.25">
      <c r="A211" s="101">
        <v>2</v>
      </c>
      <c r="B211" s="460" t="str">
        <f>B180</f>
        <v>LAVA 16U Purple</v>
      </c>
      <c r="C211" s="461"/>
      <c r="D211" s="461"/>
      <c r="E211" s="461"/>
      <c r="F211" s="461"/>
      <c r="G211" s="461"/>
      <c r="H211" s="461"/>
      <c r="I211" s="461"/>
      <c r="J211" s="462"/>
      <c r="K211" s="463" t="str">
        <f>H180</f>
        <v>fj6lavaf1cr</v>
      </c>
      <c r="L211" s="464"/>
      <c r="M211" s="464"/>
      <c r="N211" s="464"/>
      <c r="O211" s="464"/>
      <c r="P211" s="464"/>
      <c r="Q211" s="465"/>
      <c r="U211" s="457">
        <v>2</v>
      </c>
      <c r="V211" s="458"/>
      <c r="W211" s="459"/>
      <c r="X211" s="460" t="str">
        <f>V180</f>
        <v>VolleyOneAcademy 16-Amy</v>
      </c>
      <c r="Y211" s="461"/>
      <c r="Z211" s="461"/>
      <c r="AA211" s="461"/>
      <c r="AB211" s="461"/>
      <c r="AC211" s="461"/>
      <c r="AD211" s="461"/>
      <c r="AE211" s="461"/>
      <c r="AF211" s="462"/>
      <c r="AG211" s="463" t="str">
        <f>AB180</f>
        <v>fj6vonea1pm</v>
      </c>
      <c r="AH211" s="464"/>
      <c r="AI211" s="464"/>
      <c r="AJ211" s="464"/>
      <c r="AK211" s="464"/>
      <c r="AL211" s="464"/>
      <c r="AM211" s="465"/>
      <c r="AT211" s="55"/>
      <c r="AU211" s="55"/>
      <c r="AV211" s="55"/>
      <c r="AW211" s="58"/>
      <c r="AX211" s="55"/>
      <c r="AY211" s="55"/>
      <c r="AZ211" s="55"/>
      <c r="BA211" s="55"/>
    </row>
    <row r="212" spans="1:53" ht="13.5" thickBot="1" x14ac:dyDescent="0.25">
      <c r="A212" s="101">
        <v>3</v>
      </c>
      <c r="B212" s="460" t="str">
        <f>L179</f>
        <v>CHSElite 16-1</v>
      </c>
      <c r="C212" s="461"/>
      <c r="D212" s="461"/>
      <c r="E212" s="461"/>
      <c r="F212" s="461"/>
      <c r="G212" s="461"/>
      <c r="H212" s="461"/>
      <c r="I212" s="461"/>
      <c r="J212" s="462"/>
      <c r="K212" s="463" t="str">
        <f>R179</f>
        <v>fj6celit1pm</v>
      </c>
      <c r="L212" s="464"/>
      <c r="M212" s="464"/>
      <c r="N212" s="464"/>
      <c r="O212" s="464"/>
      <c r="P212" s="464"/>
      <c r="Q212" s="465"/>
      <c r="U212" s="457">
        <v>3</v>
      </c>
      <c r="V212" s="458"/>
      <c r="W212" s="459"/>
      <c r="X212" s="460" t="str">
        <f>AF179</f>
        <v>Sumter VBC 17-2</v>
      </c>
      <c r="Y212" s="461"/>
      <c r="Z212" s="461"/>
      <c r="AA212" s="461"/>
      <c r="AB212" s="461"/>
      <c r="AC212" s="461"/>
      <c r="AD212" s="461"/>
      <c r="AE212" s="461"/>
      <c r="AF212" s="462"/>
      <c r="AG212" s="463" t="str">
        <f>AL179</f>
        <v>fj7sumtr2pm</v>
      </c>
      <c r="AH212" s="464"/>
      <c r="AI212" s="464"/>
      <c r="AJ212" s="464"/>
      <c r="AK212" s="464"/>
      <c r="AL212" s="464"/>
      <c r="AM212" s="465"/>
      <c r="AT212" s="55"/>
      <c r="AU212" s="55"/>
      <c r="AV212" s="55"/>
      <c r="AW212" s="58"/>
      <c r="AX212" s="55"/>
      <c r="AY212" s="55"/>
      <c r="AZ212" s="55"/>
      <c r="BA212" s="55"/>
    </row>
    <row r="213" spans="1:53" ht="13.5" thickBot="1" x14ac:dyDescent="0.25">
      <c r="A213" s="101">
        <v>4</v>
      </c>
      <c r="B213" s="460" t="str">
        <f>L180</f>
        <v>PEAK 16-Andy</v>
      </c>
      <c r="C213" s="461"/>
      <c r="D213" s="461"/>
      <c r="E213" s="461"/>
      <c r="F213" s="461"/>
      <c r="G213" s="461"/>
      <c r="H213" s="461"/>
      <c r="I213" s="461"/>
      <c r="J213" s="462"/>
      <c r="K213" s="463" t="str">
        <f>R180</f>
        <v>fj6cpeak5cr</v>
      </c>
      <c r="L213" s="464"/>
      <c r="M213" s="464"/>
      <c r="N213" s="464"/>
      <c r="O213" s="464"/>
      <c r="P213" s="464"/>
      <c r="Q213" s="465"/>
      <c r="U213" s="457">
        <v>4</v>
      </c>
      <c r="V213" s="458"/>
      <c r="W213" s="459"/>
      <c r="X213" s="460" t="str">
        <f>AF180</f>
        <v>Statesboro 16s</v>
      </c>
      <c r="Y213" s="461"/>
      <c r="Z213" s="461"/>
      <c r="AA213" s="461"/>
      <c r="AB213" s="461"/>
      <c r="AC213" s="461"/>
      <c r="AD213" s="461"/>
      <c r="AE213" s="461"/>
      <c r="AF213" s="462"/>
      <c r="AG213" s="463" t="str">
        <f>AL180</f>
        <v>FJ6SVAVC1SO</v>
      </c>
      <c r="AH213" s="464"/>
      <c r="AI213" s="464"/>
      <c r="AJ213" s="464"/>
      <c r="AK213" s="464"/>
      <c r="AL213" s="464"/>
      <c r="AM213" s="465"/>
      <c r="AT213" s="55"/>
      <c r="AU213" s="55"/>
      <c r="AV213" s="55"/>
      <c r="AW213" s="58"/>
      <c r="AX213" s="55"/>
      <c r="AY213" s="55"/>
      <c r="AZ213" s="55"/>
      <c r="BA213" s="55"/>
    </row>
    <row r="214" spans="1:53" ht="13.5" thickBot="1" x14ac:dyDescent="0.25">
      <c r="AT214" s="55"/>
      <c r="AU214" s="55"/>
      <c r="AV214" s="55"/>
      <c r="AW214" s="58"/>
      <c r="AX214" s="55"/>
      <c r="AY214" s="55"/>
      <c r="AZ214" s="55"/>
      <c r="BA214" s="55"/>
    </row>
    <row r="215" spans="1:53" x14ac:dyDescent="0.2">
      <c r="B215" s="466" t="s">
        <v>156</v>
      </c>
      <c r="C215" s="467"/>
      <c r="D215" s="468"/>
      <c r="E215" s="469" t="s">
        <v>156</v>
      </c>
      <c r="F215" s="467"/>
      <c r="G215" s="468"/>
      <c r="H215" s="469" t="s">
        <v>14</v>
      </c>
      <c r="I215" s="467"/>
      <c r="J215" s="470"/>
      <c r="K215" s="471" t="s">
        <v>157</v>
      </c>
      <c r="L215" s="472"/>
      <c r="M215" s="472"/>
      <c r="N215" s="472"/>
      <c r="O215" s="472"/>
      <c r="P215" s="472"/>
      <c r="Q215" s="473"/>
      <c r="R215" s="102"/>
      <c r="S215" s="102"/>
      <c r="T215" s="102"/>
      <c r="U215" s="102"/>
      <c r="W215" s="466" t="s">
        <v>156</v>
      </c>
      <c r="X215" s="467"/>
      <c r="Y215" s="468"/>
      <c r="Z215" s="469" t="s">
        <v>156</v>
      </c>
      <c r="AA215" s="467"/>
      <c r="AB215" s="468"/>
      <c r="AC215" s="469" t="s">
        <v>14</v>
      </c>
      <c r="AD215" s="467"/>
      <c r="AE215" s="470"/>
      <c r="AF215" s="471" t="s">
        <v>157</v>
      </c>
      <c r="AG215" s="480"/>
      <c r="AH215" s="480"/>
      <c r="AI215" s="480"/>
      <c r="AJ215" s="481"/>
      <c r="AW215" s="58"/>
      <c r="AX215" s="55"/>
      <c r="AY215" s="55"/>
      <c r="AZ215" s="55"/>
      <c r="BA215" s="55"/>
    </row>
    <row r="216" spans="1:53" x14ac:dyDescent="0.2">
      <c r="A216" s="41" t="s">
        <v>158</v>
      </c>
      <c r="B216" s="488">
        <v>3</v>
      </c>
      <c r="C216" s="489"/>
      <c r="D216" s="490"/>
      <c r="E216" s="491" t="s">
        <v>159</v>
      </c>
      <c r="F216" s="489"/>
      <c r="G216" s="490"/>
      <c r="H216" s="491" t="s">
        <v>160</v>
      </c>
      <c r="I216" s="489"/>
      <c r="J216" s="492"/>
      <c r="K216" s="474"/>
      <c r="L216" s="475"/>
      <c r="M216" s="475"/>
      <c r="N216" s="475"/>
      <c r="O216" s="475"/>
      <c r="P216" s="475"/>
      <c r="Q216" s="476"/>
      <c r="R216" s="102"/>
      <c r="S216" s="102"/>
      <c r="T216" s="493" t="s">
        <v>158</v>
      </c>
      <c r="U216" s="493"/>
      <c r="V216" s="494"/>
      <c r="W216" s="488">
        <v>3</v>
      </c>
      <c r="X216" s="489"/>
      <c r="Y216" s="490"/>
      <c r="Z216" s="491" t="s">
        <v>159</v>
      </c>
      <c r="AA216" s="489"/>
      <c r="AB216" s="490"/>
      <c r="AC216" s="491" t="s">
        <v>160</v>
      </c>
      <c r="AD216" s="489"/>
      <c r="AE216" s="492"/>
      <c r="AF216" s="482"/>
      <c r="AG216" s="483"/>
      <c r="AH216" s="483"/>
      <c r="AI216" s="483"/>
      <c r="AJ216" s="484"/>
      <c r="AW216" s="58"/>
      <c r="AX216" s="55"/>
      <c r="AY216" s="55"/>
      <c r="AZ216" s="55"/>
      <c r="BA216" s="55"/>
    </row>
    <row r="217" spans="1:53" ht="13.5" thickBot="1" x14ac:dyDescent="0.25">
      <c r="A217" s="7"/>
      <c r="B217" s="501" t="s">
        <v>70</v>
      </c>
      <c r="C217" s="323"/>
      <c r="D217" s="324"/>
      <c r="E217" s="322" t="s">
        <v>161</v>
      </c>
      <c r="F217" s="323"/>
      <c r="G217" s="324"/>
      <c r="H217" s="322" t="s">
        <v>162</v>
      </c>
      <c r="I217" s="323"/>
      <c r="J217" s="495"/>
      <c r="K217" s="477"/>
      <c r="L217" s="478"/>
      <c r="M217" s="478"/>
      <c r="N217" s="478"/>
      <c r="O217" s="478"/>
      <c r="P217" s="478"/>
      <c r="Q217" s="479"/>
      <c r="R217" s="102"/>
      <c r="S217" s="102"/>
      <c r="T217" s="499"/>
      <c r="U217" s="499"/>
      <c r="V217" s="500"/>
      <c r="W217" s="501" t="s">
        <v>70</v>
      </c>
      <c r="X217" s="323"/>
      <c r="Y217" s="324"/>
      <c r="Z217" s="322" t="s">
        <v>161</v>
      </c>
      <c r="AA217" s="323"/>
      <c r="AB217" s="324"/>
      <c r="AC217" s="322" t="s">
        <v>162</v>
      </c>
      <c r="AD217" s="323"/>
      <c r="AE217" s="495"/>
      <c r="AF217" s="485"/>
      <c r="AG217" s="486"/>
      <c r="AH217" s="486"/>
      <c r="AI217" s="486"/>
      <c r="AJ217" s="487"/>
      <c r="AW217" s="58"/>
      <c r="AX217" s="55"/>
      <c r="AY217" s="55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4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2</v>
      </c>
      <c r="K218" s="496" t="s">
        <v>163</v>
      </c>
      <c r="L218" s="497"/>
      <c r="M218" s="497"/>
      <c r="N218" s="498"/>
      <c r="R218" s="102"/>
      <c r="S218" s="102"/>
      <c r="T218" s="499"/>
      <c r="U218" s="499"/>
      <c r="V218" s="500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1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2</v>
      </c>
      <c r="AF218" s="496" t="s">
        <v>163</v>
      </c>
      <c r="AG218" s="498"/>
      <c r="AH218" s="102"/>
      <c r="AI218" s="102"/>
      <c r="AJ218" s="102"/>
      <c r="AW218" s="58"/>
      <c r="AX218" s="55"/>
      <c r="AY218" s="55"/>
      <c r="AZ218" s="55"/>
      <c r="BA218" s="55"/>
    </row>
    <row r="219" spans="1:53" ht="13.5" hidden="1" customHeight="1" x14ac:dyDescent="0.2">
      <c r="A219" s="7"/>
      <c r="B219" s="110">
        <f>IF(B223&gt;D223,1,0)</f>
        <v>0</v>
      </c>
      <c r="C219" s="111"/>
      <c r="D219" s="112">
        <f>IF(D223&gt;B223,1,0)</f>
        <v>1</v>
      </c>
      <c r="E219" s="110">
        <f>IF(E223&gt;G223,1,0)</f>
        <v>1</v>
      </c>
      <c r="F219" s="111"/>
      <c r="G219" s="112">
        <f>IF(G223&gt;E223,1,0)</f>
        <v>0</v>
      </c>
      <c r="H219" s="110">
        <f>IF(H223&gt;J223,1,0)</f>
        <v>1</v>
      </c>
      <c r="I219" s="111"/>
      <c r="J219" s="112">
        <f>IF(J223&gt;H223,1,0)</f>
        <v>0</v>
      </c>
      <c r="K219" s="113"/>
      <c r="L219" s="114"/>
      <c r="M219" s="114"/>
      <c r="N219" s="115"/>
      <c r="R219" s="102"/>
      <c r="S219" s="102"/>
      <c r="T219" s="499"/>
      <c r="U219" s="499"/>
      <c r="V219" s="500"/>
      <c r="W219" s="110">
        <f>IF(W223&gt;Y223,1,0)</f>
        <v>1</v>
      </c>
      <c r="X219" s="111"/>
      <c r="Y219" s="112">
        <f>IF(Y223&gt;W223,1,0)</f>
        <v>0</v>
      </c>
      <c r="Z219" s="110">
        <f>IF(Z223&gt;AB223,1,0)</f>
        <v>1</v>
      </c>
      <c r="AA219" s="111"/>
      <c r="AB219" s="112">
        <f>IF(AB223&gt;Z223,1,0)</f>
        <v>0</v>
      </c>
      <c r="AC219" s="110">
        <f>IF(AC223&gt;AE223,1,0)</f>
        <v>1</v>
      </c>
      <c r="AD219" s="111"/>
      <c r="AE219" s="112">
        <f>IF(AE223&gt;AC223,1,0)</f>
        <v>0</v>
      </c>
      <c r="AF219" s="116"/>
      <c r="AG219" s="117"/>
      <c r="AH219" s="102"/>
      <c r="AI219" s="102"/>
      <c r="AJ219" s="102"/>
      <c r="AW219" s="58"/>
      <c r="AX219" s="55"/>
      <c r="AY219" s="55"/>
      <c r="AZ219" s="55"/>
      <c r="BA219" s="55"/>
    </row>
    <row r="220" spans="1:53" ht="13.5" hidden="1" customHeight="1" x14ac:dyDescent="0.2">
      <c r="A220" s="7"/>
      <c r="B220" s="110">
        <f>IF(B224&gt;D224,1,0)</f>
        <v>0</v>
      </c>
      <c r="C220" s="111"/>
      <c r="D220" s="112">
        <f>IF(D224&gt;B224,1,0)</f>
        <v>0</v>
      </c>
      <c r="E220" s="110">
        <f>IF(E224&gt;G224,1,0)</f>
        <v>0</v>
      </c>
      <c r="F220" s="111"/>
      <c r="G220" s="112">
        <f>IF(G224&gt;E224,1,0)</f>
        <v>0</v>
      </c>
      <c r="H220" s="110">
        <f>IF(H224&gt;J224,1,0)</f>
        <v>0</v>
      </c>
      <c r="I220" s="111"/>
      <c r="J220" s="112">
        <f>IF(J224&gt;H224,1,0)</f>
        <v>1</v>
      </c>
      <c r="K220" s="113"/>
      <c r="L220" s="114"/>
      <c r="M220" s="114"/>
      <c r="N220" s="115"/>
      <c r="R220" s="102"/>
      <c r="S220" s="102"/>
      <c r="T220" s="499"/>
      <c r="U220" s="499"/>
      <c r="V220" s="500"/>
      <c r="W220" s="110">
        <f>IF(W224&gt;Y224,1,0)</f>
        <v>0</v>
      </c>
      <c r="X220" s="111"/>
      <c r="Y220" s="112">
        <f>IF(Y224&gt;W224,1,0)</f>
        <v>0</v>
      </c>
      <c r="Z220" s="110">
        <f>IF(Z224&gt;AB224,1,0)</f>
        <v>0</v>
      </c>
      <c r="AA220" s="111"/>
      <c r="AB220" s="112">
        <f>IF(AB224&gt;Z224,1,0)</f>
        <v>0</v>
      </c>
      <c r="AC220" s="110">
        <f>IF(AC224&gt;AE224,1,0)</f>
        <v>0</v>
      </c>
      <c r="AD220" s="111"/>
      <c r="AE220" s="112">
        <f>IF(AE224&gt;AC224,1,0)</f>
        <v>1</v>
      </c>
      <c r="AF220" s="116"/>
      <c r="AG220" s="117"/>
      <c r="AH220" s="102"/>
      <c r="AI220" s="102"/>
      <c r="AJ220" s="102"/>
      <c r="AW220" s="58"/>
      <c r="AX220" s="55"/>
      <c r="AY220" s="55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0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1</v>
      </c>
      <c r="K221" s="113"/>
      <c r="L221" s="114"/>
      <c r="M221" s="114"/>
      <c r="N221" s="115"/>
      <c r="R221" s="102"/>
      <c r="S221" s="102"/>
      <c r="T221" s="499"/>
      <c r="U221" s="499"/>
      <c r="V221" s="500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0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1</v>
      </c>
      <c r="AF221" s="116"/>
      <c r="AG221" s="117"/>
      <c r="AH221" s="102"/>
      <c r="AI221" s="102"/>
      <c r="AJ221" s="102"/>
      <c r="AW221" s="58"/>
      <c r="AX221" s="55"/>
      <c r="AY221" s="55"/>
      <c r="AZ221" s="55"/>
      <c r="BA221" s="55"/>
    </row>
    <row r="222" spans="1:53" ht="13.5" hidden="1" customHeight="1" x14ac:dyDescent="0.2">
      <c r="A222" s="7"/>
      <c r="B222" s="110">
        <f>SUM(B219:B221)</f>
        <v>0</v>
      </c>
      <c r="C222" s="111"/>
      <c r="D222" s="110">
        <f>SUM(D219:D221)</f>
        <v>1</v>
      </c>
      <c r="E222" s="110">
        <f>SUM(E219:E221)</f>
        <v>1</v>
      </c>
      <c r="F222" s="111"/>
      <c r="G222" s="110">
        <f>SUM(G219:G221)</f>
        <v>0</v>
      </c>
      <c r="H222" s="110">
        <f>SUM(H219:H221)</f>
        <v>1</v>
      </c>
      <c r="I222" s="111"/>
      <c r="J222" s="110">
        <f>SUM(J219:J221)</f>
        <v>2</v>
      </c>
      <c r="K222" s="113"/>
      <c r="L222" s="114"/>
      <c r="M222" s="114"/>
      <c r="N222" s="115"/>
      <c r="R222" s="102"/>
      <c r="S222" s="102"/>
      <c r="T222" s="499"/>
      <c r="U222" s="499"/>
      <c r="V222" s="500"/>
      <c r="W222" s="110">
        <f>SUM(W219:W221)</f>
        <v>1</v>
      </c>
      <c r="X222" s="111"/>
      <c r="Y222" s="110">
        <f>SUM(Y219:Y221)</f>
        <v>0</v>
      </c>
      <c r="Z222" s="110">
        <f>SUM(Z219:Z221)</f>
        <v>1</v>
      </c>
      <c r="AA222" s="111"/>
      <c r="AB222" s="110">
        <f>SUM(AB219:AB221)</f>
        <v>0</v>
      </c>
      <c r="AC222" s="110">
        <f>SUM(AC219:AC221)</f>
        <v>1</v>
      </c>
      <c r="AD222" s="111"/>
      <c r="AE222" s="110">
        <f>SUM(AE219:AE221)</f>
        <v>2</v>
      </c>
      <c r="AF222" s="116"/>
      <c r="AG222" s="117"/>
      <c r="AH222" s="102"/>
      <c r="AI222" s="102"/>
      <c r="AJ222" s="102"/>
      <c r="AW222" s="58"/>
      <c r="AX222" s="55"/>
      <c r="AY222" s="55"/>
      <c r="AZ222" s="55"/>
      <c r="BA222" s="55"/>
    </row>
    <row r="223" spans="1:53" ht="12.75" customHeight="1" x14ac:dyDescent="0.2">
      <c r="A223" s="5" t="s">
        <v>79</v>
      </c>
      <c r="B223" s="118">
        <v>17</v>
      </c>
      <c r="C223" s="50" t="s">
        <v>80</v>
      </c>
      <c r="D223" s="119">
        <v>25</v>
      </c>
      <c r="E223" s="120">
        <v>25</v>
      </c>
      <c r="F223" s="50" t="s">
        <v>80</v>
      </c>
      <c r="G223" s="119">
        <v>9</v>
      </c>
      <c r="H223" s="120">
        <v>25</v>
      </c>
      <c r="I223" s="50" t="s">
        <v>80</v>
      </c>
      <c r="J223" s="121">
        <v>23</v>
      </c>
      <c r="K223" s="504">
        <f>IF(AND(OR(H222&gt;0,J222&gt;0),AND(1&lt;=H218,H218&lt;=4),AND(1&lt;=J218,J218&lt;=4)),IF(H222&gt;J222,H218,IF(J222&gt;H222,J218,"")),"")</f>
        <v>2</v>
      </c>
      <c r="L223" s="505"/>
      <c r="M223" s="505"/>
      <c r="N223" s="506"/>
      <c r="R223" s="102"/>
      <c r="S223" s="102"/>
      <c r="T223" s="122"/>
      <c r="U223" s="122"/>
      <c r="V223" s="5" t="s">
        <v>79</v>
      </c>
      <c r="W223" s="118">
        <v>25</v>
      </c>
      <c r="X223" s="50" t="s">
        <v>80</v>
      </c>
      <c r="Y223" s="119">
        <v>16</v>
      </c>
      <c r="Z223" s="120">
        <v>25</v>
      </c>
      <c r="AA223" s="50" t="s">
        <v>80</v>
      </c>
      <c r="AB223" s="119">
        <v>19</v>
      </c>
      <c r="AC223" s="120">
        <v>25</v>
      </c>
      <c r="AD223" s="50" t="s">
        <v>80</v>
      </c>
      <c r="AE223" s="121">
        <v>20</v>
      </c>
      <c r="AF223" s="504">
        <f>IF(AND(OR(AC222&gt;0,AE222&gt;0),AND(1&lt;=AC218,AC218&lt;=4),AND(1&lt;=AE218,AE218&lt;=4)),IF(AC222&gt;AE222,AC218,IF(AE222&gt;AC222,AE218,"")),"")</f>
        <v>2</v>
      </c>
      <c r="AG223" s="506"/>
      <c r="AH223" s="102"/>
      <c r="AI223" s="102"/>
      <c r="AJ223" s="102"/>
      <c r="AW223" s="58"/>
      <c r="AX223" s="55"/>
      <c r="AY223" s="55"/>
      <c r="AZ223" s="55"/>
      <c r="BA223" s="55"/>
    </row>
    <row r="224" spans="1:53" ht="12.75" customHeight="1" x14ac:dyDescent="0.2">
      <c r="A224" s="5" t="s">
        <v>164</v>
      </c>
      <c r="B224" s="118"/>
      <c r="C224" s="50" t="s">
        <v>80</v>
      </c>
      <c r="D224" s="119"/>
      <c r="E224" s="120"/>
      <c r="F224" s="50" t="s">
        <v>80</v>
      </c>
      <c r="G224" s="119"/>
      <c r="H224" s="120">
        <v>10</v>
      </c>
      <c r="I224" s="50" t="s">
        <v>80</v>
      </c>
      <c r="J224" s="121">
        <v>25</v>
      </c>
      <c r="K224" s="507"/>
      <c r="L224" s="508"/>
      <c r="M224" s="508"/>
      <c r="N224" s="509"/>
      <c r="R224" s="102"/>
      <c r="S224" s="102"/>
      <c r="T224" s="122"/>
      <c r="U224" s="122"/>
      <c r="V224" s="5" t="s">
        <v>164</v>
      </c>
      <c r="W224" s="118"/>
      <c r="X224" s="50" t="s">
        <v>80</v>
      </c>
      <c r="Y224" s="119"/>
      <c r="Z224" s="120"/>
      <c r="AA224" s="50" t="s">
        <v>80</v>
      </c>
      <c r="AB224" s="119"/>
      <c r="AC224" s="120">
        <v>18</v>
      </c>
      <c r="AD224" s="50" t="s">
        <v>80</v>
      </c>
      <c r="AE224" s="121">
        <v>25</v>
      </c>
      <c r="AF224" s="507"/>
      <c r="AG224" s="509"/>
      <c r="AH224" s="102"/>
      <c r="AI224" s="102"/>
      <c r="AJ224" s="102"/>
      <c r="AW224" s="58"/>
      <c r="AX224" s="55"/>
      <c r="AY224" s="55"/>
      <c r="AZ224" s="55"/>
      <c r="BA224" s="55"/>
    </row>
    <row r="225" spans="1:77" ht="13.5" customHeight="1" thickBot="1" x14ac:dyDescent="0.25">
      <c r="A225" s="5" t="s">
        <v>165</v>
      </c>
      <c r="B225" s="123"/>
      <c r="C225" s="124" t="s">
        <v>80</v>
      </c>
      <c r="D225" s="125"/>
      <c r="E225" s="126"/>
      <c r="F225" s="124" t="s">
        <v>80</v>
      </c>
      <c r="G225" s="125"/>
      <c r="H225" s="126">
        <v>8</v>
      </c>
      <c r="I225" s="124" t="s">
        <v>80</v>
      </c>
      <c r="J225" s="127">
        <v>15</v>
      </c>
      <c r="K225" s="510"/>
      <c r="L225" s="511"/>
      <c r="M225" s="511"/>
      <c r="N225" s="512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/>
      <c r="AA225" s="124" t="s">
        <v>80</v>
      </c>
      <c r="AB225" s="125"/>
      <c r="AC225" s="126">
        <v>13</v>
      </c>
      <c r="AD225" s="124" t="s">
        <v>80</v>
      </c>
      <c r="AE225" s="127">
        <v>15</v>
      </c>
      <c r="AF225" s="510"/>
      <c r="AG225" s="512"/>
      <c r="AH225" s="102"/>
      <c r="AI225" s="102"/>
      <c r="AJ225" s="102"/>
      <c r="AW225" s="58"/>
      <c r="AX225" s="55"/>
      <c r="AY225" s="55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Augusta Elite 16 Fusion</v>
      </c>
      <c r="AU226" s="4">
        <f>J227</f>
        <v>2316.2116999108894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Augusta Elite 16 Fusion</v>
      </c>
      <c r="C227" s="4">
        <f>VLOOKUP(B227,AU$2:AY$22,4,FALSE)</f>
        <v>2325.7587268994484</v>
      </c>
      <c r="D227" s="4">
        <f>IF(A227=B218,B233,IF(A227=D218,D233,C227))</f>
        <v>2316.2116999108894</v>
      </c>
      <c r="G227" s="4">
        <f>IF(A227=E218,E233,IF(A227=G218,G233,D227))</f>
        <v>2316.2116999108894</v>
      </c>
      <c r="J227" s="4">
        <f>IF(A227=H218,H233,IF(A227=J218,J233,G227))</f>
        <v>2316.2116999108894</v>
      </c>
      <c r="U227" s="129"/>
      <c r="V227" s="129">
        <v>1</v>
      </c>
      <c r="W227" s="4" t="str">
        <f>X210</f>
        <v>PEAK 16-Chip</v>
      </c>
      <c r="X227" s="4">
        <f>VLOOKUP(W227,AU$2:AY$22,4,FALSE)</f>
        <v>2176.91916326104</v>
      </c>
      <c r="Y227" s="4">
        <f>IF(V227=W218,W233,IF(V227=Y218,Y233,X227))</f>
        <v>2183.5113997254794</v>
      </c>
      <c r="AB227" s="4">
        <f>IF(V227=Z218,Z233,IF(V227=AB218,AB233,Y227))</f>
        <v>2183.5113997254794</v>
      </c>
      <c r="AE227" s="4">
        <f>IF(V227=AC218,AC233,IF(V227=AE218,AE233,AB227))</f>
        <v>2175.394029072223</v>
      </c>
      <c r="AT227" s="4" t="str">
        <f>B228</f>
        <v>LAVA 16U Purple</v>
      </c>
      <c r="AU227" s="4">
        <f>J228</f>
        <v>2311.4565337056633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LAVA 16U Purple</v>
      </c>
      <c r="C228" s="4">
        <f>VLOOKUP(B228,AU$2:AY$22,4,FALSE)</f>
        <v>2300.7385559451241</v>
      </c>
      <c r="D228" s="4">
        <f>IF(A228=B218,B233,IF(A228=D218,D233,C228))</f>
        <v>2300.7385559451241</v>
      </c>
      <c r="G228" s="4">
        <f>IF(A228=E218,E233,IF(A228=G218,G233,D228))</f>
        <v>2306.1302850420902</v>
      </c>
      <c r="J228" s="4">
        <f>IF(A228=H218,H233,IF(A228=J218,J233,G228))</f>
        <v>2311.4565337056633</v>
      </c>
      <c r="U228" s="129"/>
      <c r="V228" s="129">
        <v>2</v>
      </c>
      <c r="W228" s="4" t="str">
        <f>X211</f>
        <v>VolleyOneAcademy 16-Amy</v>
      </c>
      <c r="X228" s="4">
        <f>VLOOKUP(W228,AU$2:AY$22,4,FALSE)</f>
        <v>2171.8274567195708</v>
      </c>
      <c r="Y228" s="4">
        <f>IF(V228=W218,W233,IF(V228=Y218,Y233,X228))</f>
        <v>2171.8274567195708</v>
      </c>
      <c r="AB228" s="4">
        <f>IF(V228=Z218,Z233,IF(V228=AB218,AB233,Y228))</f>
        <v>2181.8122719448088</v>
      </c>
      <c r="AE228" s="4">
        <f>IF(V228=AC218,AC233,IF(V228=AE218,AE233,AB228))</f>
        <v>2189.9296425980651</v>
      </c>
      <c r="AT228" s="4" t="str">
        <f>B229</f>
        <v>CHSElite 16-1</v>
      </c>
      <c r="AU228" s="4">
        <f>J229</f>
        <v>2177.7802114634451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CHSElite 16-1</v>
      </c>
      <c r="C229" s="4">
        <f>VLOOKUP(B229,AU$2:AY$22,4,FALSE)</f>
        <v>2183.1719405604113</v>
      </c>
      <c r="D229" s="4">
        <f>IF(A229=B218,B233,IF(A229=D218,D233,C229))</f>
        <v>2183.1719405604113</v>
      </c>
      <c r="G229" s="4">
        <f>IF(A229=E218,E233,IF(A229=G218,G233,D229))</f>
        <v>2177.7802114634451</v>
      </c>
      <c r="J229" s="4">
        <f>IF(A229=H218,H233,IF(A229=J218,J233,G229))</f>
        <v>2177.7802114634451</v>
      </c>
      <c r="U229" s="129"/>
      <c r="V229" s="129">
        <v>3</v>
      </c>
      <c r="W229" s="4" t="str">
        <f>X212</f>
        <v>Sumter VBC 17-2</v>
      </c>
      <c r="X229" s="4">
        <f>VLOOKUP(W229,AU$2:AY$22,4,FALSE)</f>
        <v>2259.8638806595072</v>
      </c>
      <c r="Y229" s="4">
        <f>IF(V229=W218,W233,IF(V229=Y218,Y233,X229))</f>
        <v>2259.8638806595072</v>
      </c>
      <c r="AB229" s="4">
        <f>IF(V229=Z218,Z233,IF(V229=AB218,AB233,Y229))</f>
        <v>2249.8790654342693</v>
      </c>
      <c r="AE229" s="4">
        <f>IF(V229=AC218,AC233,IF(V229=AE218,AE233,AB229))</f>
        <v>2249.8790654342693</v>
      </c>
      <c r="AT229" s="4" t="str">
        <f>B230</f>
        <v>PEAK 16-Andy</v>
      </c>
      <c r="AU229" s="4">
        <f>J230</f>
        <v>2261.9361846103438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PEAK 16-Andy</v>
      </c>
      <c r="C230" s="4">
        <f>VLOOKUP(B230,AU$2:AY$22,4,FALSE)</f>
        <v>2257.7154062853579</v>
      </c>
      <c r="D230" s="4">
        <f>IF(A230=B218,B233,IF(A230=D218,D233,C230))</f>
        <v>2267.2624332739169</v>
      </c>
      <c r="G230" s="4">
        <f>IF(A230=E218,E233,IF(A230=G218,G233,D230))</f>
        <v>2267.2624332739169</v>
      </c>
      <c r="J230" s="4">
        <f>IF(A230=H218,H233,IF(A230=J218,J233,G230))</f>
        <v>2261.9361846103438</v>
      </c>
      <c r="U230" s="129"/>
      <c r="V230" s="129">
        <v>4</v>
      </c>
      <c r="W230" s="4" t="str">
        <f>X213</f>
        <v>Statesboro 16s</v>
      </c>
      <c r="X230" s="4">
        <f>VLOOKUP(W230,AU$2:AY$22,4,FALSE)</f>
        <v>2115.1377169844309</v>
      </c>
      <c r="Y230" s="4">
        <f>IF(V230=W218,W233,IF(V230=Y218,Y233,X230))</f>
        <v>2108.5454805199915</v>
      </c>
      <c r="AB230" s="4">
        <f>IF(V230=Z218,Z233,IF(V230=AB218,AB233,Y230))</f>
        <v>2108.5454805199915</v>
      </c>
      <c r="AE230" s="4">
        <f>IF(V230=AC218,AC233,IF(V230=AE218,AE233,AB230))</f>
        <v>2108.5454805199915</v>
      </c>
      <c r="AT230" s="4" t="str">
        <f>W227</f>
        <v>PEAK 16-Chip</v>
      </c>
      <c r="AU230" s="4">
        <f>AE227</f>
        <v>2175.394029072223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2325.7587268994484</v>
      </c>
      <c r="D231" s="4">
        <f>VLOOKUP(D218,$A227:$J230,3,FALSE)</f>
        <v>2257.7154062853579</v>
      </c>
      <c r="E231" s="4">
        <f>VLOOKUP(E218,$A227:$J230,4,FALSE)</f>
        <v>2300.7385559451241</v>
      </c>
      <c r="G231" s="4">
        <f>VLOOKUP(G218,$A227:$J230,4,FALSE)</f>
        <v>2183.1719405604113</v>
      </c>
      <c r="H231" s="4">
        <f>VLOOKUP(H218,$A227:$J230,7,FALSE)</f>
        <v>2267.2624332739169</v>
      </c>
      <c r="J231" s="4">
        <f>VLOOKUP(J218,$A227:$J230,7,FALSE)</f>
        <v>2306.1302850420902</v>
      </c>
      <c r="T231" s="513" t="s">
        <v>116</v>
      </c>
      <c r="U231" s="513"/>
      <c r="V231" s="513"/>
      <c r="W231" s="4">
        <f>VLOOKUP(W218,$V227:$AE230,3,FALSE)</f>
        <v>2176.91916326104</v>
      </c>
      <c r="Y231" s="4">
        <f>VLOOKUP(Y218,$V227:$AE230,3,FALSE)</f>
        <v>2115.1377169844309</v>
      </c>
      <c r="Z231" s="4">
        <f>VLOOKUP(Z218,$V227:$AE230,4,FALSE)</f>
        <v>2171.8274567195708</v>
      </c>
      <c r="AB231" s="4">
        <f>VLOOKUP(AB218,$V227:$AE230,4,FALSE)</f>
        <v>2259.8638806595072</v>
      </c>
      <c r="AC231" s="4">
        <f>VLOOKUP(AC218,$V227:$AE230,7,FALSE)</f>
        <v>2183.5113997254794</v>
      </c>
      <c r="AE231" s="4">
        <f>VLOOKUP(AE218,$V227:$AE230,7,FALSE)</f>
        <v>2181.8122719448088</v>
      </c>
      <c r="AT231" s="4" t="str">
        <f>W228</f>
        <v>VolleyOneAcademy 16-Amy</v>
      </c>
      <c r="AU231" s="4">
        <f>AE228</f>
        <v>2189.9296425980651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1/(1+(10^-((B231-D231)/400)))*(B222+D222)</f>
        <v>0.59668918678493843</v>
      </c>
      <c r="C232" s="69"/>
      <c r="D232" s="69">
        <f>1/(1+(10^-((D231-B231)/400)))*(B222+D222)</f>
        <v>0.40331081321506163</v>
      </c>
      <c r="E232" s="69">
        <f>1/(1+(10^-((E231-G231)/400)))*(E222+G222)</f>
        <v>0.6630169314396247</v>
      </c>
      <c r="G232" s="69">
        <f>1/(1+(10^-((G231-E231)/400)))*(E222+G222)</f>
        <v>0.33698306856037524</v>
      </c>
      <c r="H232" s="69">
        <f>1/(1+(10^-((H231-J231)/400)))*(H222+J222)</f>
        <v>1.3328905414733108</v>
      </c>
      <c r="J232" s="69">
        <f>1/(1+(10^-((J231-H231)/400)))*(H222+J222)</f>
        <v>1.667109458526689</v>
      </c>
      <c r="T232" s="514" t="s">
        <v>117</v>
      </c>
      <c r="U232" s="514"/>
      <c r="V232" s="514"/>
      <c r="W232" s="69">
        <f>1/(1+(10^-((W231-Y231)/400)))*(W222+Y222)</f>
        <v>0.5879852209725539</v>
      </c>
      <c r="X232" s="69"/>
      <c r="Y232" s="69">
        <f>1/(1+(10^-((Y231-W231)/400)))*(W222+Y222)</f>
        <v>0.41201477902744615</v>
      </c>
      <c r="Z232" s="69">
        <f>1/(1+(10^-((Z231-AB231)/400)))*(Z222+AB222)</f>
        <v>0.37594904842262483</v>
      </c>
      <c r="AB232" s="69">
        <f>1/(1+(10^-((AB231-Z231)/400)))*(Z222+AB222)</f>
        <v>0.62405095157737511</v>
      </c>
      <c r="AC232" s="69">
        <f>1/(1+(10^-((AC231-AE231)/400)))*(AC222+AE222)</f>
        <v>1.5073356658285237</v>
      </c>
      <c r="AE232" s="69">
        <f>1/(1+(10^-((AE231-AC231)/400)))*(AC222+AE222)</f>
        <v>1.492664334171476</v>
      </c>
      <c r="AT232" s="4" t="str">
        <f>W229</f>
        <v>Sumter VBC 17-2</v>
      </c>
      <c r="AU232" s="4">
        <f>AE229</f>
        <v>2249.8790654342693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2316.2116999108894</v>
      </c>
      <c r="C233" s="75"/>
      <c r="D233" s="75">
        <f>D231+(D222-D232)*$BA$2</f>
        <v>2267.2624332739169</v>
      </c>
      <c r="E233" s="75">
        <f>E231+(E222-E232)*$BA$2</f>
        <v>2306.1302850420902</v>
      </c>
      <c r="G233" s="75">
        <f>G231+(G222-G232)*$BA$2</f>
        <v>2177.7802114634451</v>
      </c>
      <c r="H233" s="75">
        <f>H231+(H222-H232)*$BA$2</f>
        <v>2261.9361846103438</v>
      </c>
      <c r="J233" s="75">
        <f>J231+(J222-J232)*$BA$2</f>
        <v>2311.4565337056633</v>
      </c>
      <c r="T233" s="502" t="s">
        <v>118</v>
      </c>
      <c r="U233" s="502"/>
      <c r="V233" s="502"/>
      <c r="W233" s="75">
        <f>W231+(W222-W232)*$BA$2</f>
        <v>2183.5113997254794</v>
      </c>
      <c r="X233" s="75"/>
      <c r="Y233" s="75">
        <f>Y231+(Y222-Y232)*$BA$2</f>
        <v>2108.5454805199915</v>
      </c>
      <c r="Z233" s="75">
        <f>Z231+(Z222-Z232)*$BA$2</f>
        <v>2181.8122719448088</v>
      </c>
      <c r="AB233" s="75">
        <f>AB231+(AB222-AB232)*$BA$2</f>
        <v>2249.8790654342693</v>
      </c>
      <c r="AC233" s="75">
        <f>AC231+(AC222-AC232)*$BA$2</f>
        <v>2175.394029072223</v>
      </c>
      <c r="AE233" s="75">
        <f>AE231+(AE222-AE232)*$BA$2</f>
        <v>2189.9296425980651</v>
      </c>
      <c r="AT233" s="4" t="str">
        <f>W230</f>
        <v>Statesboro 16s</v>
      </c>
      <c r="AU233" s="4">
        <f>AE230</f>
        <v>2108.5454805199915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503" t="s">
        <v>169</v>
      </c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R234" s="102"/>
      <c r="S234" s="102"/>
      <c r="T234" s="122"/>
      <c r="U234" s="122"/>
      <c r="V234" s="503" t="s">
        <v>169</v>
      </c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02"/>
      <c r="AI234" s="102"/>
      <c r="AJ234" s="102"/>
      <c r="AW234" s="58"/>
      <c r="AX234" s="55"/>
      <c r="AY234" s="55"/>
      <c r="AZ234" s="55"/>
      <c r="BA234" s="55"/>
    </row>
    <row r="235" spans="1:77" x14ac:dyDescent="0.2">
      <c r="AT235" s="55"/>
      <c r="AU235" s="55"/>
      <c r="AV235" s="55"/>
      <c r="AW235" s="58"/>
      <c r="AX235" s="55"/>
      <c r="AY235" s="55"/>
      <c r="AZ235" s="55"/>
      <c r="BA235" s="55"/>
    </row>
    <row r="236" spans="1:77" x14ac:dyDescent="0.2">
      <c r="AT236" s="55"/>
      <c r="AU236" s="55"/>
      <c r="AV236" s="55"/>
      <c r="AW236" s="58"/>
      <c r="AX236" s="55"/>
      <c r="AY236" s="55"/>
      <c r="AZ236" s="55"/>
      <c r="BA236" s="55"/>
    </row>
    <row r="237" spans="1:77" x14ac:dyDescent="0.2">
      <c r="AT237" s="55"/>
      <c r="AU237" s="55"/>
      <c r="AV237" s="55"/>
      <c r="AW237" s="58"/>
      <c r="AX237" s="55"/>
      <c r="AY237" s="55"/>
      <c r="AZ237" s="55"/>
      <c r="BA237" s="55"/>
    </row>
    <row r="238" spans="1:77" x14ac:dyDescent="0.2">
      <c r="AT238" s="55"/>
      <c r="AU238" s="55"/>
      <c r="AV238" s="55"/>
      <c r="AW238" s="58"/>
      <c r="AX238" s="55"/>
      <c r="AY238" s="55"/>
      <c r="AZ238" s="55"/>
      <c r="BA238" s="55"/>
    </row>
    <row r="239" spans="1:77" x14ac:dyDescent="0.2">
      <c r="AT239" s="55"/>
      <c r="AU239" s="55"/>
      <c r="AV239" s="55"/>
      <c r="AW239" s="58"/>
      <c r="AX239" s="55"/>
      <c r="AY239" s="55"/>
      <c r="AZ239" s="55"/>
      <c r="BA239" s="55"/>
    </row>
    <row r="240" spans="1:77" x14ac:dyDescent="0.2">
      <c r="AT240" s="55"/>
      <c r="AU240" s="55"/>
      <c r="AV240" s="55"/>
      <c r="AW240" s="58"/>
      <c r="AX240" s="55"/>
      <c r="AY240" s="55"/>
      <c r="AZ240" s="55"/>
      <c r="BA240" s="55"/>
    </row>
    <row r="241" spans="46:53" x14ac:dyDescent="0.2">
      <c r="AT241" s="55"/>
      <c r="AU241" s="55"/>
      <c r="AV241" s="55"/>
      <c r="AW241" s="58"/>
      <c r="AX241" s="55"/>
      <c r="AY241" s="55"/>
      <c r="AZ241" s="55"/>
      <c r="BA241" s="55"/>
    </row>
    <row r="242" spans="46:53" x14ac:dyDescent="0.2">
      <c r="AT242" s="55"/>
      <c r="AU242" s="55"/>
      <c r="AV242" s="55"/>
      <c r="AW242" s="58"/>
      <c r="AX242" s="55"/>
      <c r="AY242" s="55"/>
      <c r="AZ242" s="55"/>
      <c r="BA242" s="55"/>
    </row>
    <row r="243" spans="46:53" x14ac:dyDescent="0.2">
      <c r="AT243" s="55"/>
      <c r="AU243" s="55"/>
      <c r="AV243" s="55"/>
      <c r="AW243" s="58"/>
      <c r="AX243" s="55"/>
      <c r="AY243" s="55"/>
      <c r="AZ243" s="55"/>
      <c r="BA243" s="55"/>
    </row>
    <row r="244" spans="46:53" x14ac:dyDescent="0.2">
      <c r="AT244" s="55"/>
      <c r="AU244" s="55"/>
      <c r="AV244" s="55"/>
      <c r="AW244" s="58"/>
      <c r="AX244" s="55"/>
      <c r="AY244" s="55"/>
      <c r="AZ244" s="55"/>
      <c r="BA244" s="55"/>
    </row>
    <row r="245" spans="46:53" x14ac:dyDescent="0.2">
      <c r="AT245" s="55"/>
      <c r="AU245" s="55"/>
      <c r="AV245" s="55"/>
      <c r="AW245" s="58"/>
      <c r="AX245" s="55"/>
      <c r="AY245" s="55"/>
      <c r="AZ245" s="55"/>
      <c r="BA245" s="55"/>
    </row>
    <row r="246" spans="46:53" x14ac:dyDescent="0.2">
      <c r="AT246" s="55"/>
      <c r="AU246" s="55"/>
      <c r="AV246" s="55"/>
      <c r="AW246" s="58"/>
      <c r="AX246" s="55"/>
      <c r="AY246" s="55"/>
      <c r="AZ246" s="55"/>
      <c r="BA246" s="55"/>
    </row>
    <row r="247" spans="46:53" x14ac:dyDescent="0.2">
      <c r="AT247" s="55"/>
      <c r="AU247" s="55"/>
      <c r="AV247" s="55"/>
    </row>
    <row r="248" spans="46:53" x14ac:dyDescent="0.2">
      <c r="AT248" s="55"/>
      <c r="AU248" s="55"/>
      <c r="AV248" s="55"/>
      <c r="AW248" s="66"/>
      <c r="AX248" s="63"/>
      <c r="AY248" s="63"/>
      <c r="AZ248" s="63"/>
      <c r="BA248" s="63"/>
    </row>
    <row r="249" spans="46:53" x14ac:dyDescent="0.2">
      <c r="AT249" s="55"/>
      <c r="AU249" s="55"/>
      <c r="AV249" s="55"/>
      <c r="AW249" s="66"/>
      <c r="AX249" s="63"/>
      <c r="AY249" s="63"/>
      <c r="AZ249" s="63"/>
      <c r="BA249" s="63"/>
    </row>
    <row r="250" spans="46:53" x14ac:dyDescent="0.2">
      <c r="AT250" s="55"/>
      <c r="AU250" s="55"/>
      <c r="AV250" s="55"/>
      <c r="AW250" s="66"/>
      <c r="AX250" s="63"/>
      <c r="AY250" s="63"/>
      <c r="AZ250" s="63"/>
      <c r="BA250" s="63"/>
    </row>
    <row r="251" spans="46:53" x14ac:dyDescent="0.2">
      <c r="AT251" s="55"/>
      <c r="AU251" s="55"/>
      <c r="AV251" s="55"/>
      <c r="AW251" s="66"/>
      <c r="AX251" s="63"/>
      <c r="AY251" s="63"/>
      <c r="AZ251" s="63"/>
      <c r="BA251" s="63"/>
    </row>
    <row r="252" spans="46:53" x14ac:dyDescent="0.2">
      <c r="AT252" s="55"/>
      <c r="AU252" s="55"/>
      <c r="AV252" s="55"/>
      <c r="AW252" s="66"/>
      <c r="AX252" s="63"/>
      <c r="AY252" s="63"/>
      <c r="AZ252" s="63"/>
      <c r="BA252" s="63"/>
    </row>
    <row r="253" spans="46:53" x14ac:dyDescent="0.2">
      <c r="AT253" s="55"/>
      <c r="AU253" s="55"/>
      <c r="AV253" s="55"/>
      <c r="AW253" s="66"/>
      <c r="AX253" s="63"/>
      <c r="AY253" s="63"/>
      <c r="AZ253" s="63"/>
      <c r="BA253" s="63"/>
    </row>
    <row r="254" spans="46:53" x14ac:dyDescent="0.2">
      <c r="AT254" s="55"/>
      <c r="AU254" s="55"/>
      <c r="AV254" s="55"/>
      <c r="AW254" s="66"/>
      <c r="AX254" s="63"/>
      <c r="AY254" s="63"/>
      <c r="AZ254" s="63"/>
      <c r="BA254" s="63"/>
    </row>
    <row r="255" spans="46:53" x14ac:dyDescent="0.2">
      <c r="AT255" s="55"/>
      <c r="AU255" s="55"/>
      <c r="AV255" s="55"/>
      <c r="AW255" s="66"/>
      <c r="AX255" s="63"/>
      <c r="AY255" s="63"/>
      <c r="AZ255" s="63"/>
      <c r="BA255" s="63"/>
    </row>
    <row r="256" spans="46:53" x14ac:dyDescent="0.2">
      <c r="AT256" s="55"/>
      <c r="AU256" s="55"/>
      <c r="AV256" s="55"/>
      <c r="AW256" s="73"/>
      <c r="AX256" s="72"/>
      <c r="AY256" s="72"/>
      <c r="AZ256" s="72"/>
      <c r="BA256" s="72"/>
    </row>
    <row r="257" spans="46:53" x14ac:dyDescent="0.2">
      <c r="AT257" s="55"/>
      <c r="AU257" s="55"/>
      <c r="AV257" s="55"/>
      <c r="AW257" s="79"/>
      <c r="AX257" s="78"/>
      <c r="AY257" s="78"/>
      <c r="AZ257" s="78"/>
      <c r="BA257" s="78"/>
    </row>
    <row r="258" spans="46:53" x14ac:dyDescent="0.2">
      <c r="AT258" s="55"/>
      <c r="AU258" s="55"/>
      <c r="AV258" s="55"/>
      <c r="AW258" s="79"/>
      <c r="AX258" s="78"/>
      <c r="AY258" s="78"/>
      <c r="AZ258" s="78"/>
      <c r="BA258" s="78"/>
    </row>
    <row r="259" spans="46:53" x14ac:dyDescent="0.2">
      <c r="AT259" s="55"/>
      <c r="AU259" s="55"/>
      <c r="AV259" s="55"/>
      <c r="AW259" s="66"/>
      <c r="AX259" s="63"/>
      <c r="AY259" s="63"/>
      <c r="AZ259" s="63"/>
      <c r="BA259" s="63"/>
    </row>
    <row r="260" spans="46:53" x14ac:dyDescent="0.2">
      <c r="AT260" s="63"/>
      <c r="AU260" s="63"/>
      <c r="AV260" s="63"/>
      <c r="AW260" s="66"/>
      <c r="AX260" s="63"/>
      <c r="AY260" s="63"/>
      <c r="AZ260" s="63"/>
      <c r="BA260" s="63"/>
    </row>
    <row r="261" spans="46:53" x14ac:dyDescent="0.2">
      <c r="AT261" s="63"/>
      <c r="AU261" s="63"/>
      <c r="AV261" s="63"/>
    </row>
    <row r="286" spans="46:53" x14ac:dyDescent="0.2">
      <c r="AT286" s="55"/>
      <c r="AU286" s="55"/>
      <c r="AV286" s="55"/>
      <c r="AW286" s="58"/>
      <c r="AX286" s="55"/>
      <c r="AY286" s="55"/>
      <c r="AZ286" s="55"/>
      <c r="BA286" s="55"/>
    </row>
    <row r="287" spans="46:53" x14ac:dyDescent="0.2">
      <c r="AT287" s="55"/>
      <c r="AU287" s="55"/>
      <c r="AV287" s="55"/>
      <c r="AW287" s="58"/>
      <c r="AX287" s="55"/>
      <c r="AY287" s="55"/>
      <c r="AZ287" s="55"/>
      <c r="BA287" s="55"/>
    </row>
    <row r="288" spans="46:53" x14ac:dyDescent="0.2">
      <c r="AT288" s="55"/>
      <c r="AU288" s="55"/>
      <c r="AV288" s="55"/>
      <c r="AW288" s="58"/>
      <c r="AX288" s="55"/>
      <c r="AY288" s="55"/>
      <c r="AZ288" s="55"/>
      <c r="BA288" s="55"/>
    </row>
    <row r="289" spans="46:53" x14ac:dyDescent="0.2">
      <c r="AT289" s="55"/>
      <c r="AU289" s="55"/>
      <c r="AV289" s="55"/>
      <c r="AW289" s="58"/>
      <c r="AX289" s="55"/>
      <c r="AY289" s="55"/>
      <c r="AZ289" s="55"/>
      <c r="BA289" s="55"/>
    </row>
    <row r="290" spans="46:53" x14ac:dyDescent="0.2">
      <c r="AT290" s="55"/>
      <c r="AU290" s="55"/>
      <c r="AV290" s="55"/>
      <c r="AW290" s="58"/>
      <c r="AX290" s="55"/>
      <c r="AY290" s="55"/>
      <c r="AZ290" s="55"/>
      <c r="BA290" s="55"/>
    </row>
    <row r="291" spans="46:53" x14ac:dyDescent="0.2">
      <c r="AT291" s="55"/>
      <c r="AU291" s="55"/>
      <c r="AV291" s="55"/>
      <c r="AW291" s="58"/>
      <c r="AX291" s="55"/>
      <c r="AY291" s="55"/>
      <c r="AZ291" s="55"/>
      <c r="BA291" s="55"/>
    </row>
    <row r="292" spans="46:53" x14ac:dyDescent="0.2">
      <c r="AT292" s="55"/>
      <c r="AU292" s="55"/>
      <c r="AV292" s="55"/>
      <c r="AW292" s="58"/>
      <c r="AX292" s="55"/>
      <c r="AY292" s="55"/>
      <c r="AZ292" s="55"/>
      <c r="BA292" s="55"/>
    </row>
    <row r="293" spans="46:53" x14ac:dyDescent="0.2">
      <c r="AT293" s="55"/>
      <c r="AU293" s="55"/>
      <c r="AV293" s="55"/>
      <c r="AW293" s="58"/>
      <c r="AX293" s="55"/>
      <c r="AY293" s="55"/>
      <c r="AZ293" s="55"/>
      <c r="BA293" s="55"/>
    </row>
    <row r="294" spans="46:53" x14ac:dyDescent="0.2">
      <c r="AT294" s="55"/>
      <c r="AU294" s="55"/>
      <c r="AV294" s="55"/>
      <c r="AW294" s="58"/>
      <c r="AX294" s="55"/>
      <c r="AY294" s="55"/>
      <c r="AZ294" s="55"/>
      <c r="BA294" s="55"/>
    </row>
    <row r="295" spans="46:53" x14ac:dyDescent="0.2">
      <c r="AT295" s="55"/>
      <c r="AU295" s="55"/>
      <c r="AV295" s="55"/>
      <c r="AW295" s="58"/>
      <c r="AX295" s="55"/>
      <c r="AY295" s="55"/>
      <c r="AZ295" s="55"/>
      <c r="BA295" s="55"/>
    </row>
    <row r="296" spans="46:53" x14ac:dyDescent="0.2">
      <c r="AT296" s="55"/>
      <c r="AU296" s="55"/>
      <c r="AV296" s="55"/>
      <c r="AW296" s="58"/>
      <c r="AX296" s="55"/>
      <c r="AY296" s="55"/>
      <c r="AZ296" s="55"/>
      <c r="BA296" s="55"/>
    </row>
    <row r="297" spans="46:53" x14ac:dyDescent="0.2">
      <c r="AT297" s="55"/>
      <c r="AU297" s="55"/>
      <c r="AV297" s="55"/>
      <c r="AW297" s="58"/>
      <c r="AX297" s="55"/>
      <c r="AY297" s="55"/>
      <c r="AZ297" s="55"/>
      <c r="BA297" s="55"/>
    </row>
    <row r="298" spans="46:53" x14ac:dyDescent="0.2">
      <c r="AT298" s="55"/>
      <c r="AU298" s="55"/>
      <c r="AV298" s="55"/>
      <c r="AW298" s="58"/>
      <c r="AX298" s="55"/>
      <c r="AY298" s="55"/>
      <c r="AZ298" s="55"/>
      <c r="BA298" s="55"/>
    </row>
    <row r="299" spans="46:53" x14ac:dyDescent="0.2">
      <c r="AT299" s="55"/>
      <c r="AU299" s="55"/>
      <c r="AV299" s="55"/>
      <c r="AW299" s="58"/>
      <c r="AX299" s="55"/>
      <c r="AY299" s="55"/>
      <c r="AZ299" s="55"/>
      <c r="BA299" s="55"/>
    </row>
    <row r="300" spans="46:53" x14ac:dyDescent="0.2">
      <c r="AT300" s="55"/>
      <c r="AU300" s="55"/>
      <c r="AV300" s="55"/>
      <c r="AW300" s="58"/>
      <c r="AX300" s="55"/>
      <c r="AY300" s="55"/>
      <c r="AZ300" s="55"/>
      <c r="BA300" s="55"/>
    </row>
    <row r="301" spans="46:53" x14ac:dyDescent="0.2">
      <c r="AT301" s="55"/>
      <c r="AU301" s="55"/>
      <c r="AV301" s="55"/>
      <c r="AW301" s="58"/>
      <c r="AX301" s="55"/>
      <c r="AY301" s="55"/>
      <c r="AZ301" s="55"/>
      <c r="BA301" s="55"/>
    </row>
    <row r="302" spans="46:53" x14ac:dyDescent="0.2">
      <c r="AT302" s="55"/>
      <c r="AU302" s="55"/>
      <c r="AV302" s="55"/>
      <c r="AW302" s="58"/>
      <c r="AX302" s="55"/>
      <c r="AY302" s="55"/>
      <c r="AZ302" s="55"/>
      <c r="BA302" s="55"/>
    </row>
    <row r="303" spans="46:53" x14ac:dyDescent="0.2">
      <c r="AT303" s="55"/>
      <c r="AU303" s="55"/>
      <c r="AV303" s="55"/>
      <c r="AW303" s="58"/>
      <c r="AX303" s="55"/>
      <c r="AY303" s="55"/>
      <c r="AZ303" s="55"/>
      <c r="BA303" s="55"/>
    </row>
    <row r="304" spans="46:53" x14ac:dyDescent="0.2">
      <c r="AT304" s="55"/>
      <c r="AU304" s="55"/>
      <c r="AV304" s="55"/>
      <c r="AW304" s="58"/>
      <c r="AX304" s="55"/>
      <c r="AY304" s="55"/>
      <c r="AZ304" s="55"/>
      <c r="BA304" s="55"/>
    </row>
    <row r="305" spans="46:53" x14ac:dyDescent="0.2">
      <c r="AT305" s="55"/>
      <c r="AU305" s="55"/>
      <c r="AV305" s="55"/>
      <c r="AW305" s="58"/>
      <c r="AX305" s="55"/>
      <c r="AY305" s="55"/>
      <c r="AZ305" s="55"/>
      <c r="BA305" s="55"/>
    </row>
    <row r="306" spans="46:53" x14ac:dyDescent="0.2">
      <c r="AT306" s="55"/>
      <c r="AU306" s="55"/>
      <c r="AV306" s="55"/>
      <c r="AW306" s="58"/>
      <c r="AX306" s="55"/>
      <c r="AY306" s="55"/>
      <c r="AZ306" s="55"/>
      <c r="BA306" s="55"/>
    </row>
    <row r="307" spans="46:53" x14ac:dyDescent="0.2">
      <c r="AT307" s="55"/>
      <c r="AU307" s="55"/>
      <c r="AV307" s="55"/>
      <c r="AW307" s="58"/>
      <c r="AX307" s="55"/>
      <c r="AY307" s="55"/>
      <c r="AZ307" s="55"/>
      <c r="BA307" s="55"/>
    </row>
    <row r="308" spans="46:53" x14ac:dyDescent="0.2">
      <c r="AT308" s="55"/>
      <c r="AU308" s="55"/>
      <c r="AV308" s="55"/>
      <c r="AW308" s="58"/>
      <c r="AX308" s="55"/>
      <c r="AY308" s="55"/>
      <c r="AZ308" s="55"/>
      <c r="BA308" s="55"/>
    </row>
    <row r="309" spans="46:53" x14ac:dyDescent="0.2">
      <c r="AT309" s="55"/>
      <c r="AU309" s="55"/>
      <c r="AV309" s="55"/>
      <c r="AW309" s="58"/>
      <c r="AX309" s="55"/>
      <c r="AY309" s="55"/>
      <c r="AZ309" s="55"/>
      <c r="BA309" s="55"/>
    </row>
    <row r="310" spans="46:53" x14ac:dyDescent="0.2">
      <c r="AT310" s="55"/>
      <c r="AU310" s="55"/>
      <c r="AV310" s="55"/>
      <c r="AW310" s="58"/>
      <c r="AX310" s="55"/>
      <c r="AY310" s="55"/>
      <c r="AZ310" s="55"/>
      <c r="BA310" s="55"/>
    </row>
    <row r="311" spans="46:53" x14ac:dyDescent="0.2">
      <c r="AT311" s="55"/>
      <c r="AU311" s="55"/>
      <c r="AV311" s="55"/>
      <c r="AW311" s="58"/>
      <c r="AX311" s="55"/>
      <c r="AY311" s="55"/>
      <c r="AZ311" s="55"/>
      <c r="BA311" s="55"/>
    </row>
    <row r="312" spans="46:53" x14ac:dyDescent="0.2">
      <c r="AT312" s="55"/>
      <c r="AU312" s="55"/>
      <c r="AV312" s="55"/>
      <c r="AW312" s="58"/>
      <c r="AX312" s="55"/>
      <c r="AY312" s="55"/>
      <c r="AZ312" s="55"/>
      <c r="BA312" s="55"/>
    </row>
    <row r="313" spans="46:53" x14ac:dyDescent="0.2">
      <c r="AT313" s="55"/>
      <c r="AU313" s="55"/>
      <c r="AV313" s="55"/>
      <c r="AW313" s="58"/>
      <c r="AX313" s="55"/>
      <c r="AY313" s="55"/>
      <c r="AZ313" s="55"/>
      <c r="BA313" s="55"/>
    </row>
    <row r="314" spans="46:53" x14ac:dyDescent="0.2">
      <c r="AT314" s="55"/>
      <c r="AU314" s="55"/>
      <c r="AV314" s="55"/>
      <c r="AW314" s="58"/>
      <c r="AX314" s="55"/>
      <c r="AY314" s="55"/>
      <c r="AZ314" s="55"/>
      <c r="BA314" s="55"/>
    </row>
    <row r="315" spans="46:53" x14ac:dyDescent="0.2">
      <c r="AT315" s="55"/>
      <c r="AU315" s="55"/>
      <c r="AV315" s="55"/>
      <c r="AW315" s="58"/>
      <c r="AX315" s="55"/>
      <c r="AY315" s="55"/>
      <c r="AZ315" s="55"/>
      <c r="BA315" s="55"/>
    </row>
    <row r="316" spans="46:53" x14ac:dyDescent="0.2">
      <c r="AT316" s="55"/>
      <c r="AU316" s="55"/>
      <c r="AV316" s="55"/>
      <c r="AW316" s="58"/>
      <c r="AX316" s="55"/>
      <c r="AY316" s="55"/>
      <c r="AZ316" s="55"/>
      <c r="BA316" s="55"/>
    </row>
    <row r="317" spans="46:53" x14ac:dyDescent="0.2">
      <c r="AT317" s="55"/>
      <c r="AU317" s="55"/>
      <c r="AV317" s="55"/>
      <c r="AW317" s="58"/>
      <c r="AX317" s="55"/>
      <c r="AY317" s="55"/>
      <c r="AZ317" s="55"/>
      <c r="BA317" s="55"/>
    </row>
    <row r="318" spans="46:53" x14ac:dyDescent="0.2">
      <c r="AT318" s="55"/>
      <c r="AU318" s="55"/>
      <c r="AV318" s="55"/>
      <c r="AW318" s="58"/>
      <c r="AX318" s="55"/>
      <c r="AY318" s="55"/>
      <c r="AZ318" s="55"/>
      <c r="BA318" s="55"/>
    </row>
    <row r="319" spans="46:53" x14ac:dyDescent="0.2">
      <c r="AT319" s="55"/>
      <c r="AU319" s="55"/>
      <c r="AV319" s="55"/>
      <c r="AW319" s="58"/>
      <c r="AX319" s="55"/>
      <c r="AY319" s="55"/>
      <c r="AZ319" s="55"/>
      <c r="BA319" s="55"/>
    </row>
    <row r="320" spans="46:53" x14ac:dyDescent="0.2">
      <c r="AT320" s="55"/>
      <c r="AU320" s="55"/>
      <c r="AV320" s="55"/>
      <c r="AW320" s="58"/>
      <c r="AX320" s="55"/>
      <c r="AY320" s="55"/>
      <c r="AZ320" s="55"/>
      <c r="BA320" s="55"/>
    </row>
    <row r="321" spans="46:53" x14ac:dyDescent="0.2">
      <c r="AT321" s="55"/>
      <c r="AU321" s="55"/>
      <c r="AV321" s="55"/>
      <c r="AW321" s="58"/>
      <c r="AX321" s="55"/>
      <c r="AY321" s="55"/>
      <c r="AZ321" s="55"/>
      <c r="BA321" s="55"/>
    </row>
    <row r="322" spans="46:53" x14ac:dyDescent="0.2">
      <c r="AT322" s="55"/>
      <c r="AU322" s="55"/>
      <c r="AV322" s="55"/>
      <c r="AW322" s="58"/>
      <c r="AX322" s="55"/>
      <c r="AY322" s="55"/>
      <c r="AZ322" s="55"/>
      <c r="BA322" s="55"/>
    </row>
    <row r="323" spans="46:53" x14ac:dyDescent="0.2">
      <c r="AT323" s="55"/>
      <c r="AU323" s="55"/>
      <c r="AV323" s="55"/>
      <c r="AW323" s="58"/>
      <c r="AX323" s="55"/>
      <c r="AY323" s="55"/>
      <c r="AZ323" s="55"/>
      <c r="BA323" s="55"/>
    </row>
    <row r="324" spans="46:53" x14ac:dyDescent="0.2">
      <c r="AT324" s="55"/>
      <c r="AU324" s="55"/>
      <c r="AV324" s="55"/>
      <c r="AW324" s="58"/>
      <c r="AX324" s="55"/>
      <c r="AY324" s="55"/>
      <c r="AZ324" s="55"/>
      <c r="BA324" s="55"/>
    </row>
    <row r="325" spans="46:53" x14ac:dyDescent="0.2">
      <c r="AT325" s="55"/>
      <c r="AU325" s="55"/>
      <c r="AV325" s="55"/>
      <c r="AW325" s="58"/>
      <c r="AX325" s="55"/>
      <c r="AY325" s="55"/>
      <c r="AZ325" s="55"/>
      <c r="BA325" s="55"/>
    </row>
    <row r="326" spans="46:53" x14ac:dyDescent="0.2">
      <c r="AT326" s="55"/>
      <c r="AU326" s="55"/>
      <c r="AV326" s="55"/>
      <c r="AW326" s="58"/>
      <c r="AX326" s="55"/>
      <c r="AY326" s="55"/>
      <c r="AZ326" s="55"/>
      <c r="BA326" s="55"/>
    </row>
    <row r="327" spans="46:53" x14ac:dyDescent="0.2">
      <c r="AT327" s="55"/>
      <c r="AU327" s="55"/>
      <c r="AV327" s="55"/>
      <c r="AW327" s="58"/>
      <c r="AX327" s="55"/>
      <c r="AY327" s="55"/>
      <c r="AZ327" s="55"/>
      <c r="BA327" s="55"/>
    </row>
    <row r="328" spans="46:53" x14ac:dyDescent="0.2">
      <c r="AT328" s="55"/>
      <c r="AU328" s="55"/>
      <c r="AV328" s="55"/>
      <c r="AW328" s="58"/>
      <c r="AX328" s="55"/>
      <c r="AY328" s="55"/>
      <c r="AZ328" s="55"/>
      <c r="BA328" s="55"/>
    </row>
    <row r="329" spans="46:53" x14ac:dyDescent="0.2">
      <c r="AT329" s="55"/>
      <c r="AU329" s="55"/>
      <c r="AV329" s="55"/>
      <c r="AW329" s="58"/>
      <c r="AX329" s="55"/>
      <c r="AY329" s="55"/>
      <c r="AZ329" s="55"/>
      <c r="BA329" s="55"/>
    </row>
    <row r="330" spans="46:53" x14ac:dyDescent="0.2">
      <c r="AT330" s="55"/>
      <c r="AU330" s="55"/>
      <c r="AV330" s="55"/>
      <c r="AW330" s="58"/>
      <c r="AX330" s="55"/>
      <c r="AY330" s="55"/>
      <c r="AZ330" s="55"/>
      <c r="BA330" s="55"/>
    </row>
    <row r="331" spans="46:53" x14ac:dyDescent="0.2">
      <c r="AT331" s="55"/>
      <c r="AU331" s="55"/>
      <c r="AV331" s="55"/>
      <c r="AW331" s="58"/>
      <c r="AX331" s="55"/>
      <c r="AY331" s="55"/>
      <c r="AZ331" s="55"/>
      <c r="BA331" s="55"/>
    </row>
    <row r="332" spans="46:53" x14ac:dyDescent="0.2">
      <c r="AT332" s="63"/>
      <c r="AU332" s="63"/>
      <c r="AV332" s="63"/>
    </row>
    <row r="333" spans="46:53" x14ac:dyDescent="0.2">
      <c r="AT333" s="63"/>
      <c r="AU333" s="63"/>
      <c r="AV333" s="63"/>
      <c r="AW333" s="66"/>
      <c r="AX333" s="63"/>
      <c r="AY333" s="63"/>
      <c r="AZ333" s="63"/>
      <c r="BA333" s="63"/>
    </row>
    <row r="334" spans="46:53" x14ac:dyDescent="0.2">
      <c r="AW334" s="66"/>
      <c r="AX334" s="63"/>
      <c r="AY334" s="63"/>
      <c r="AZ334" s="63"/>
      <c r="BA334" s="63"/>
    </row>
    <row r="335" spans="46:53" x14ac:dyDescent="0.2">
      <c r="AW335" s="66"/>
      <c r="AX335" s="63"/>
      <c r="AY335" s="63"/>
      <c r="AZ335" s="63"/>
      <c r="BA335" s="63"/>
    </row>
    <row r="336" spans="46:53" x14ac:dyDescent="0.2">
      <c r="AW336" s="66"/>
      <c r="AX336" s="63"/>
      <c r="AY336" s="63"/>
      <c r="AZ336" s="63"/>
      <c r="BA336" s="63"/>
    </row>
    <row r="337" spans="46:53" x14ac:dyDescent="0.2">
      <c r="AW337" s="66"/>
      <c r="AX337" s="63"/>
      <c r="AY337" s="63"/>
      <c r="AZ337" s="63"/>
      <c r="BA337" s="63"/>
    </row>
    <row r="338" spans="46:53" x14ac:dyDescent="0.2">
      <c r="AW338" s="66"/>
      <c r="AX338" s="63"/>
      <c r="AY338" s="63"/>
      <c r="AZ338" s="63"/>
      <c r="BA338" s="63"/>
    </row>
    <row r="339" spans="46:53" x14ac:dyDescent="0.2">
      <c r="AW339" s="66"/>
      <c r="AX339" s="63"/>
      <c r="AY339" s="63"/>
      <c r="AZ339" s="63"/>
      <c r="BA339" s="63"/>
    </row>
    <row r="340" spans="46:53" x14ac:dyDescent="0.2">
      <c r="AW340" s="66"/>
      <c r="AX340" s="63"/>
      <c r="AY340" s="63"/>
      <c r="AZ340" s="63"/>
      <c r="BA340" s="63"/>
    </row>
    <row r="341" spans="46:53" x14ac:dyDescent="0.2">
      <c r="AW341" s="73"/>
      <c r="AX341" s="72"/>
      <c r="AY341" s="72"/>
      <c r="AZ341" s="72"/>
      <c r="BA341" s="72"/>
    </row>
    <row r="342" spans="46:53" x14ac:dyDescent="0.2">
      <c r="AW342" s="79"/>
      <c r="AX342" s="78"/>
      <c r="AY342" s="78"/>
      <c r="AZ342" s="78"/>
      <c r="BA342" s="78"/>
    </row>
    <row r="343" spans="46:53" x14ac:dyDescent="0.2">
      <c r="AW343" s="79"/>
      <c r="AX343" s="78"/>
      <c r="AY343" s="78"/>
      <c r="AZ343" s="78"/>
      <c r="BA343" s="78"/>
    </row>
    <row r="344" spans="46:53" x14ac:dyDescent="0.2">
      <c r="AW344" s="66"/>
      <c r="AX344" s="63"/>
      <c r="AY344" s="63"/>
      <c r="AZ344" s="63"/>
      <c r="BA344" s="63"/>
    </row>
    <row r="345" spans="46:53" x14ac:dyDescent="0.2">
      <c r="AW345" s="66"/>
      <c r="AX345" s="63"/>
      <c r="AY345" s="63"/>
      <c r="AZ345" s="63"/>
      <c r="BA345" s="63"/>
    </row>
    <row r="348" spans="46:53" x14ac:dyDescent="0.2">
      <c r="AT348" s="96"/>
      <c r="AU348" s="96"/>
    </row>
    <row r="371" spans="46:53" x14ac:dyDescent="0.2">
      <c r="AW371" s="58"/>
      <c r="AX371" s="55"/>
      <c r="AY371" s="55"/>
      <c r="AZ371" s="55"/>
      <c r="BA371" s="55"/>
    </row>
    <row r="372" spans="46:53" x14ac:dyDescent="0.2">
      <c r="AW372" s="58"/>
      <c r="AX372" s="55"/>
      <c r="AY372" s="55"/>
      <c r="AZ372" s="55"/>
      <c r="BA372" s="55"/>
    </row>
    <row r="373" spans="46:53" x14ac:dyDescent="0.2">
      <c r="AW373" s="58"/>
      <c r="AX373" s="55"/>
      <c r="AY373" s="55"/>
      <c r="AZ373" s="55"/>
      <c r="BA373" s="55"/>
    </row>
    <row r="374" spans="46:53" x14ac:dyDescent="0.2">
      <c r="AW374" s="58"/>
      <c r="AX374" s="55"/>
      <c r="AY374" s="55"/>
      <c r="AZ374" s="55"/>
      <c r="BA374" s="55"/>
    </row>
    <row r="375" spans="46:53" x14ac:dyDescent="0.2">
      <c r="AW375" s="58"/>
      <c r="AX375" s="55"/>
      <c r="AY375" s="55"/>
      <c r="AZ375" s="55"/>
      <c r="BA375" s="55"/>
    </row>
    <row r="376" spans="46:53" x14ac:dyDescent="0.2">
      <c r="AW376" s="58"/>
      <c r="AX376" s="55"/>
      <c r="AY376" s="55"/>
      <c r="AZ376" s="55"/>
      <c r="BA376" s="55"/>
    </row>
    <row r="377" spans="46:53" x14ac:dyDescent="0.2">
      <c r="AW377" s="58"/>
      <c r="AX377" s="55"/>
      <c r="AY377" s="55"/>
      <c r="AZ377" s="55"/>
      <c r="BA377" s="55"/>
    </row>
    <row r="378" spans="46:53" x14ac:dyDescent="0.2">
      <c r="AW378" s="58"/>
      <c r="AX378" s="55"/>
      <c r="AY378" s="55"/>
      <c r="AZ378" s="55"/>
      <c r="BA378" s="55"/>
    </row>
    <row r="379" spans="46:53" x14ac:dyDescent="0.2">
      <c r="AW379" s="58"/>
      <c r="AX379" s="55"/>
      <c r="AY379" s="55"/>
      <c r="AZ379" s="55"/>
      <c r="BA379" s="55"/>
    </row>
    <row r="380" spans="46:53" x14ac:dyDescent="0.2">
      <c r="AW380" s="58"/>
      <c r="AX380" s="55"/>
      <c r="AY380" s="55"/>
      <c r="AZ380" s="55"/>
      <c r="BA380" s="55"/>
    </row>
    <row r="381" spans="46:53" x14ac:dyDescent="0.2">
      <c r="AW381" s="58"/>
      <c r="AX381" s="55"/>
      <c r="AY381" s="55"/>
      <c r="AZ381" s="55"/>
      <c r="BA381" s="55"/>
    </row>
    <row r="382" spans="46:53" x14ac:dyDescent="0.2">
      <c r="AW382" s="58"/>
      <c r="AX382" s="55"/>
      <c r="AY382" s="55"/>
      <c r="AZ382" s="55"/>
      <c r="BA382" s="55"/>
    </row>
    <row r="383" spans="46:53" x14ac:dyDescent="0.2">
      <c r="AW383" s="58"/>
      <c r="AX383" s="55"/>
      <c r="AY383" s="55"/>
      <c r="AZ383" s="55"/>
      <c r="BA383" s="55"/>
    </row>
    <row r="384" spans="46:53" x14ac:dyDescent="0.2">
      <c r="AT384" s="96"/>
      <c r="AU384" s="96"/>
      <c r="AW384" s="58"/>
      <c r="AX384" s="55"/>
      <c r="AY384" s="55"/>
      <c r="AZ384" s="55"/>
      <c r="BA384" s="55"/>
    </row>
    <row r="385" spans="49:53" x14ac:dyDescent="0.2">
      <c r="AW385" s="58"/>
      <c r="AX385" s="55"/>
      <c r="AY385" s="55"/>
      <c r="AZ385" s="55"/>
      <c r="BA385" s="55"/>
    </row>
    <row r="386" spans="49:53" x14ac:dyDescent="0.2">
      <c r="AW386" s="58"/>
      <c r="AX386" s="55"/>
      <c r="AY386" s="55"/>
      <c r="AZ386" s="55"/>
      <c r="BA386" s="55"/>
    </row>
    <row r="387" spans="49:53" x14ac:dyDescent="0.2">
      <c r="AW387" s="58"/>
      <c r="AX387" s="55"/>
      <c r="AY387" s="55"/>
      <c r="AZ387" s="55"/>
      <c r="BA387" s="55"/>
    </row>
    <row r="388" spans="49:53" x14ac:dyDescent="0.2">
      <c r="AW388" s="58"/>
      <c r="AX388" s="55"/>
      <c r="AY388" s="55"/>
      <c r="AZ388" s="55"/>
      <c r="BA388" s="55"/>
    </row>
    <row r="389" spans="49:53" x14ac:dyDescent="0.2">
      <c r="AW389" s="58"/>
      <c r="AX389" s="55"/>
      <c r="AY389" s="55"/>
      <c r="AZ389" s="55"/>
      <c r="BA389" s="55"/>
    </row>
    <row r="390" spans="49:53" x14ac:dyDescent="0.2">
      <c r="AW390" s="58"/>
      <c r="AX390" s="55"/>
      <c r="AY390" s="55"/>
      <c r="AZ390" s="55"/>
      <c r="BA390" s="55"/>
    </row>
    <row r="391" spans="49:53" x14ac:dyDescent="0.2">
      <c r="AW391" s="58"/>
      <c r="AX391" s="55"/>
      <c r="AY391" s="55"/>
      <c r="AZ391" s="55"/>
      <c r="BA391" s="55"/>
    </row>
    <row r="392" spans="49:53" x14ac:dyDescent="0.2">
      <c r="AW392" s="58"/>
      <c r="AX392" s="55"/>
      <c r="AY392" s="55"/>
      <c r="AZ392" s="55"/>
      <c r="BA392" s="55"/>
    </row>
    <row r="393" spans="49:53" x14ac:dyDescent="0.2">
      <c r="AW393" s="58"/>
      <c r="AX393" s="55"/>
      <c r="AY393" s="55"/>
      <c r="AZ393" s="55"/>
      <c r="BA393" s="55"/>
    </row>
    <row r="394" spans="49:53" x14ac:dyDescent="0.2">
      <c r="AW394" s="58"/>
      <c r="AX394" s="55"/>
      <c r="AY394" s="55"/>
      <c r="AZ394" s="55"/>
      <c r="BA394" s="55"/>
    </row>
    <row r="395" spans="49:53" x14ac:dyDescent="0.2">
      <c r="AW395" s="58"/>
      <c r="AX395" s="55"/>
      <c r="AY395" s="55"/>
      <c r="AZ395" s="55"/>
      <c r="BA395" s="55"/>
    </row>
    <row r="396" spans="49:53" x14ac:dyDescent="0.2">
      <c r="AW396" s="58"/>
      <c r="AX396" s="55"/>
      <c r="AY396" s="55"/>
      <c r="AZ396" s="55"/>
      <c r="BA396" s="55"/>
    </row>
    <row r="397" spans="49:53" x14ac:dyDescent="0.2">
      <c r="AW397" s="58"/>
      <c r="AX397" s="55"/>
      <c r="AY397" s="55"/>
      <c r="AZ397" s="55"/>
      <c r="BA397" s="55"/>
    </row>
    <row r="398" spans="49:53" x14ac:dyDescent="0.2">
      <c r="AW398" s="58"/>
      <c r="AX398" s="55"/>
      <c r="AY398" s="55"/>
      <c r="AZ398" s="55"/>
      <c r="BA398" s="55"/>
    </row>
    <row r="399" spans="49:53" x14ac:dyDescent="0.2">
      <c r="AW399" s="58"/>
      <c r="AX399" s="55"/>
      <c r="AY399" s="55"/>
      <c r="AZ399" s="55"/>
      <c r="BA399" s="55"/>
    </row>
    <row r="400" spans="49:53" x14ac:dyDescent="0.2">
      <c r="AW400" s="58"/>
      <c r="AX400" s="55"/>
      <c r="AY400" s="55"/>
      <c r="AZ400" s="55"/>
      <c r="BA400" s="55"/>
    </row>
    <row r="401" spans="49:53" x14ac:dyDescent="0.2">
      <c r="AW401" s="58"/>
      <c r="AX401" s="55"/>
      <c r="AY401" s="55"/>
      <c r="AZ401" s="55"/>
      <c r="BA401" s="55"/>
    </row>
    <row r="402" spans="49:53" x14ac:dyDescent="0.2">
      <c r="AW402" s="58"/>
      <c r="AX402" s="55"/>
      <c r="AY402" s="55"/>
      <c r="AZ402" s="55"/>
      <c r="BA402" s="55"/>
    </row>
    <row r="403" spans="49:53" x14ac:dyDescent="0.2">
      <c r="AW403" s="58"/>
      <c r="AX403" s="55"/>
      <c r="AY403" s="55"/>
      <c r="AZ403" s="55"/>
      <c r="BA403" s="55"/>
    </row>
    <row r="404" spans="49:53" x14ac:dyDescent="0.2">
      <c r="AW404" s="58"/>
      <c r="AX404" s="55"/>
      <c r="AY404" s="55"/>
      <c r="AZ404" s="55"/>
      <c r="BA404" s="55"/>
    </row>
    <row r="405" spans="49:53" x14ac:dyDescent="0.2">
      <c r="AW405" s="58"/>
      <c r="AX405" s="55"/>
      <c r="AY405" s="55"/>
      <c r="AZ405" s="55"/>
      <c r="BA405" s="55"/>
    </row>
    <row r="406" spans="49:53" x14ac:dyDescent="0.2">
      <c r="AW406" s="58"/>
      <c r="AX406" s="55"/>
      <c r="AY406" s="55"/>
      <c r="AZ406" s="55"/>
      <c r="BA406" s="55"/>
    </row>
    <row r="407" spans="49:53" x14ac:dyDescent="0.2">
      <c r="AW407" s="58"/>
      <c r="AX407" s="55"/>
      <c r="AY407" s="55"/>
      <c r="AZ407" s="55"/>
      <c r="BA407" s="55"/>
    </row>
    <row r="408" spans="49:53" x14ac:dyDescent="0.2">
      <c r="AW408" s="58"/>
      <c r="AX408" s="55"/>
      <c r="AY408" s="55"/>
      <c r="AZ408" s="55"/>
      <c r="BA408" s="55"/>
    </row>
    <row r="409" spans="49:53" x14ac:dyDescent="0.2">
      <c r="AW409" s="58"/>
      <c r="AX409" s="55"/>
      <c r="AY409" s="55"/>
      <c r="AZ409" s="55"/>
      <c r="BA409" s="55"/>
    </row>
    <row r="410" spans="49:53" x14ac:dyDescent="0.2">
      <c r="AW410" s="58"/>
      <c r="AX410" s="55"/>
      <c r="AY410" s="55"/>
      <c r="AZ410" s="55"/>
      <c r="BA410" s="55"/>
    </row>
    <row r="411" spans="49:53" x14ac:dyDescent="0.2">
      <c r="AW411" s="58"/>
      <c r="AX411" s="55"/>
      <c r="AY411" s="55"/>
      <c r="AZ411" s="55"/>
      <c r="BA411" s="55"/>
    </row>
    <row r="412" spans="49:53" x14ac:dyDescent="0.2">
      <c r="AW412" s="58"/>
      <c r="AX412" s="55"/>
      <c r="AY412" s="55"/>
      <c r="AZ412" s="55"/>
      <c r="BA412" s="55"/>
    </row>
    <row r="413" spans="49:53" x14ac:dyDescent="0.2">
      <c r="AW413" s="58"/>
      <c r="AX413" s="55"/>
      <c r="AY413" s="55"/>
      <c r="AZ413" s="55"/>
      <c r="BA413" s="55"/>
    </row>
    <row r="414" spans="49:53" x14ac:dyDescent="0.2">
      <c r="AW414" s="58"/>
      <c r="AX414" s="55"/>
      <c r="AY414" s="55"/>
      <c r="AZ414" s="55"/>
      <c r="BA414" s="55"/>
    </row>
    <row r="415" spans="49:53" x14ac:dyDescent="0.2">
      <c r="AW415" s="58"/>
      <c r="AX415" s="55"/>
      <c r="AY415" s="55"/>
      <c r="AZ415" s="55"/>
      <c r="BA415" s="55"/>
    </row>
    <row r="416" spans="49:53" x14ac:dyDescent="0.2">
      <c r="AW416" s="58"/>
      <c r="AX416" s="55"/>
      <c r="AY416" s="55"/>
      <c r="AZ416" s="55"/>
      <c r="BA416" s="55"/>
    </row>
    <row r="418" spans="49:53" x14ac:dyDescent="0.2">
      <c r="AW418" s="66"/>
      <c r="AX418" s="63"/>
      <c r="AY418" s="63"/>
      <c r="AZ418" s="63"/>
      <c r="BA418" s="63"/>
    </row>
    <row r="419" spans="49:53" x14ac:dyDescent="0.2">
      <c r="AW419" s="66"/>
      <c r="AX419" s="63"/>
      <c r="AY419" s="63"/>
      <c r="AZ419" s="63"/>
      <c r="BA419" s="63"/>
    </row>
    <row r="420" spans="49:53" x14ac:dyDescent="0.2">
      <c r="AW420" s="66"/>
      <c r="AX420" s="63"/>
      <c r="AY420" s="63"/>
      <c r="AZ420" s="63"/>
      <c r="BA420" s="63"/>
    </row>
    <row r="421" spans="49:53" x14ac:dyDescent="0.2">
      <c r="AW421" s="66"/>
      <c r="AX421" s="63"/>
      <c r="AY421" s="63"/>
      <c r="AZ421" s="63"/>
      <c r="BA421" s="63"/>
    </row>
    <row r="422" spans="49:53" x14ac:dyDescent="0.2">
      <c r="AW422" s="66"/>
      <c r="AX422" s="63"/>
      <c r="AY422" s="63"/>
      <c r="AZ422" s="63"/>
      <c r="BA422" s="63"/>
    </row>
    <row r="423" spans="49:53" x14ac:dyDescent="0.2">
      <c r="AW423" s="66"/>
      <c r="AX423" s="63"/>
      <c r="AY423" s="63"/>
      <c r="AZ423" s="63"/>
      <c r="BA423" s="63"/>
    </row>
    <row r="424" spans="49:53" x14ac:dyDescent="0.2">
      <c r="AW424" s="66"/>
      <c r="AX424" s="63"/>
      <c r="AY424" s="63"/>
      <c r="AZ424" s="63"/>
      <c r="BA424" s="63"/>
    </row>
    <row r="425" spans="49:53" x14ac:dyDescent="0.2">
      <c r="AW425" s="66"/>
      <c r="AX425" s="63"/>
      <c r="AY425" s="63"/>
      <c r="AZ425" s="63"/>
      <c r="BA425" s="63"/>
    </row>
    <row r="426" spans="49:53" x14ac:dyDescent="0.2">
      <c r="AW426" s="73"/>
      <c r="AX426" s="72"/>
      <c r="AY426" s="72"/>
      <c r="AZ426" s="72"/>
      <c r="BA426" s="72"/>
    </row>
    <row r="427" spans="49:53" x14ac:dyDescent="0.2">
      <c r="AW427" s="79"/>
      <c r="AX427" s="78"/>
      <c r="AY427" s="78"/>
      <c r="AZ427" s="78"/>
      <c r="BA427" s="78"/>
    </row>
    <row r="428" spans="49:53" x14ac:dyDescent="0.2">
      <c r="AW428" s="79"/>
      <c r="AX428" s="78"/>
      <c r="AY428" s="78"/>
      <c r="AZ428" s="78"/>
      <c r="BA428" s="78"/>
    </row>
    <row r="429" spans="49:53" x14ac:dyDescent="0.2">
      <c r="AW429" s="66"/>
      <c r="AX429" s="63"/>
      <c r="AY429" s="63"/>
      <c r="AZ429" s="63"/>
      <c r="BA429" s="63"/>
    </row>
    <row r="430" spans="49:53" x14ac:dyDescent="0.2">
      <c r="AW430" s="66"/>
      <c r="AX430" s="63"/>
      <c r="AY430" s="63"/>
      <c r="AZ430" s="63"/>
      <c r="BA430" s="6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3163" priority="5" stopIfTrue="1">
      <formula>IF(AK9&gt;0,0,1)</formula>
    </cfRule>
  </conditionalFormatting>
  <conditionalFormatting sqref="A10:A11 A95:A96">
    <cfRule type="expression" dxfId="3162" priority="6" stopIfTrue="1">
      <formula>IF(AK9&gt;1,0,1)</formula>
    </cfRule>
  </conditionalFormatting>
  <conditionalFormatting sqref="A12:A13 A97:A98">
    <cfRule type="expression" dxfId="3161" priority="7" stopIfTrue="1">
      <formula>IF(AK9&gt;2,0,1)</formula>
    </cfRule>
  </conditionalFormatting>
  <conditionalFormatting sqref="A14:A15 A99:A100">
    <cfRule type="expression" dxfId="3160" priority="8" stopIfTrue="1">
      <formula>IF(AK9&gt;3,0,1)</formula>
    </cfRule>
  </conditionalFormatting>
  <conditionalFormatting sqref="A16:A17 A101:A102">
    <cfRule type="expression" dxfId="3159" priority="9" stopIfTrue="1">
      <formula>IF(AK9&gt;4,0,1)</formula>
    </cfRule>
  </conditionalFormatting>
  <conditionalFormatting sqref="B8 B93">
    <cfRule type="expression" dxfId="3158" priority="10" stopIfTrue="1">
      <formula>IF(AK9&gt;0,0,1)</formula>
    </cfRule>
  </conditionalFormatting>
  <conditionalFormatting sqref="B9 B94">
    <cfRule type="expression" dxfId="3157" priority="11" stopIfTrue="1">
      <formula>IF(AK9&gt;0,0,1)</formula>
    </cfRule>
  </conditionalFormatting>
  <conditionalFormatting sqref="B10 B95">
    <cfRule type="expression" dxfId="3156" priority="12" stopIfTrue="1">
      <formula>IF(AK9&gt;1,0,1)</formula>
    </cfRule>
  </conditionalFormatting>
  <conditionalFormatting sqref="B11:D11 B96:D96">
    <cfRule type="expression" dxfId="3155" priority="13" stopIfTrue="1">
      <formula>IF(AK9&gt;1,0,1)</formula>
    </cfRule>
  </conditionalFormatting>
  <conditionalFormatting sqref="B12:D12 B97:D97">
    <cfRule type="expression" dxfId="3154" priority="14" stopIfTrue="1">
      <formula>IF(AK9&gt;2,0,1)</formula>
    </cfRule>
  </conditionalFormatting>
  <conditionalFormatting sqref="B13:D13 B98:D98">
    <cfRule type="expression" dxfId="3153" priority="15" stopIfTrue="1">
      <formula>IF(AK9&gt;2,0,1)</formula>
    </cfRule>
  </conditionalFormatting>
  <conditionalFormatting sqref="B14:D14 B99:D99">
    <cfRule type="expression" dxfId="3152" priority="16" stopIfTrue="1">
      <formula>IF(AK9&gt;3,0,1)</formula>
    </cfRule>
  </conditionalFormatting>
  <conditionalFormatting sqref="B15:D15 B100:D100">
    <cfRule type="expression" dxfId="3151" priority="17" stopIfTrue="1">
      <formula>IF(AK9&gt;3,0,1)</formula>
    </cfRule>
  </conditionalFormatting>
  <conditionalFormatting sqref="B16:D16 B101:D101">
    <cfRule type="expression" dxfId="3150" priority="18" stopIfTrue="1">
      <formula>IF(AK9&gt;4,0,1)</formula>
    </cfRule>
  </conditionalFormatting>
  <conditionalFormatting sqref="B17:D17 B102:D102">
    <cfRule type="expression" dxfId="3149" priority="19" stopIfTrue="1">
      <formula>IF(AK9&gt;4,0,1)</formula>
    </cfRule>
  </conditionalFormatting>
  <conditionalFormatting sqref="E8 E93">
    <cfRule type="expression" dxfId="3148" priority="20" stopIfTrue="1">
      <formula>IF(AK9&gt;0,0,1)</formula>
    </cfRule>
  </conditionalFormatting>
  <conditionalFormatting sqref="E9 E94">
    <cfRule type="expression" dxfId="3147" priority="21" stopIfTrue="1">
      <formula>IF(AK9&gt;0,0,1)</formula>
    </cfRule>
  </conditionalFormatting>
  <conditionalFormatting sqref="E10 E95">
    <cfRule type="expression" dxfId="3146" priority="22" stopIfTrue="1">
      <formula>IF(AK9&gt;1,0,1)</formula>
    </cfRule>
  </conditionalFormatting>
  <conditionalFormatting sqref="E11 E96">
    <cfRule type="expression" dxfId="3145" priority="23" stopIfTrue="1">
      <formula>IF(AK9&gt;1,0,1)</formula>
    </cfRule>
  </conditionalFormatting>
  <conditionalFormatting sqref="E12 E97">
    <cfRule type="expression" dxfId="3144" priority="24" stopIfTrue="1">
      <formula>IF(AK9&gt;2,0,1)</formula>
    </cfRule>
  </conditionalFormatting>
  <conditionalFormatting sqref="E13 E98">
    <cfRule type="expression" dxfId="3143" priority="25" stopIfTrue="1">
      <formula>IF(AK9&gt;2,0,1)</formula>
    </cfRule>
  </conditionalFormatting>
  <conditionalFormatting sqref="E14 E99">
    <cfRule type="expression" dxfId="3142" priority="26" stopIfTrue="1">
      <formula>IF(AK9&gt;3,0,1)</formula>
    </cfRule>
  </conditionalFormatting>
  <conditionalFormatting sqref="E15 E100">
    <cfRule type="expression" dxfId="3141" priority="27" stopIfTrue="1">
      <formula>IF(AK9&gt;3,0,1)</formula>
    </cfRule>
  </conditionalFormatting>
  <conditionalFormatting sqref="E16 E101">
    <cfRule type="expression" dxfId="3140" priority="28" stopIfTrue="1">
      <formula>IF(AK9&gt;4,0,1)</formula>
    </cfRule>
  </conditionalFormatting>
  <conditionalFormatting sqref="E17 E102">
    <cfRule type="expression" dxfId="3139" priority="29" stopIfTrue="1">
      <formula>IF(AK9&gt;4,0,1)</formula>
    </cfRule>
  </conditionalFormatting>
  <conditionalFormatting sqref="AC8 AC93">
    <cfRule type="expression" dxfId="3138" priority="30" stopIfTrue="1">
      <formula>IF(AK11=1,IF(AK9&gt;0,0,1),1)</formula>
    </cfRule>
  </conditionalFormatting>
  <conditionalFormatting sqref="AC10:AE11 AC95:AE96">
    <cfRule type="expression" dxfId="3137" priority="31" stopIfTrue="1">
      <formula>IF(AK11=1,IF(AK9&gt;1,0,1),1)</formula>
    </cfRule>
  </conditionalFormatting>
  <conditionalFormatting sqref="AC12:AE13 AC97:AE98">
    <cfRule type="expression" dxfId="3136" priority="32" stopIfTrue="1">
      <formula>IF(AK11=1,IF(AK9&gt;2,0,1),1)</formula>
    </cfRule>
  </conditionalFormatting>
  <conditionalFormatting sqref="AC14:AE15 AC99:AE100">
    <cfRule type="expression" dxfId="3135" priority="33" stopIfTrue="1">
      <formula>IF(AK11=1,IF(AK9&gt;3,0,1),1)</formula>
    </cfRule>
  </conditionalFormatting>
  <conditionalFormatting sqref="AC16:AE17 AC101:AE102">
    <cfRule type="expression" dxfId="3134" priority="34" stopIfTrue="1">
      <formula>IF(AK11=1,IF(AK9&gt;4,0,1),1)</formula>
    </cfRule>
  </conditionalFormatting>
  <conditionalFormatting sqref="AH8 AH93">
    <cfRule type="expression" dxfId="3133" priority="35" stopIfTrue="1">
      <formula>IF(AK9&gt;0,0,1)</formula>
    </cfRule>
  </conditionalFormatting>
  <conditionalFormatting sqref="AH10:AI11 AH95:AI96">
    <cfRule type="expression" dxfId="3132" priority="36" stopIfTrue="1">
      <formula>IF(AK9&gt;1,0,1)</formula>
    </cfRule>
  </conditionalFormatting>
  <conditionalFormatting sqref="AH12:AI13 AH97:AI98">
    <cfRule type="expression" dxfId="3131" priority="37" stopIfTrue="1">
      <formula>IF(AK9&gt;2,0,1)</formula>
    </cfRule>
  </conditionalFormatting>
  <conditionalFormatting sqref="AH14:AI15 AH99:AI100">
    <cfRule type="expression" dxfId="3130" priority="38" stopIfTrue="1">
      <formula>IF(AK9&gt;3,0,1)</formula>
    </cfRule>
  </conditionalFormatting>
  <conditionalFormatting sqref="AH16:AI17 AH101:AI102">
    <cfRule type="expression" dxfId="3129" priority="39" stopIfTrue="1">
      <formula>IF(AK9&gt;4,0,1)</formula>
    </cfRule>
  </conditionalFormatting>
  <conditionalFormatting sqref="B19:D19 B104:D104">
    <cfRule type="expression" dxfId="3128" priority="40" stopIfTrue="1">
      <formula>IF(AK8&gt;0,0,1)</formula>
    </cfRule>
  </conditionalFormatting>
  <conditionalFormatting sqref="E19:G19 E104:G104">
    <cfRule type="expression" dxfId="3127" priority="41" stopIfTrue="1">
      <formula>IF(AK8&gt;1,0,1)</formula>
    </cfRule>
  </conditionalFormatting>
  <conditionalFormatting sqref="H19:J19 H104:J104">
    <cfRule type="expression" dxfId="3126" priority="42" stopIfTrue="1">
      <formula>IF(AK8&gt;2,0,1)</formula>
    </cfRule>
  </conditionalFormatting>
  <conditionalFormatting sqref="K19:M19 K104:M104">
    <cfRule type="expression" dxfId="3125" priority="43" stopIfTrue="1">
      <formula>IF(AK8&gt;3,0,1)</formula>
    </cfRule>
  </conditionalFormatting>
  <conditionalFormatting sqref="N19:P19 N104:P104">
    <cfRule type="expression" dxfId="3124" priority="44" stopIfTrue="1">
      <formula>IF(AK8&gt;4,0,1)</formula>
    </cfRule>
  </conditionalFormatting>
  <conditionalFormatting sqref="Q19:S19 Q104:S104">
    <cfRule type="expression" dxfId="3123" priority="45" stopIfTrue="1">
      <formula>IF(AK8&gt;5,0,1)</formula>
    </cfRule>
  </conditionalFormatting>
  <conditionalFormatting sqref="T19:V19 T104:V104">
    <cfRule type="expression" dxfId="3122" priority="46" stopIfTrue="1">
      <formula>IF(AK8&gt;6,0,1)</formula>
    </cfRule>
  </conditionalFormatting>
  <conditionalFormatting sqref="W19:Y19 W104:Y104">
    <cfRule type="expression" dxfId="3121" priority="47" stopIfTrue="1">
      <formula>IF(AK8&gt;7,0,1)</formula>
    </cfRule>
  </conditionalFormatting>
  <conditionalFormatting sqref="Z19:AB19 Z104:AB104">
    <cfRule type="expression" dxfId="3120" priority="48" stopIfTrue="1">
      <formula>IF(AK8&gt;8,0,1)</formula>
    </cfRule>
  </conditionalFormatting>
  <conditionalFormatting sqref="AC19:AE19 AC104:AE104">
    <cfRule type="expression" dxfId="3119" priority="49" stopIfTrue="1">
      <formula>IF(AK8&gt;9,0,1)</formula>
    </cfRule>
  </conditionalFormatting>
  <conditionalFormatting sqref="B20:D20 B105:D105">
    <cfRule type="expression" dxfId="3118" priority="50" stopIfTrue="1">
      <formula>IF(AK8&gt;0,0,1)</formula>
    </cfRule>
  </conditionalFormatting>
  <conditionalFormatting sqref="E20:G20 E105:G105">
    <cfRule type="expression" dxfId="3117" priority="51" stopIfTrue="1">
      <formula>IF(AK8&gt;1,0,1)</formula>
    </cfRule>
  </conditionalFormatting>
  <conditionalFormatting sqref="H20:J20 H105:J105">
    <cfRule type="expression" dxfId="3116" priority="52" stopIfTrue="1">
      <formula>IF(AK8&gt;2,0,1)</formula>
    </cfRule>
  </conditionalFormatting>
  <conditionalFormatting sqref="K20:M20 K105:M105">
    <cfRule type="expression" dxfId="3115" priority="53" stopIfTrue="1">
      <formula>IF(AK8&gt;3,0,1)</formula>
    </cfRule>
  </conditionalFormatting>
  <conditionalFormatting sqref="N20:P20 N105:P105">
    <cfRule type="expression" dxfId="3114" priority="54" stopIfTrue="1">
      <formula>IF(AK8&gt;4,0,1)</formula>
    </cfRule>
  </conditionalFormatting>
  <conditionalFormatting sqref="Q20:S20 Q105:S105">
    <cfRule type="expression" dxfId="3113" priority="55" stopIfTrue="1">
      <formula>IF(AK8&gt;5,0,1)</formula>
    </cfRule>
  </conditionalFormatting>
  <conditionalFormatting sqref="T20:V20 T105:V105">
    <cfRule type="expression" dxfId="3112" priority="56" stopIfTrue="1">
      <formula>IF(AK8&gt;6,0,1)</formula>
    </cfRule>
  </conditionalFormatting>
  <conditionalFormatting sqref="W20:Y20 W105:Y105">
    <cfRule type="expression" dxfId="3111" priority="57" stopIfTrue="1">
      <formula>IF(AK8&gt;7,0,1)</formula>
    </cfRule>
  </conditionalFormatting>
  <conditionalFormatting sqref="Z20:AB20 Z105:AB105">
    <cfRule type="expression" dxfId="3110" priority="58" stopIfTrue="1">
      <formula>IF(AK8&gt;8,0,1)</formula>
    </cfRule>
  </conditionalFormatting>
  <conditionalFormatting sqref="AC20:AE20 AC105:AE105">
    <cfRule type="expression" dxfId="3109" priority="59" stopIfTrue="1">
      <formula>IF(AK8&gt;9,0,1)</formula>
    </cfRule>
  </conditionalFormatting>
  <conditionalFormatting sqref="E22:G22 E107:G107">
    <cfRule type="expression" dxfId="3108" priority="60" stopIfTrue="1">
      <formula>IF(AK8&gt;1,0,1)</formula>
    </cfRule>
  </conditionalFormatting>
  <conditionalFormatting sqref="H22:J22 H107:J107">
    <cfRule type="expression" dxfId="3107" priority="61" stopIfTrue="1">
      <formula>IF(AK8&gt;2,0,1)</formula>
    </cfRule>
  </conditionalFormatting>
  <conditionalFormatting sqref="K22:M22 K107:M107">
    <cfRule type="expression" dxfId="3106" priority="62" stopIfTrue="1">
      <formula>IF(AK8&gt;3,0,1)</formula>
    </cfRule>
  </conditionalFormatting>
  <conditionalFormatting sqref="N22:P22 N107:P107">
    <cfRule type="expression" dxfId="3105" priority="63" stopIfTrue="1">
      <formula>IF(AK8&gt;4,0,1)</formula>
    </cfRule>
  </conditionalFormatting>
  <conditionalFormatting sqref="Q22:S22 Q107:S107">
    <cfRule type="expression" dxfId="3104" priority="64" stopIfTrue="1">
      <formula>IF(AK8&gt;5,0,1)</formula>
    </cfRule>
  </conditionalFormatting>
  <conditionalFormatting sqref="T22:V22 T107:V107">
    <cfRule type="expression" dxfId="3103" priority="65" stopIfTrue="1">
      <formula>IF(AK8&gt;6,0,1)</formula>
    </cfRule>
  </conditionalFormatting>
  <conditionalFormatting sqref="W22:Y22 W107:Y107">
    <cfRule type="expression" dxfId="3102" priority="66" stopIfTrue="1">
      <formula>IF(AK8&gt;7,0,1)</formula>
    </cfRule>
  </conditionalFormatting>
  <conditionalFormatting sqref="Z22:AB22 Z107:AB107">
    <cfRule type="expression" dxfId="3101" priority="67" stopIfTrue="1">
      <formula>IF(AK8&gt;8,0,1)</formula>
    </cfRule>
  </conditionalFormatting>
  <conditionalFormatting sqref="AC22:AE22 AC107:AE107">
    <cfRule type="expression" dxfId="3100" priority="68" stopIfTrue="1">
      <formula>IF(AK8&gt;9,0,1)</formula>
    </cfRule>
  </conditionalFormatting>
  <conditionalFormatting sqref="B24 B109">
    <cfRule type="expression" dxfId="3099" priority="69" stopIfTrue="1">
      <formula>IF(AK8&gt;0,0,1)</formula>
    </cfRule>
  </conditionalFormatting>
  <conditionalFormatting sqref="C24 C109">
    <cfRule type="expression" dxfId="3098" priority="70" stopIfTrue="1">
      <formula>IF(AK8&gt;0,0,1)</formula>
    </cfRule>
  </conditionalFormatting>
  <conditionalFormatting sqref="D24 D109">
    <cfRule type="expression" dxfId="3097" priority="71" stopIfTrue="1">
      <formula>IF(AK8&gt;0,0,1)</formula>
    </cfRule>
  </conditionalFormatting>
  <conditionalFormatting sqref="E23:G23 E108:G108">
    <cfRule type="expression" dxfId="3096" priority="72" stopIfTrue="1">
      <formula>IF(AK8&gt;1,0,1)</formula>
    </cfRule>
  </conditionalFormatting>
  <conditionalFormatting sqref="F24 F109">
    <cfRule type="expression" dxfId="3095" priority="73" stopIfTrue="1">
      <formula>IF(AK8&gt;1,0,1)</formula>
    </cfRule>
  </conditionalFormatting>
  <conditionalFormatting sqref="G24 G109">
    <cfRule type="expression" dxfId="3094" priority="74" stopIfTrue="1">
      <formula>IF(AK8&gt;1,0,1)</formula>
    </cfRule>
  </conditionalFormatting>
  <conditionalFormatting sqref="H23:J23 H108:J108">
    <cfRule type="expression" dxfId="3093" priority="75" stopIfTrue="1">
      <formula>IF(AK8&gt;2,0,1)</formula>
    </cfRule>
  </conditionalFormatting>
  <conditionalFormatting sqref="I24 I109">
    <cfRule type="expression" dxfId="3092" priority="76" stopIfTrue="1">
      <formula>IF(AK8&gt;2,0,1)</formula>
    </cfRule>
  </conditionalFormatting>
  <conditionalFormatting sqref="J24 J109">
    <cfRule type="expression" dxfId="3091" priority="77" stopIfTrue="1">
      <formula>IF(AK8&gt;2,0,1)</formula>
    </cfRule>
  </conditionalFormatting>
  <conditionalFormatting sqref="K23:M23 K108:M108">
    <cfRule type="expression" dxfId="3090" priority="78" stopIfTrue="1">
      <formula>IF(AK8&gt;3,0,1)</formula>
    </cfRule>
  </conditionalFormatting>
  <conditionalFormatting sqref="L24 L109">
    <cfRule type="expression" dxfId="3089" priority="79" stopIfTrue="1">
      <formula>IF(AK8&gt;3,0,1)</formula>
    </cfRule>
  </conditionalFormatting>
  <conditionalFormatting sqref="M24 M109">
    <cfRule type="expression" dxfId="3088" priority="80" stopIfTrue="1">
      <formula>IF(AK8&gt;3,0,1)</formula>
    </cfRule>
  </conditionalFormatting>
  <conditionalFormatting sqref="N23:P23 N108:P108">
    <cfRule type="expression" dxfId="3087" priority="81" stopIfTrue="1">
      <formula>IF(AK8&gt;4,0,1)</formula>
    </cfRule>
  </conditionalFormatting>
  <conditionalFormatting sqref="O24 O109">
    <cfRule type="expression" dxfId="3086" priority="82" stopIfTrue="1">
      <formula>IF(AK8&gt;4,0,1)</formula>
    </cfRule>
  </conditionalFormatting>
  <conditionalFormatting sqref="P24 P109">
    <cfRule type="expression" dxfId="3085" priority="83" stopIfTrue="1">
      <formula>IF(AK8&gt;4,0,1)</formula>
    </cfRule>
  </conditionalFormatting>
  <conditionalFormatting sqref="Q23:S23 Q108:S108">
    <cfRule type="expression" dxfId="3084" priority="84" stopIfTrue="1">
      <formula>IF(AK8&gt;5,0,1)</formula>
    </cfRule>
  </conditionalFormatting>
  <conditionalFormatting sqref="R24 R109">
    <cfRule type="expression" dxfId="3083" priority="85" stopIfTrue="1">
      <formula>IF(AK8&gt;5,0,1)</formula>
    </cfRule>
  </conditionalFormatting>
  <conditionalFormatting sqref="S24 S109">
    <cfRule type="expression" dxfId="3082" priority="86" stopIfTrue="1">
      <formula>IF(AK8&gt;5,0,1)</formula>
    </cfRule>
  </conditionalFormatting>
  <conditionalFormatting sqref="T23:V23 T108:V108">
    <cfRule type="expression" dxfId="3081" priority="87" stopIfTrue="1">
      <formula>IF(AK8&gt;6,0,1)</formula>
    </cfRule>
  </conditionalFormatting>
  <conditionalFormatting sqref="U24 U109">
    <cfRule type="expression" dxfId="3080" priority="88" stopIfTrue="1">
      <formula>IF(AK8&gt;6,0,1)</formula>
    </cfRule>
  </conditionalFormatting>
  <conditionalFormatting sqref="V24 V109">
    <cfRule type="expression" dxfId="3079" priority="89" stopIfTrue="1">
      <formula>IF(AK8&gt;6,0,1)</formula>
    </cfRule>
  </conditionalFormatting>
  <conditionalFormatting sqref="W23:Y23 W108:Y108">
    <cfRule type="expression" dxfId="3078" priority="90" stopIfTrue="1">
      <formula>IF(AK8&gt;7,0,1)</formula>
    </cfRule>
  </conditionalFormatting>
  <conditionalFormatting sqref="X24 X109">
    <cfRule type="expression" dxfId="3077" priority="91" stopIfTrue="1">
      <formula>IF(AK8&gt;7,0,1)</formula>
    </cfRule>
  </conditionalFormatting>
  <conditionalFormatting sqref="Y24 Y109">
    <cfRule type="expression" dxfId="3076" priority="92" stopIfTrue="1">
      <formula>IF(AK8&gt;7,0,1)</formula>
    </cfRule>
  </conditionalFormatting>
  <conditionalFormatting sqref="Z23:AB23 Z108:AB108">
    <cfRule type="expression" dxfId="3075" priority="93" stopIfTrue="1">
      <formula>IF(AK8&gt;8,0,1)</formula>
    </cfRule>
  </conditionalFormatting>
  <conditionalFormatting sqref="AA24 AA109">
    <cfRule type="expression" dxfId="3074" priority="94" stopIfTrue="1">
      <formula>IF(AK8&gt;8,0,1)</formula>
    </cfRule>
  </conditionalFormatting>
  <conditionalFormatting sqref="AB24 AB109">
    <cfRule type="expression" dxfId="3073" priority="95" stopIfTrue="1">
      <formula>IF(AK8&gt;8,0,1)</formula>
    </cfRule>
  </conditionalFormatting>
  <conditionalFormatting sqref="AC23:AE23 AC108:AE108">
    <cfRule type="expression" dxfId="3072" priority="96" stopIfTrue="1">
      <formula>IF(AK8&gt;9,0,1)</formula>
    </cfRule>
  </conditionalFormatting>
  <conditionalFormatting sqref="AD24 AD109">
    <cfRule type="expression" dxfId="3071" priority="97" stopIfTrue="1">
      <formula>IF(AK8&gt;9,0,1)</formula>
    </cfRule>
  </conditionalFormatting>
  <conditionalFormatting sqref="AE24 AE109">
    <cfRule type="expression" dxfId="3070" priority="98" stopIfTrue="1">
      <formula>IF(AK8&gt;9,0,1)</formula>
    </cfRule>
  </conditionalFormatting>
  <conditionalFormatting sqref="A26 A111">
    <cfRule type="expression" dxfId="3069" priority="99" stopIfTrue="1">
      <formula>IF(AK7&gt;1,0,1)</formula>
    </cfRule>
  </conditionalFormatting>
  <conditionalFormatting sqref="A27 A112">
    <cfRule type="expression" dxfId="3068" priority="100" stopIfTrue="1">
      <formula>IF(AK7&gt;2,0,1)</formula>
    </cfRule>
  </conditionalFormatting>
  <conditionalFormatting sqref="A28 A113">
    <cfRule type="expression" dxfId="3067" priority="101" stopIfTrue="1">
      <formula>IF(AK7&gt;3,0,1)</formula>
    </cfRule>
  </conditionalFormatting>
  <conditionalFormatting sqref="A29 A114">
    <cfRule type="expression" dxfId="3066" priority="102" stopIfTrue="1">
      <formula>IF(AK7&gt;4,0,1)</formula>
    </cfRule>
  </conditionalFormatting>
  <conditionalFormatting sqref="B25:D25 B110:D110">
    <cfRule type="expression" dxfId="3065" priority="103" stopIfTrue="1">
      <formula>IF($AK8&gt;0,0,1)</formula>
    </cfRule>
  </conditionalFormatting>
  <conditionalFormatting sqref="B26:D26 B111:D111">
    <cfRule type="expression" dxfId="3064" priority="104" stopIfTrue="1">
      <formula>IF($AK8&lt;1,1,IF($AK7&lt;2,1,0))</formula>
    </cfRule>
  </conditionalFormatting>
  <conditionalFormatting sqref="B27:D27 B112:D112">
    <cfRule type="expression" dxfId="3063" priority="105" stopIfTrue="1">
      <formula>IF($AK8&lt;1,1,IF($AK7&lt;3,1,0))</formula>
    </cfRule>
  </conditionalFormatting>
  <conditionalFormatting sqref="B28:D28 B113:D113">
    <cfRule type="expression" dxfId="3062" priority="106" stopIfTrue="1">
      <formula>IF($AK8&lt;1,1,IF($AK7&lt;4,1,0))</formula>
    </cfRule>
  </conditionalFormatting>
  <conditionalFormatting sqref="B29:D29 B114:D114">
    <cfRule type="expression" dxfId="3061" priority="107" stopIfTrue="1">
      <formula>IF($AK8&lt;1,1,IF($AK7&lt;5,1,0))</formula>
    </cfRule>
  </conditionalFormatting>
  <conditionalFormatting sqref="AG23 AG108">
    <cfRule type="expression" dxfId="3060" priority="108" stopIfTrue="1">
      <formula>IF($AK8&lt;1,1,0)</formula>
    </cfRule>
  </conditionalFormatting>
  <conditionalFormatting sqref="AH23 AH108">
    <cfRule type="expression" dxfId="3059" priority="109" stopIfTrue="1">
      <formula>IF($AK8&lt;2,1,0)</formula>
    </cfRule>
  </conditionalFormatting>
  <conditionalFormatting sqref="AI23 AI108">
    <cfRule type="expression" dxfId="3058" priority="110" stopIfTrue="1">
      <formula>IF($AK8&lt;3,1,0)</formula>
    </cfRule>
  </conditionalFormatting>
  <conditionalFormatting sqref="AJ23 AJ108">
    <cfRule type="expression" dxfId="3057" priority="111" stopIfTrue="1">
      <formula>IF($AK8&lt;4,1,0)</formula>
    </cfRule>
  </conditionalFormatting>
  <conditionalFormatting sqref="AK23 AK108">
    <cfRule type="expression" dxfId="3056" priority="112" stopIfTrue="1">
      <formula>IF($AK8&lt;5,1,0)</formula>
    </cfRule>
  </conditionalFormatting>
  <conditionalFormatting sqref="AL23 AL108">
    <cfRule type="expression" dxfId="3055" priority="113" stopIfTrue="1">
      <formula>IF($AK8&lt;6,1,0)</formula>
    </cfRule>
  </conditionalFormatting>
  <conditionalFormatting sqref="AM23 AM108">
    <cfRule type="expression" dxfId="3054" priority="114" stopIfTrue="1">
      <formula>IF($AK8&lt;7,1,0)</formula>
    </cfRule>
  </conditionalFormatting>
  <conditionalFormatting sqref="AN23 AN108">
    <cfRule type="expression" dxfId="3053" priority="115" stopIfTrue="1">
      <formula>IF($AK8&lt;8,1,0)</formula>
    </cfRule>
  </conditionalFormatting>
  <conditionalFormatting sqref="AO23 AO108">
    <cfRule type="expression" dxfId="3052" priority="116" stopIfTrue="1">
      <formula>IF($AK8&lt;9,1,0)</formula>
    </cfRule>
  </conditionalFormatting>
  <conditionalFormatting sqref="AP23 AP108">
    <cfRule type="expression" dxfId="3051" priority="117" stopIfTrue="1">
      <formula>IF($AK8&lt;10,1,0)</formula>
    </cfRule>
  </conditionalFormatting>
  <conditionalFormatting sqref="AQ24 AQ109">
    <cfRule type="expression" dxfId="3050" priority="118" stopIfTrue="1">
      <formula>IF($AK9&gt;0,0,1)</formula>
    </cfRule>
  </conditionalFormatting>
  <conditionalFormatting sqref="AQ25 AQ110">
    <cfRule type="expression" dxfId="3049" priority="119" stopIfTrue="1">
      <formula>IF($AK9&gt;1,0,1)</formula>
    </cfRule>
  </conditionalFormatting>
  <conditionalFormatting sqref="AQ26 H25:J25 AQ111 H110:J110">
    <cfRule type="expression" dxfId="3048" priority="120" stopIfTrue="1">
      <formula>IF($AK8&gt;2,0,1)</formula>
    </cfRule>
  </conditionalFormatting>
  <conditionalFormatting sqref="K25:M25 K110:M110">
    <cfRule type="expression" dxfId="3047" priority="121" stopIfTrue="1">
      <formula>IF($AK8&gt;3,0,1)</formula>
    </cfRule>
  </conditionalFormatting>
  <conditionalFormatting sqref="AQ28 AQ113">
    <cfRule type="expression" dxfId="3046" priority="122" stopIfTrue="1">
      <formula>IF($AK9&gt;4,0,1)</formula>
    </cfRule>
  </conditionalFormatting>
  <conditionalFormatting sqref="E26:G26 E111:G111">
    <cfRule type="expression" dxfId="3045" priority="123" stopIfTrue="1">
      <formula>IF($AK8&lt;2,1,IF($AK7&lt;2,1,0))</formula>
    </cfRule>
  </conditionalFormatting>
  <conditionalFormatting sqref="E27:G27 E112:G112">
    <cfRule type="expression" dxfId="3044" priority="124" stopIfTrue="1">
      <formula>IF($AK8&lt;2,1,IF($AK7&lt;3,1,0))</formula>
    </cfRule>
  </conditionalFormatting>
  <conditionalFormatting sqref="E28:G28 E113:G113">
    <cfRule type="expression" dxfId="3043" priority="125" stopIfTrue="1">
      <formula>IF($AK8&lt;2,1,IF($AK7&lt;4,1,0))</formula>
    </cfRule>
  </conditionalFormatting>
  <conditionalFormatting sqref="E29:G29 E114:G114">
    <cfRule type="expression" dxfId="3042" priority="126" stopIfTrue="1">
      <formula>IF($AK8&lt;2,1,IF($AK7&lt;5,1,0))</formula>
    </cfRule>
  </conditionalFormatting>
  <conditionalFormatting sqref="N25:P25 N110:P110">
    <cfRule type="expression" dxfId="3041" priority="127" stopIfTrue="1">
      <formula>IF($AK8&gt;4,0,1)</formula>
    </cfRule>
  </conditionalFormatting>
  <conditionalFormatting sqref="Q25:S25 Q110:S110">
    <cfRule type="expression" dxfId="3040" priority="128" stopIfTrue="1">
      <formula>IF($AK8&gt;5,0,1)</formula>
    </cfRule>
  </conditionalFormatting>
  <conditionalFormatting sqref="T25:V25 T110:V110">
    <cfRule type="expression" dxfId="3039" priority="129" stopIfTrue="1">
      <formula>IF($AK8&gt;6,0,1)</formula>
    </cfRule>
  </conditionalFormatting>
  <conditionalFormatting sqref="W25:Y25 W110:Y110">
    <cfRule type="expression" dxfId="3038" priority="130" stopIfTrue="1">
      <formula>IF($AK8&gt;7,0,1)</formula>
    </cfRule>
  </conditionalFormatting>
  <conditionalFormatting sqref="Z25:AB25 Z110:AB110">
    <cfRule type="expression" dxfId="3037" priority="131" stopIfTrue="1">
      <formula>IF($AK8&gt;8,0,1)</formula>
    </cfRule>
  </conditionalFormatting>
  <conditionalFormatting sqref="AC25:AE25 AC110:AE110">
    <cfRule type="expression" dxfId="3036" priority="132" stopIfTrue="1">
      <formula>IF($AK8&gt;9,0,1)</formula>
    </cfRule>
  </conditionalFormatting>
  <conditionalFormatting sqref="H26:J26 H111:J111">
    <cfRule type="expression" dxfId="3035" priority="133" stopIfTrue="1">
      <formula>IF($AK8&lt;3,1,IF($AK7&lt;2,1,0))</formula>
    </cfRule>
  </conditionalFormatting>
  <conditionalFormatting sqref="K26:M26 K111:M111">
    <cfRule type="expression" dxfId="3034" priority="134" stopIfTrue="1">
      <formula>IF($AK8&lt;4,1,IF($AK7&lt;2,1,0))</formula>
    </cfRule>
  </conditionalFormatting>
  <conditionalFormatting sqref="N26:P26 N111:P111">
    <cfRule type="expression" dxfId="3033" priority="135" stopIfTrue="1">
      <formula>IF($AK8&lt;5,1,IF($AK7&lt;2,1,0))</formula>
    </cfRule>
  </conditionalFormatting>
  <conditionalFormatting sqref="Q26:S26 Q111:S111">
    <cfRule type="expression" dxfId="3032" priority="136" stopIfTrue="1">
      <formula>IF($AK8&lt;6,1,IF($AK7&lt;2,1,0))</formula>
    </cfRule>
  </conditionalFormatting>
  <conditionalFormatting sqref="T26:V26 T111:V111">
    <cfRule type="expression" dxfId="3031" priority="137" stopIfTrue="1">
      <formula>IF($AK8&lt;7,1,IF($AK7&lt;2,1,0))</formula>
    </cfRule>
  </conditionalFormatting>
  <conditionalFormatting sqref="W26:Y26 W111:Y111">
    <cfRule type="expression" dxfId="3030" priority="138" stopIfTrue="1">
      <formula>IF($AK8&lt;8,1,IF($AK7&lt;2,1,0))</formula>
    </cfRule>
  </conditionalFormatting>
  <conditionalFormatting sqref="Z26:AB26 Z111:AB111">
    <cfRule type="expression" dxfId="3029" priority="139" stopIfTrue="1">
      <formula>IF($AK8&lt;9,1,IF($AK7&lt;2,1,0))</formula>
    </cfRule>
  </conditionalFormatting>
  <conditionalFormatting sqref="AC26:AE26 AC111:AE111">
    <cfRule type="expression" dxfId="3028" priority="140" stopIfTrue="1">
      <formula>IF($AK8&lt;10,1,IF($AK7&lt;2,1,0))</formula>
    </cfRule>
  </conditionalFormatting>
  <conditionalFormatting sqref="H27:J27 H112:J112">
    <cfRule type="expression" dxfId="3027" priority="141" stopIfTrue="1">
      <formula>IF($AK8&lt;3,1,IF($AK7&lt;3,1,0))</formula>
    </cfRule>
  </conditionalFormatting>
  <conditionalFormatting sqref="K27:M27 K112:M112">
    <cfRule type="expression" dxfId="3026" priority="142" stopIfTrue="1">
      <formula>IF($AK8&lt;4,1,IF($AK7&lt;3,1,0))</formula>
    </cfRule>
  </conditionalFormatting>
  <conditionalFormatting sqref="N27:P27 N112:P112">
    <cfRule type="expression" dxfId="3025" priority="143" stopIfTrue="1">
      <formula>IF($AK8&lt;5,1,IF($AK7&lt;3,1,0))</formula>
    </cfRule>
  </conditionalFormatting>
  <conditionalFormatting sqref="Q27:S27 Q112:S112">
    <cfRule type="expression" dxfId="3024" priority="144" stopIfTrue="1">
      <formula>IF($AK8&lt;6,1,IF($AK7&lt;3,1,0))</formula>
    </cfRule>
  </conditionalFormatting>
  <conditionalFormatting sqref="T27:V27 T112:V112">
    <cfRule type="expression" dxfId="3023" priority="145" stopIfTrue="1">
      <formula>IF($AK8&lt;7,1,IF($AK7&lt;3,1,0))</formula>
    </cfRule>
  </conditionalFormatting>
  <conditionalFormatting sqref="W27:Y27 W112:Y112">
    <cfRule type="expression" dxfId="3022" priority="146" stopIfTrue="1">
      <formula>IF($AK8&lt;8,1,IF($AK7&lt;3,1,0))</formula>
    </cfRule>
  </conditionalFormatting>
  <conditionalFormatting sqref="Z27:AB27 Z112:AB112">
    <cfRule type="expression" dxfId="3021" priority="147" stopIfTrue="1">
      <formula>IF($AK8&lt;9,1,IF($AK7&lt;3,1,0))</formula>
    </cfRule>
  </conditionalFormatting>
  <conditionalFormatting sqref="AC27:AE27 AC112:AE112">
    <cfRule type="expression" dxfId="3020" priority="148" stopIfTrue="1">
      <formula>IF($AK8&lt;10,1,IF($AK7&lt;3,1,0))</formula>
    </cfRule>
  </conditionalFormatting>
  <conditionalFormatting sqref="H28:J28 H113:J113">
    <cfRule type="expression" dxfId="3019" priority="149" stopIfTrue="1">
      <formula>IF($AK8&lt;3,1,IF($AK7&lt;4,1,0))</formula>
    </cfRule>
  </conditionalFormatting>
  <conditionalFormatting sqref="K28:M28 K113:M113">
    <cfRule type="expression" dxfId="3018" priority="150" stopIfTrue="1">
      <formula>IF($AK8&lt;4,1,IF($AK7&lt;4,1,0))</formula>
    </cfRule>
  </conditionalFormatting>
  <conditionalFormatting sqref="N28:P28 N113:P113">
    <cfRule type="expression" dxfId="3017" priority="151" stopIfTrue="1">
      <formula>IF($AK8&lt;5,1,IF($AK7&lt;4,1,0))</formula>
    </cfRule>
  </conditionalFormatting>
  <conditionalFormatting sqref="Q28:S28 Q113:S113">
    <cfRule type="expression" dxfId="3016" priority="152" stopIfTrue="1">
      <formula>IF($AK8&lt;6,1,IF($AK7&lt;4,1,0))</formula>
    </cfRule>
  </conditionalFormatting>
  <conditionalFormatting sqref="T28:V28 T113:V113">
    <cfRule type="expression" dxfId="3015" priority="153" stopIfTrue="1">
      <formula>IF($AK8&lt;7,1,IF($AK7&lt;4,1,0))</formula>
    </cfRule>
  </conditionalFormatting>
  <conditionalFormatting sqref="W28:Y28 W113:Y113">
    <cfRule type="expression" dxfId="3014" priority="154" stopIfTrue="1">
      <formula>IF($AK8&lt;8,1,IF($AK7&lt;4,1,0))</formula>
    </cfRule>
  </conditionalFormatting>
  <conditionalFormatting sqref="Z28:AB28 Z113:AB113">
    <cfRule type="expression" dxfId="3013" priority="155" stopIfTrue="1">
      <formula>IF($AK8&lt;9,1,IF($AK7&lt;4,1,0))</formula>
    </cfRule>
  </conditionalFormatting>
  <conditionalFormatting sqref="AC28:AE28 AC113:AE113">
    <cfRule type="expression" dxfId="3012" priority="156" stopIfTrue="1">
      <formula>IF($AK8&lt;10,1,IF($AK7&lt;4,1,0))</formula>
    </cfRule>
  </conditionalFormatting>
  <conditionalFormatting sqref="H29:J29 H114:J114">
    <cfRule type="expression" dxfId="3011" priority="157" stopIfTrue="1">
      <formula>IF($AK8&lt;3,1,IF($AK7&lt;5,1,0))</formula>
    </cfRule>
  </conditionalFormatting>
  <conditionalFormatting sqref="K29:M29 K114:M114">
    <cfRule type="expression" dxfId="3010" priority="158" stopIfTrue="1">
      <formula>IF($AK8&lt;4,1,IF($AK7&lt;5,1,0))</formula>
    </cfRule>
  </conditionalFormatting>
  <conditionalFormatting sqref="N29:P29 N114:P114">
    <cfRule type="expression" dxfId="3009" priority="159" stopIfTrue="1">
      <formula>IF($AK8&lt;5,1,IF($AK7&lt;5,1,0))</formula>
    </cfRule>
  </conditionalFormatting>
  <conditionalFormatting sqref="Q29:S29 Q114:S114">
    <cfRule type="expression" dxfId="3008" priority="160" stopIfTrue="1">
      <formula>IF($AK8&lt;6,1,IF($AK7&lt;5,1,0))</formula>
    </cfRule>
  </conditionalFormatting>
  <conditionalFormatting sqref="T29:V29 T114:V114">
    <cfRule type="expression" dxfId="3007" priority="161" stopIfTrue="1">
      <formula>IF($AK8&lt;7,1,IF($AK7&lt;5,1,0))</formula>
    </cfRule>
  </conditionalFormatting>
  <conditionalFormatting sqref="W29:Y29 W114:Y114">
    <cfRule type="expression" dxfId="3006" priority="162" stopIfTrue="1">
      <formula>IF($AK8&lt;8,1,IF($AK7&lt;5,1,0))</formula>
    </cfRule>
  </conditionalFormatting>
  <conditionalFormatting sqref="Z29:AB29 Z114:AB114">
    <cfRule type="expression" dxfId="3005" priority="163" stopIfTrue="1">
      <formula>IF($AK8&lt;9,1,IF($AK7&lt;5,1,0))</formula>
    </cfRule>
  </conditionalFormatting>
  <conditionalFormatting sqref="AC29:AE29 AC114:AE114">
    <cfRule type="expression" dxfId="3004" priority="164" stopIfTrue="1">
      <formula>IF($AK8&lt;10,1,IF($AK7&lt;5,1,0))</formula>
    </cfRule>
  </conditionalFormatting>
  <conditionalFormatting sqref="R14:AB15 AF14:AF15 L14:P15 R99:AB100 AF99:AF100 L99:P100 AG14 AG99">
    <cfRule type="expression" dxfId="3003" priority="165" stopIfTrue="1">
      <formula>IF($AK9&gt;3,0,1)</formula>
    </cfRule>
  </conditionalFormatting>
  <conditionalFormatting sqref="R16:AB17 AF16:AF17 L16:P17 R101:AB102 AF101:AF102 L101:P102 AG16 AG101">
    <cfRule type="expression" dxfId="3002" priority="166" stopIfTrue="1">
      <formula>IF($AK9&gt;4,0,1)</formula>
    </cfRule>
  </conditionalFormatting>
  <conditionalFormatting sqref="R8:AB9 AF8:AF9 L8:P9 R93:AB94 AF93:AF94 L93:P94 AG8 AG93">
    <cfRule type="expression" dxfId="3001" priority="167" stopIfTrue="1">
      <formula>IF($AK9&gt;0,0,1)</formula>
    </cfRule>
  </conditionalFormatting>
  <conditionalFormatting sqref="R10:AB11 AF10:AF11 L10:P11 R95:AB96 AF95:AF96 L95:P96 AG10 AG95">
    <cfRule type="expression" dxfId="3000" priority="168" stopIfTrue="1">
      <formula>IF($AK9&gt;1,0,1)</formula>
    </cfRule>
  </conditionalFormatting>
  <conditionalFormatting sqref="R12:AB13 AF12:AF13 L12:P13 R97:AB98 AF97:AF98 L97:P98 AG12 AG97">
    <cfRule type="expression" dxfId="2999" priority="169" stopIfTrue="1">
      <formula>IF($AK9&gt;2,0,1)</formula>
    </cfRule>
  </conditionalFormatting>
  <conditionalFormatting sqref="E24 E109">
    <cfRule type="expression" dxfId="2998" priority="170" stopIfTrue="1">
      <formula>IF(AK8&gt;1,0,1)</formula>
    </cfRule>
  </conditionalFormatting>
  <conditionalFormatting sqref="H24 H109">
    <cfRule type="expression" dxfId="2997" priority="171" stopIfTrue="1">
      <formula>IF(AK8&gt;2,0,1)</formula>
    </cfRule>
  </conditionalFormatting>
  <conditionalFormatting sqref="K24 K109">
    <cfRule type="expression" dxfId="2996" priority="172" stopIfTrue="1">
      <formula>IF(AK8&gt;3,0,1)</formula>
    </cfRule>
  </conditionalFormatting>
  <conditionalFormatting sqref="N24 N109">
    <cfRule type="expression" dxfId="2995" priority="173" stopIfTrue="1">
      <formula>IF(AK8&gt;4,0,1)</formula>
    </cfRule>
  </conditionalFormatting>
  <conditionalFormatting sqref="Q24 Q109">
    <cfRule type="expression" dxfId="2994" priority="174" stopIfTrue="1">
      <formula>IF(AK8&gt;5,0,1)</formula>
    </cfRule>
  </conditionalFormatting>
  <conditionalFormatting sqref="T24 T109">
    <cfRule type="expression" dxfId="2993" priority="175" stopIfTrue="1">
      <formula>IF(AK8&gt;6,0,1)</formula>
    </cfRule>
  </conditionalFormatting>
  <conditionalFormatting sqref="W24 W109">
    <cfRule type="expression" dxfId="2992" priority="176" stopIfTrue="1">
      <formula>IF(AK8&gt;7,0,1)</formula>
    </cfRule>
  </conditionalFormatting>
  <conditionalFormatting sqref="Z24 Z109">
    <cfRule type="expression" dxfId="2991" priority="177" stopIfTrue="1">
      <formula>IF(AK8&gt;8,0,1)</formula>
    </cfRule>
  </conditionalFormatting>
  <conditionalFormatting sqref="AC24 AC109">
    <cfRule type="expression" dxfId="2990" priority="178" stopIfTrue="1">
      <formula>IF(AK8&gt;9,0,1)</formula>
    </cfRule>
  </conditionalFormatting>
  <conditionalFormatting sqref="AQ27 AQ112">
    <cfRule type="expression" dxfId="2989" priority="179" stopIfTrue="1">
      <formula>IF($AK9&gt;3,0,1)</formula>
    </cfRule>
  </conditionalFormatting>
  <conditionalFormatting sqref="E25:G25 E110:G110">
    <cfRule type="expression" dxfId="2988" priority="180" stopIfTrue="1">
      <formula>IF($AK8&gt;1,0,1)</formula>
    </cfRule>
  </conditionalFormatting>
  <conditionalFormatting sqref="B21:D21 B106:D106">
    <cfRule type="expression" dxfId="2987" priority="181" stopIfTrue="1">
      <formula>IF(AK8&gt;0,0,1)</formula>
    </cfRule>
  </conditionalFormatting>
  <conditionalFormatting sqref="E21:G21 E106:G106">
    <cfRule type="expression" dxfId="2986" priority="182" stopIfTrue="1">
      <formula>IF(AK8&gt;1,0,1)</formula>
    </cfRule>
  </conditionalFormatting>
  <conditionalFormatting sqref="H21:J21 H106:J106">
    <cfRule type="expression" dxfId="2985" priority="183" stopIfTrue="1">
      <formula>IF(AK8&gt;2,0,1)</formula>
    </cfRule>
  </conditionalFormatting>
  <conditionalFormatting sqref="K21:M21 K106:M106">
    <cfRule type="expression" dxfId="2984" priority="184" stopIfTrue="1">
      <formula>IF(AK8&gt;3,0,1)</formula>
    </cfRule>
  </conditionalFormatting>
  <conditionalFormatting sqref="N21:P21 N106:P106">
    <cfRule type="expression" dxfId="2983" priority="185" stopIfTrue="1">
      <formula>IF(AK8&gt;4,0,1)</formula>
    </cfRule>
  </conditionalFormatting>
  <conditionalFormatting sqref="Q21:S21 Q106:S106">
    <cfRule type="expression" dxfId="2982" priority="186" stopIfTrue="1">
      <formula>IF(AK8&gt;5,0,1)</formula>
    </cfRule>
  </conditionalFormatting>
  <conditionalFormatting sqref="T21:V21 T106:V106">
    <cfRule type="expression" dxfId="2981" priority="187" stopIfTrue="1">
      <formula>IF(AK8&gt;6,0,1)</formula>
    </cfRule>
  </conditionalFormatting>
  <conditionalFormatting sqref="W21:Y21 W106:Y106">
    <cfRule type="expression" dxfId="2980" priority="188" stopIfTrue="1">
      <formula>IF(AK8&gt;7,0,1)</formula>
    </cfRule>
  </conditionalFormatting>
  <conditionalFormatting sqref="Z21:AB21 Z106:AB106">
    <cfRule type="expression" dxfId="2979" priority="189" stopIfTrue="1">
      <formula>IF(AK8&gt;8,0,1)</formula>
    </cfRule>
  </conditionalFormatting>
  <conditionalFormatting sqref="AC21:AE21 AC106:AE106">
    <cfRule type="expression" dxfId="2978" priority="190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2977" priority="191" stopIfTrue="1">
      <formula>IF(#REF!&gt;0,0,1)</formula>
    </cfRule>
  </conditionalFormatting>
  <conditionalFormatting sqref="AA215:AB215 AB223 AA218:AB218 Z223 Z215:Z218 F215:G215 G223 F218:G218 E223 E215:E218">
    <cfRule type="expression" dxfId="2976" priority="192" stopIfTrue="1">
      <formula>IF(#REF!&gt;1,0,1)</formula>
    </cfRule>
  </conditionalFormatting>
  <conditionalFormatting sqref="AC215:AC218 AD215:AE215 AE223 AD218:AE218 AC223 H223 H215:H218 I215:J215 J223 I218:J218">
    <cfRule type="expression" dxfId="2975" priority="193" stopIfTrue="1">
      <formula>IF(#REF!&gt;2,0,1)</formula>
    </cfRule>
  </conditionalFormatting>
  <conditionalFormatting sqref="W224 Y224 B224 D224">
    <cfRule type="expression" dxfId="2974" priority="194" stopIfTrue="1">
      <formula>IF(#REF!&lt;1,1,IF(#REF!&lt;2,1,0))</formula>
    </cfRule>
  </conditionalFormatting>
  <conditionalFormatting sqref="Z224 AB224 E224 G224">
    <cfRule type="expression" dxfId="2973" priority="195" stopIfTrue="1">
      <formula>IF(#REF!&lt;2,1,IF(#REF!&lt;2,1,0))</formula>
    </cfRule>
  </conditionalFormatting>
  <conditionalFormatting sqref="AC224 AE224 H224 J224">
    <cfRule type="expression" dxfId="2972" priority="196" stopIfTrue="1">
      <formula>IF(#REF!&lt;3,1,IF(#REF!&lt;2,1,0))</formula>
    </cfRule>
  </conditionalFormatting>
  <conditionalFormatting sqref="Y225 B225 D225 W225">
    <cfRule type="expression" dxfId="2971" priority="197" stopIfTrue="1">
      <formula>IF(#REF!&lt;1,1,IF(#REF!&lt;3,1,0))</formula>
    </cfRule>
  </conditionalFormatting>
  <conditionalFormatting sqref="AB225 E225 G225 Z225">
    <cfRule type="expression" dxfId="2970" priority="198" stopIfTrue="1">
      <formula>IF(#REF!&lt;2,1,IF(#REF!&lt;3,1,0))</formula>
    </cfRule>
  </conditionalFormatting>
  <conditionalFormatting sqref="AE225 H225 J225 AC225">
    <cfRule type="expression" dxfId="2969" priority="199" stopIfTrue="1">
      <formula>IF(#REF!&lt;3,1,IF(#REF!&lt;3,1,0))</formula>
    </cfRule>
  </conditionalFormatting>
  <conditionalFormatting sqref="AG24:AP28 AG109:AP113">
    <cfRule type="cellIs" dxfId="2968" priority="200" stopIfTrue="1" operator="notBetween">
      <formula>-9999</formula>
      <formula>9999</formula>
    </cfRule>
  </conditionalFormatting>
  <conditionalFormatting sqref="AC7 AC92">
    <cfRule type="expression" dxfId="2967" priority="201" stopIfTrue="1">
      <formula>IF($AK$11=0,1,0)</formula>
    </cfRule>
  </conditionalFormatting>
  <conditionalFormatting sqref="B18">
    <cfRule type="expression" dxfId="2966" priority="202" stopIfTrue="1">
      <formula>IF($AK$9&gt;0,0,1)</formula>
    </cfRule>
  </conditionalFormatting>
  <conditionalFormatting sqref="B22:D23 B107:D108">
    <cfRule type="cellIs" dxfId="2965" priority="203" stopIfTrue="1" operator="equal">
      <formula>99</formula>
    </cfRule>
  </conditionalFormatting>
  <conditionalFormatting sqref="X226 AA226 C226 F226">
    <cfRule type="expression" dxfId="2964" priority="204" stopIfTrue="1">
      <formula>IF(#REF!&gt;0,0,1)</formula>
    </cfRule>
  </conditionalFormatting>
  <conditionalFormatting sqref="K215">
    <cfRule type="expression" dxfId="2963" priority="4" stopIfTrue="1">
      <formula>IF(#REF!&gt;2,0,1)</formula>
    </cfRule>
  </conditionalFormatting>
  <conditionalFormatting sqref="K215">
    <cfRule type="expression" dxfId="2962" priority="3" stopIfTrue="1">
      <formula>IF(ISNUMBER(K223),0,1)</formula>
    </cfRule>
  </conditionalFormatting>
  <conditionalFormatting sqref="AF215">
    <cfRule type="expression" dxfId="2961" priority="2" stopIfTrue="1">
      <formula>IF(ISNUMBER(AF223),0,1)</formula>
    </cfRule>
  </conditionalFormatting>
  <conditionalFormatting sqref="B103">
    <cfRule type="expression" dxfId="2960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12290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12290" r:id="rId4" name="Pool2RecalcFinish"/>
      </mc:Fallback>
    </mc:AlternateContent>
    <mc:AlternateContent xmlns:mc="http://schemas.openxmlformats.org/markup-compatibility/2006">
      <mc:Choice Requires="x14">
        <control shapeId="12289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2289" r:id="rId6" name="Pool1RecalcFinish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FFFF00"/>
  </sheetPr>
  <dimension ref="A1:BY430"/>
  <sheetViews>
    <sheetView zoomScale="70" zoomScaleNormal="70" workbookViewId="0">
      <selection activeCell="AU15" sqref="AU15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4.28515625" style="4" customWidth="1"/>
    <col min="50" max="50" width="10" style="4" customWidth="1"/>
    <col min="51" max="51" width="10.425781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4.28515625" style="4" customWidth="1"/>
    <col min="306" max="306" width="10" style="4" customWidth="1"/>
    <col min="307" max="307" width="10.425781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4.28515625" style="4" customWidth="1"/>
    <col min="562" max="562" width="10" style="4" customWidth="1"/>
    <col min="563" max="563" width="10.425781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4.28515625" style="4" customWidth="1"/>
    <col min="818" max="818" width="10" style="4" customWidth="1"/>
    <col min="819" max="819" width="10.425781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4.28515625" style="4" customWidth="1"/>
    <col min="1074" max="1074" width="10" style="4" customWidth="1"/>
    <col min="1075" max="1075" width="10.425781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4.28515625" style="4" customWidth="1"/>
    <col min="1330" max="1330" width="10" style="4" customWidth="1"/>
    <col min="1331" max="1331" width="10.425781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4.28515625" style="4" customWidth="1"/>
    <col min="1586" max="1586" width="10" style="4" customWidth="1"/>
    <col min="1587" max="1587" width="10.425781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4.28515625" style="4" customWidth="1"/>
    <col min="1842" max="1842" width="10" style="4" customWidth="1"/>
    <col min="1843" max="1843" width="10.425781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4.28515625" style="4" customWidth="1"/>
    <col min="2098" max="2098" width="10" style="4" customWidth="1"/>
    <col min="2099" max="2099" width="10.425781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4.28515625" style="4" customWidth="1"/>
    <col min="2354" max="2354" width="10" style="4" customWidth="1"/>
    <col min="2355" max="2355" width="10.425781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4.28515625" style="4" customWidth="1"/>
    <col min="2610" max="2610" width="10" style="4" customWidth="1"/>
    <col min="2611" max="2611" width="10.425781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4.28515625" style="4" customWidth="1"/>
    <col min="2866" max="2866" width="10" style="4" customWidth="1"/>
    <col min="2867" max="2867" width="10.425781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4.28515625" style="4" customWidth="1"/>
    <col min="3122" max="3122" width="10" style="4" customWidth="1"/>
    <col min="3123" max="3123" width="10.425781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4.28515625" style="4" customWidth="1"/>
    <col min="3378" max="3378" width="10" style="4" customWidth="1"/>
    <col min="3379" max="3379" width="10.425781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4.28515625" style="4" customWidth="1"/>
    <col min="3634" max="3634" width="10" style="4" customWidth="1"/>
    <col min="3635" max="3635" width="10.425781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4.28515625" style="4" customWidth="1"/>
    <col min="3890" max="3890" width="10" style="4" customWidth="1"/>
    <col min="3891" max="3891" width="10.425781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4.28515625" style="4" customWidth="1"/>
    <col min="4146" max="4146" width="10" style="4" customWidth="1"/>
    <col min="4147" max="4147" width="10.425781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4.28515625" style="4" customWidth="1"/>
    <col min="4402" max="4402" width="10" style="4" customWidth="1"/>
    <col min="4403" max="4403" width="10.425781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4.28515625" style="4" customWidth="1"/>
    <col min="4658" max="4658" width="10" style="4" customWidth="1"/>
    <col min="4659" max="4659" width="10.425781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4.28515625" style="4" customWidth="1"/>
    <col min="4914" max="4914" width="10" style="4" customWidth="1"/>
    <col min="4915" max="4915" width="10.425781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4.28515625" style="4" customWidth="1"/>
    <col min="5170" max="5170" width="10" style="4" customWidth="1"/>
    <col min="5171" max="5171" width="10.425781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4.28515625" style="4" customWidth="1"/>
    <col min="5426" max="5426" width="10" style="4" customWidth="1"/>
    <col min="5427" max="5427" width="10.425781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4.28515625" style="4" customWidth="1"/>
    <col min="5682" max="5682" width="10" style="4" customWidth="1"/>
    <col min="5683" max="5683" width="10.425781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4.28515625" style="4" customWidth="1"/>
    <col min="5938" max="5938" width="10" style="4" customWidth="1"/>
    <col min="5939" max="5939" width="10.425781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4.28515625" style="4" customWidth="1"/>
    <col min="6194" max="6194" width="10" style="4" customWidth="1"/>
    <col min="6195" max="6195" width="10.425781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4.28515625" style="4" customWidth="1"/>
    <col min="6450" max="6450" width="10" style="4" customWidth="1"/>
    <col min="6451" max="6451" width="10.425781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4.28515625" style="4" customWidth="1"/>
    <col min="6706" max="6706" width="10" style="4" customWidth="1"/>
    <col min="6707" max="6707" width="10.425781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4.28515625" style="4" customWidth="1"/>
    <col min="6962" max="6962" width="10" style="4" customWidth="1"/>
    <col min="6963" max="6963" width="10.425781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4.28515625" style="4" customWidth="1"/>
    <col min="7218" max="7218" width="10" style="4" customWidth="1"/>
    <col min="7219" max="7219" width="10.425781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4.28515625" style="4" customWidth="1"/>
    <col min="7474" max="7474" width="10" style="4" customWidth="1"/>
    <col min="7475" max="7475" width="10.425781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4.28515625" style="4" customWidth="1"/>
    <col min="7730" max="7730" width="10" style="4" customWidth="1"/>
    <col min="7731" max="7731" width="10.425781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4.28515625" style="4" customWidth="1"/>
    <col min="7986" max="7986" width="10" style="4" customWidth="1"/>
    <col min="7987" max="7987" width="10.425781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4.28515625" style="4" customWidth="1"/>
    <col min="8242" max="8242" width="10" style="4" customWidth="1"/>
    <col min="8243" max="8243" width="10.425781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4.28515625" style="4" customWidth="1"/>
    <col min="8498" max="8498" width="10" style="4" customWidth="1"/>
    <col min="8499" max="8499" width="10.425781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4.28515625" style="4" customWidth="1"/>
    <col min="8754" max="8754" width="10" style="4" customWidth="1"/>
    <col min="8755" max="8755" width="10.425781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4.28515625" style="4" customWidth="1"/>
    <col min="9010" max="9010" width="10" style="4" customWidth="1"/>
    <col min="9011" max="9011" width="10.425781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4.28515625" style="4" customWidth="1"/>
    <col min="9266" max="9266" width="10" style="4" customWidth="1"/>
    <col min="9267" max="9267" width="10.425781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4.28515625" style="4" customWidth="1"/>
    <col min="9522" max="9522" width="10" style="4" customWidth="1"/>
    <col min="9523" max="9523" width="10.425781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4.28515625" style="4" customWidth="1"/>
    <col min="9778" max="9778" width="10" style="4" customWidth="1"/>
    <col min="9779" max="9779" width="10.425781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4.28515625" style="4" customWidth="1"/>
    <col min="10034" max="10034" width="10" style="4" customWidth="1"/>
    <col min="10035" max="10035" width="10.425781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4.28515625" style="4" customWidth="1"/>
    <col min="10290" max="10290" width="10" style="4" customWidth="1"/>
    <col min="10291" max="10291" width="10.425781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4.28515625" style="4" customWidth="1"/>
    <col min="10546" max="10546" width="10" style="4" customWidth="1"/>
    <col min="10547" max="10547" width="10.425781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4.28515625" style="4" customWidth="1"/>
    <col min="10802" max="10802" width="10" style="4" customWidth="1"/>
    <col min="10803" max="10803" width="10.425781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4.28515625" style="4" customWidth="1"/>
    <col min="11058" max="11058" width="10" style="4" customWidth="1"/>
    <col min="11059" max="11059" width="10.425781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4.28515625" style="4" customWidth="1"/>
    <col min="11314" max="11314" width="10" style="4" customWidth="1"/>
    <col min="11315" max="11315" width="10.425781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4.28515625" style="4" customWidth="1"/>
    <col min="11570" max="11570" width="10" style="4" customWidth="1"/>
    <col min="11571" max="11571" width="10.425781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4.28515625" style="4" customWidth="1"/>
    <col min="11826" max="11826" width="10" style="4" customWidth="1"/>
    <col min="11827" max="11827" width="10.425781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4.28515625" style="4" customWidth="1"/>
    <col min="12082" max="12082" width="10" style="4" customWidth="1"/>
    <col min="12083" max="12083" width="10.425781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4.28515625" style="4" customWidth="1"/>
    <col min="12338" max="12338" width="10" style="4" customWidth="1"/>
    <col min="12339" max="12339" width="10.425781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4.28515625" style="4" customWidth="1"/>
    <col min="12594" max="12594" width="10" style="4" customWidth="1"/>
    <col min="12595" max="12595" width="10.425781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4.28515625" style="4" customWidth="1"/>
    <col min="12850" max="12850" width="10" style="4" customWidth="1"/>
    <col min="12851" max="12851" width="10.425781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4.28515625" style="4" customWidth="1"/>
    <col min="13106" max="13106" width="10" style="4" customWidth="1"/>
    <col min="13107" max="13107" width="10.425781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4.28515625" style="4" customWidth="1"/>
    <col min="13362" max="13362" width="10" style="4" customWidth="1"/>
    <col min="13363" max="13363" width="10.425781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4.28515625" style="4" customWidth="1"/>
    <col min="13618" max="13618" width="10" style="4" customWidth="1"/>
    <col min="13619" max="13619" width="10.425781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4.28515625" style="4" customWidth="1"/>
    <col min="13874" max="13874" width="10" style="4" customWidth="1"/>
    <col min="13875" max="13875" width="10.425781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4.28515625" style="4" customWidth="1"/>
    <col min="14130" max="14130" width="10" style="4" customWidth="1"/>
    <col min="14131" max="14131" width="10.425781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4.28515625" style="4" customWidth="1"/>
    <col min="14386" max="14386" width="10" style="4" customWidth="1"/>
    <col min="14387" max="14387" width="10.425781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4.28515625" style="4" customWidth="1"/>
    <col min="14642" max="14642" width="10" style="4" customWidth="1"/>
    <col min="14643" max="14643" width="10.425781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4.28515625" style="4" customWidth="1"/>
    <col min="14898" max="14898" width="10" style="4" customWidth="1"/>
    <col min="14899" max="14899" width="10.425781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4.28515625" style="4" customWidth="1"/>
    <col min="15154" max="15154" width="10" style="4" customWidth="1"/>
    <col min="15155" max="15155" width="10.425781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4.28515625" style="4" customWidth="1"/>
    <col min="15410" max="15410" width="10" style="4" customWidth="1"/>
    <col min="15411" max="15411" width="10.425781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4.28515625" style="4" customWidth="1"/>
    <col min="15666" max="15666" width="10" style="4" customWidth="1"/>
    <col min="15667" max="15667" width="10.425781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4.28515625" style="4" customWidth="1"/>
    <col min="15922" max="15922" width="10" style="4" customWidth="1"/>
    <col min="15923" max="15923" width="10.425781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4.28515625" style="4" customWidth="1"/>
    <col min="16178" max="16178" width="10" style="4" customWidth="1"/>
    <col min="16179" max="16179" width="10.425781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519" t="s">
        <v>2</v>
      </c>
      <c r="AU1" s="520"/>
      <c r="AV1" s="521"/>
      <c r="AW1" s="148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324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>
        <v>17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325</v>
      </c>
      <c r="AV3" s="15" t="s">
        <v>326</v>
      </c>
      <c r="AW3" s="16">
        <f>VLOOKUP(AV3,Initial!G:K,5,FALSE)</f>
        <v>2525.1096133091269</v>
      </c>
      <c r="AX3" s="17">
        <f>VLOOKUP(AU3,AT$79:AU$83,2,FALSE)</f>
        <v>2403.0662917192458</v>
      </c>
      <c r="AY3" s="18">
        <f>IF(ISNA(VLOOKUP(AU3,AT$96:AU$148,2,FALSE)),AX3,VLOOKUP(AU3,AT$96:AU$148,2,FALSE))</f>
        <v>2385.4518972414598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327</v>
      </c>
      <c r="F4" s="210"/>
      <c r="G4" s="210"/>
      <c r="H4" s="210"/>
      <c r="I4" s="210"/>
      <c r="J4" s="210"/>
      <c r="K4" s="210"/>
      <c r="L4" s="210"/>
      <c r="M4" s="211"/>
      <c r="N4" s="206" t="s">
        <v>27</v>
      </c>
      <c r="O4" s="207"/>
      <c r="P4" s="207"/>
      <c r="Q4" s="208"/>
      <c r="R4" s="212" t="s">
        <v>28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29</v>
      </c>
      <c r="AC4" s="207"/>
      <c r="AD4" s="207"/>
      <c r="AE4" s="208"/>
      <c r="AF4" s="407">
        <v>42759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328</v>
      </c>
      <c r="AV4" s="15" t="s">
        <v>329</v>
      </c>
      <c r="AW4" s="16">
        <f>VLOOKUP(AV4,Initial!G:K,5,FALSE)</f>
        <v>2397.9058130222679</v>
      </c>
      <c r="AX4" s="20">
        <f>VLOOKUP(AU4,AT$79:AU$83,2,FALSE)</f>
        <v>2385.6215020953255</v>
      </c>
      <c r="AY4" s="21">
        <f>IF(ISNA(VLOOKUP(AU4,AT$96:AU$148,2,FALSE)),AX4,VLOOKUP(AU4,AT$96:AU$148,2,FALSE))</f>
        <v>2383.1397139572923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330</v>
      </c>
      <c r="AV5" s="15" t="s">
        <v>331</v>
      </c>
      <c r="AW5" s="16">
        <f>VLOOKUP(AV5,Initial!G:K,5,FALSE)</f>
        <v>2344.6275487157213</v>
      </c>
      <c r="AX5" s="20">
        <f>VLOOKUP(AU5,AT$79:AU$83,2,FALSE)</f>
        <v>2345.8418697032776</v>
      </c>
      <c r="AY5" s="21">
        <f>IF(ISNA(VLOOKUP(AU5,AT$96:AU$148,2,FALSE)),AX5,VLOOKUP(AU5,AT$96:AU$148,2,FALSE))</f>
        <v>2331.6658262868896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332</v>
      </c>
      <c r="AV6" s="15" t="s">
        <v>333</v>
      </c>
      <c r="AW6" s="16">
        <f>VLOOKUP(AV6,Initial!G:K,5,FALSE)</f>
        <v>2338.5089997355412</v>
      </c>
      <c r="AX6" s="20">
        <f>VLOOKUP(AU6,AT$79:AU$83,2,FALSE)</f>
        <v>2303.7318480220224</v>
      </c>
      <c r="AY6" s="21">
        <f>IF(ISNA(VLOOKUP(AU6,AT$96:AU$148,2,FALSE)),AX6,VLOOKUP(AU6,AT$96:AU$148,2,FALSE))</f>
        <v>2303.7318480220224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Games Won</v>
      </c>
      <c r="M7" s="255"/>
      <c r="N7" s="255"/>
      <c r="O7" s="255"/>
      <c r="P7" s="255"/>
      <c r="Q7" s="256"/>
      <c r="R7" s="254" t="str">
        <f>IF($AK10=0,"Games Lost","Matches Lost")</f>
        <v>Games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33">
        <v>5</v>
      </c>
      <c r="AU7" s="15" t="s">
        <v>334</v>
      </c>
      <c r="AV7" s="15" t="s">
        <v>335</v>
      </c>
      <c r="AW7" s="16">
        <f>VLOOKUP(AV7,Initial!G:K,5,FALSE)</f>
        <v>2200</v>
      </c>
      <c r="AX7" s="34">
        <f>VLOOKUP(AU7,AT$79:AU$83,2,FALSE)</f>
        <v>2367.8904632427862</v>
      </c>
      <c r="AY7" s="35">
        <f>IF(ISNA(VLOOKUP(AU7,AT$96:AU$148,2,FALSE)),AX7,VLOOKUP(AU7,AT$96:AU$148,2,FALSE))</f>
        <v>2402.1626892749932</v>
      </c>
    </row>
    <row r="8" spans="1:53" ht="18.75" customHeight="1" x14ac:dyDescent="0.2">
      <c r="A8" s="227" t="str">
        <f>IF($AK9&gt;0,"1","")</f>
        <v>1</v>
      </c>
      <c r="B8" s="229" t="s">
        <v>10</v>
      </c>
      <c r="C8" s="230"/>
      <c r="D8" s="231"/>
      <c r="E8" s="232" t="str">
        <f>AU3</f>
        <v>Beaufort Seventeens</v>
      </c>
      <c r="F8" s="233"/>
      <c r="G8" s="233"/>
      <c r="H8" s="233"/>
      <c r="I8" s="233"/>
      <c r="J8" s="233"/>
      <c r="K8" s="234"/>
      <c r="L8" s="235">
        <f>IF($AK10=0,AF64,AF46)</f>
        <v>2</v>
      </c>
      <c r="M8" s="236"/>
      <c r="N8" s="236"/>
      <c r="O8" s="236"/>
      <c r="P8" s="236"/>
      <c r="Q8" s="256"/>
      <c r="R8" s="235">
        <f>IF($AK10=0,AG64,AG46)</f>
        <v>6</v>
      </c>
      <c r="S8" s="236"/>
      <c r="T8" s="236"/>
      <c r="U8" s="236"/>
      <c r="V8" s="236"/>
      <c r="W8" s="235">
        <f>AQ24</f>
        <v>-5</v>
      </c>
      <c r="X8" s="236"/>
      <c r="Y8" s="236"/>
      <c r="Z8" s="239">
        <f>IF(AF58&gt;0,(AQ24/AF58),0)</f>
        <v>-2.5000000000000001E-2</v>
      </c>
      <c r="AA8" s="240"/>
      <c r="AB8" s="240"/>
      <c r="AC8" s="262">
        <f>IF(AF72=0,0,(AF64/AF72))</f>
        <v>0.25</v>
      </c>
      <c r="AD8" s="263"/>
      <c r="AE8" s="264"/>
      <c r="AF8" s="268">
        <v>4</v>
      </c>
      <c r="AG8" s="268">
        <v>2</v>
      </c>
      <c r="AH8" s="270">
        <v>3</v>
      </c>
      <c r="AI8" s="271"/>
      <c r="AJ8" s="27"/>
      <c r="AK8" s="28">
        <v>10</v>
      </c>
      <c r="AL8" s="29" t="s">
        <v>49</v>
      </c>
      <c r="AM8" s="29"/>
      <c r="AN8" s="29"/>
      <c r="AO8" s="29"/>
      <c r="AP8" s="29"/>
      <c r="AQ8" s="29"/>
      <c r="AR8" s="30"/>
      <c r="AT8" s="339" t="s">
        <v>64</v>
      </c>
      <c r="AU8" s="340"/>
      <c r="AV8" s="340"/>
      <c r="AW8" s="340"/>
      <c r="AX8" s="340"/>
      <c r="AY8" s="341"/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fj7beauf1pm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5</v>
      </c>
      <c r="AL9" s="29" t="s">
        <v>52</v>
      </c>
      <c r="AM9" s="27"/>
      <c r="AN9" s="27"/>
      <c r="AO9" s="27"/>
      <c r="AP9" s="27"/>
      <c r="AQ9" s="27"/>
      <c r="AR9" s="3"/>
      <c r="AT9" s="342"/>
      <c r="AU9" s="343"/>
      <c r="AV9" s="343"/>
      <c r="AW9" s="343"/>
      <c r="AX9" s="343"/>
      <c r="AY9" s="344"/>
    </row>
    <row r="10" spans="1:53" ht="18.75" customHeight="1" x14ac:dyDescent="0.2">
      <c r="A10" s="227" t="str">
        <f>IF($AK9&gt;1,"2","")</f>
        <v>2</v>
      </c>
      <c r="B10" s="229" t="s">
        <v>10</v>
      </c>
      <c r="C10" s="230"/>
      <c r="D10" s="231"/>
      <c r="E10" s="232" t="str">
        <f>AU4</f>
        <v>SC Midlands 17 Black</v>
      </c>
      <c r="F10" s="233"/>
      <c r="G10" s="233"/>
      <c r="H10" s="233"/>
      <c r="I10" s="233"/>
      <c r="J10" s="233"/>
      <c r="K10" s="234"/>
      <c r="L10" s="235">
        <f>IF($AK10=0,AF65,AF47)</f>
        <v>4</v>
      </c>
      <c r="M10" s="236"/>
      <c r="N10" s="236"/>
      <c r="O10" s="236"/>
      <c r="P10" s="236"/>
      <c r="Q10" s="256"/>
      <c r="R10" s="235">
        <f>IF($AK10=0,AG65,AG47)</f>
        <v>4</v>
      </c>
      <c r="S10" s="236"/>
      <c r="T10" s="236"/>
      <c r="U10" s="236"/>
      <c r="V10" s="236"/>
      <c r="W10" s="235">
        <f>AQ25</f>
        <v>-15</v>
      </c>
      <c r="X10" s="236"/>
      <c r="Y10" s="236"/>
      <c r="Z10" s="239">
        <f>IF(AF59&gt;0,(AQ25/AF59),0)</f>
        <v>-7.4999999999999997E-2</v>
      </c>
      <c r="AA10" s="240"/>
      <c r="AB10" s="240"/>
      <c r="AC10" s="262">
        <f>IF(AF73=0,0,(AF65/AF73))</f>
        <v>0.5</v>
      </c>
      <c r="AD10" s="263"/>
      <c r="AE10" s="264"/>
      <c r="AF10" s="268">
        <v>3</v>
      </c>
      <c r="AG10" s="268">
        <v>2</v>
      </c>
      <c r="AH10" s="270">
        <v>2</v>
      </c>
      <c r="AI10" s="271"/>
      <c r="AJ10" s="27"/>
      <c r="AK10" s="28">
        <v>0</v>
      </c>
      <c r="AL10" s="29" t="s">
        <v>55</v>
      </c>
      <c r="AM10" s="29"/>
      <c r="AN10" s="29"/>
      <c r="AO10" s="29"/>
      <c r="AP10" s="29"/>
      <c r="AQ10" s="29"/>
      <c r="AR10" s="30"/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AV4</f>
        <v>fj7scmid3pm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39"/>
      <c r="AU11" s="97"/>
      <c r="AV11" s="97"/>
    </row>
    <row r="12" spans="1:53" ht="18.75" customHeight="1" x14ac:dyDescent="0.2">
      <c r="A12" s="227" t="str">
        <f>IF($AK9&gt;2,"3","")</f>
        <v>3</v>
      </c>
      <c r="B12" s="286" t="s">
        <v>10</v>
      </c>
      <c r="C12" s="287"/>
      <c r="D12" s="287"/>
      <c r="E12" s="232" t="str">
        <f>AU5</f>
        <v>VolleyOneAcademy 17-Jon</v>
      </c>
      <c r="F12" s="233"/>
      <c r="G12" s="233"/>
      <c r="H12" s="233"/>
      <c r="I12" s="233"/>
      <c r="J12" s="233"/>
      <c r="K12" s="234"/>
      <c r="L12" s="235">
        <f>IF($AK10=0,AF66,AF48)</f>
        <v>4</v>
      </c>
      <c r="M12" s="236"/>
      <c r="N12" s="236"/>
      <c r="O12" s="236"/>
      <c r="P12" s="236"/>
      <c r="Q12" s="256"/>
      <c r="R12" s="235">
        <f>IF($AK10=0,AG66,AG48)</f>
        <v>4</v>
      </c>
      <c r="S12" s="236"/>
      <c r="T12" s="236"/>
      <c r="U12" s="236"/>
      <c r="V12" s="236"/>
      <c r="W12" s="235">
        <f>AQ26</f>
        <v>-15</v>
      </c>
      <c r="X12" s="236"/>
      <c r="Y12" s="236"/>
      <c r="Z12" s="239">
        <f>IF(AF60&gt;0,(AQ26/AF60),0)</f>
        <v>-7.4999999999999997E-2</v>
      </c>
      <c r="AA12" s="240"/>
      <c r="AB12" s="240"/>
      <c r="AC12" s="262">
        <f>IF(AF74=0,0,(AF66/AF74))</f>
        <v>0.5</v>
      </c>
      <c r="AD12" s="263"/>
      <c r="AE12" s="264"/>
      <c r="AF12" s="268">
        <v>2</v>
      </c>
      <c r="AG12" s="268">
        <v>2</v>
      </c>
      <c r="AH12" s="270">
        <v>3</v>
      </c>
      <c r="AI12" s="271"/>
      <c r="AJ12" s="31"/>
      <c r="AK12" s="28">
        <v>8</v>
      </c>
      <c r="AL12" s="32" t="s">
        <v>61</v>
      </c>
      <c r="AM12" s="29"/>
      <c r="AN12" s="29"/>
      <c r="AO12" s="29"/>
      <c r="AP12" s="29"/>
      <c r="AQ12" s="29"/>
      <c r="AR12" s="30"/>
      <c r="AT12" s="39"/>
      <c r="AU12" s="97"/>
      <c r="AV12" s="97"/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AV5</f>
        <v>fj7vonea1pm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9"/>
      <c r="AU13" s="97"/>
      <c r="AV13" s="97"/>
    </row>
    <row r="14" spans="1:53" ht="18.75" customHeight="1" x14ac:dyDescent="0.2">
      <c r="A14" s="227" t="str">
        <f>IF($AK9&gt;3,"4","")</f>
        <v>4</v>
      </c>
      <c r="B14" s="286" t="s">
        <v>10</v>
      </c>
      <c r="C14" s="287"/>
      <c r="D14" s="287"/>
      <c r="E14" s="232" t="str">
        <f>AU6</f>
        <v>CSRA Heat 17 Gold</v>
      </c>
      <c r="F14" s="233"/>
      <c r="G14" s="233"/>
      <c r="H14" s="233"/>
      <c r="I14" s="233"/>
      <c r="J14" s="233"/>
      <c r="K14" s="234"/>
      <c r="L14" s="235">
        <f>IF($AK10=0,AF67,AF49)</f>
        <v>2</v>
      </c>
      <c r="M14" s="236"/>
      <c r="N14" s="236"/>
      <c r="O14" s="236"/>
      <c r="P14" s="236"/>
      <c r="Q14" s="256"/>
      <c r="R14" s="235">
        <f>IF($AK10=0,AG67,AG49)</f>
        <v>6</v>
      </c>
      <c r="S14" s="236"/>
      <c r="T14" s="236"/>
      <c r="U14" s="236"/>
      <c r="V14" s="236"/>
      <c r="W14" s="235">
        <f>AQ27</f>
        <v>-42</v>
      </c>
      <c r="X14" s="236"/>
      <c r="Y14" s="236"/>
      <c r="Z14" s="239">
        <f>IF(AF61&gt;0,(AQ27/AF61),0)</f>
        <v>-0.21</v>
      </c>
      <c r="AA14" s="240"/>
      <c r="AB14" s="240"/>
      <c r="AC14" s="262">
        <f>IF(AF75=0,0,(AF67/AF75))</f>
        <v>0.25</v>
      </c>
      <c r="AD14" s="263"/>
      <c r="AE14" s="264"/>
      <c r="AF14" s="268">
        <v>5</v>
      </c>
      <c r="AG14" s="268">
        <v>2</v>
      </c>
      <c r="AH14" s="270">
        <v>4</v>
      </c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9"/>
      <c r="AU14" s="97"/>
      <c r="AV14" s="97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AV6</f>
        <v>fj7csrah2pm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  <c r="AT15" s="39"/>
      <c r="AU15" s="97"/>
      <c r="AV15" s="97"/>
    </row>
    <row r="16" spans="1:53" ht="18.75" customHeight="1" x14ac:dyDescent="0.2">
      <c r="A16" s="227" t="str">
        <f>IF($AK9&gt;4,"5","")</f>
        <v>5</v>
      </c>
      <c r="B16" s="286" t="s">
        <v>10</v>
      </c>
      <c r="C16" s="287"/>
      <c r="D16" s="287"/>
      <c r="E16" s="232" t="str">
        <f>AU7</f>
        <v>Upward Stars 15 Zach</v>
      </c>
      <c r="F16" s="233"/>
      <c r="G16" s="233"/>
      <c r="H16" s="233"/>
      <c r="I16" s="233"/>
      <c r="J16" s="233"/>
      <c r="K16" s="234"/>
      <c r="L16" s="235">
        <f>IF($AK10=0,AF68,AF50)</f>
        <v>8</v>
      </c>
      <c r="M16" s="236"/>
      <c r="N16" s="236"/>
      <c r="O16" s="236"/>
      <c r="P16" s="236"/>
      <c r="Q16" s="256"/>
      <c r="R16" s="235">
        <f>IF($AK10=0,AG68,AG50)</f>
        <v>0</v>
      </c>
      <c r="S16" s="236"/>
      <c r="T16" s="236"/>
      <c r="U16" s="236"/>
      <c r="V16" s="236"/>
      <c r="W16" s="235">
        <f>AQ28</f>
        <v>77</v>
      </c>
      <c r="X16" s="236"/>
      <c r="Y16" s="236"/>
      <c r="Z16" s="239">
        <f>IF(AF62&gt;0,(AQ28/AF62),0)</f>
        <v>0.38500000000000001</v>
      </c>
      <c r="AA16" s="240"/>
      <c r="AB16" s="240"/>
      <c r="AC16" s="262">
        <f>IF(AF76=0,0,(AF68/AF76))</f>
        <v>1</v>
      </c>
      <c r="AD16" s="263"/>
      <c r="AE16" s="264"/>
      <c r="AF16" s="268">
        <v>1</v>
      </c>
      <c r="AG16" s="268">
        <v>1</v>
      </c>
      <c r="AH16" s="270">
        <v>1</v>
      </c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T16" s="39"/>
      <c r="AU16" s="97"/>
      <c r="AV16" s="97"/>
    </row>
    <row r="17" spans="1:48" ht="18.75" customHeight="1" thickBot="1" x14ac:dyDescent="0.25">
      <c r="A17" s="228"/>
      <c r="B17" s="296" t="s">
        <v>11</v>
      </c>
      <c r="C17" s="297"/>
      <c r="D17" s="297"/>
      <c r="E17" s="410" t="str">
        <f>AV7</f>
        <v>fj5upwrd2pm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T17" s="144"/>
      <c r="AU17" s="97"/>
      <c r="AV17" s="97"/>
    </row>
    <row r="18" spans="1:48" ht="21" customHeight="1" thickTop="1" thickBot="1" x14ac:dyDescent="0.25">
      <c r="A18" s="40"/>
      <c r="B18" s="305" t="s">
        <v>65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T18" s="144"/>
      <c r="AU18" s="97"/>
      <c r="AV18" s="97"/>
    </row>
    <row r="19" spans="1:48" ht="13.5" thickTop="1" x14ac:dyDescent="0.2">
      <c r="A19" s="4" t="s">
        <v>66</v>
      </c>
      <c r="B19" s="308">
        <v>0.35416666666666669</v>
      </c>
      <c r="C19" s="309"/>
      <c r="D19" s="310"/>
      <c r="E19" s="308">
        <v>0.38541666666666669</v>
      </c>
      <c r="F19" s="309"/>
      <c r="G19" s="310"/>
      <c r="H19" s="308">
        <v>0.41666666666666669</v>
      </c>
      <c r="I19" s="309"/>
      <c r="J19" s="310"/>
      <c r="K19" s="308">
        <v>0.44791666666666669</v>
      </c>
      <c r="L19" s="309"/>
      <c r="M19" s="310"/>
      <c r="N19" s="308">
        <v>0.47916666666666669</v>
      </c>
      <c r="O19" s="309"/>
      <c r="P19" s="310"/>
      <c r="Q19" s="308">
        <v>0.51041666666666663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T19" s="144"/>
      <c r="AU19" s="97"/>
      <c r="AV19" s="97"/>
    </row>
    <row r="20" spans="1:48" x14ac:dyDescent="0.2">
      <c r="A20" s="41" t="s">
        <v>68</v>
      </c>
      <c r="B20" s="319"/>
      <c r="C20" s="320"/>
      <c r="D20" s="321"/>
      <c r="E20" s="319"/>
      <c r="F20" s="320"/>
      <c r="G20" s="321"/>
      <c r="H20" s="319"/>
      <c r="I20" s="320"/>
      <c r="J20" s="321"/>
      <c r="K20" s="319"/>
      <c r="L20" s="320"/>
      <c r="M20" s="321"/>
      <c r="N20" s="319"/>
      <c r="O20" s="320"/>
      <c r="P20" s="321"/>
      <c r="Q20" s="319"/>
      <c r="R20" s="320"/>
      <c r="S20" s="321"/>
      <c r="T20" s="319"/>
      <c r="U20" s="320"/>
      <c r="V20" s="321"/>
      <c r="W20" s="319"/>
      <c r="X20" s="320"/>
      <c r="Y20" s="321"/>
      <c r="Z20" s="319"/>
      <c r="AA20" s="320"/>
      <c r="AB20" s="321"/>
      <c r="AC20" s="319"/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T20" s="144"/>
      <c r="AU20" s="97"/>
      <c r="AV20" s="97"/>
    </row>
    <row r="21" spans="1:48" x14ac:dyDescent="0.2">
      <c r="A21" s="41" t="s">
        <v>69</v>
      </c>
      <c r="B21" s="319"/>
      <c r="C21" s="320"/>
      <c r="D21" s="321"/>
      <c r="E21" s="319"/>
      <c r="F21" s="320"/>
      <c r="G21" s="321"/>
      <c r="H21" s="319"/>
      <c r="I21" s="320"/>
      <c r="J21" s="321"/>
      <c r="K21" s="319"/>
      <c r="L21" s="320"/>
      <c r="M21" s="321"/>
      <c r="N21" s="319"/>
      <c r="O21" s="320"/>
      <c r="P21" s="321"/>
      <c r="Q21" s="319"/>
      <c r="R21" s="320"/>
      <c r="S21" s="321"/>
      <c r="T21" s="319"/>
      <c r="U21" s="320"/>
      <c r="V21" s="321"/>
      <c r="W21" s="319"/>
      <c r="X21" s="320"/>
      <c r="Y21" s="321"/>
      <c r="Z21" s="319"/>
      <c r="AA21" s="320"/>
      <c r="AB21" s="321"/>
      <c r="AC21" s="319"/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</row>
    <row r="22" spans="1:48" ht="13.5" thickBot="1" x14ac:dyDescent="0.25">
      <c r="A22" s="7"/>
      <c r="B22" s="322" t="s">
        <v>70</v>
      </c>
      <c r="C22" s="323"/>
      <c r="D22" s="324"/>
      <c r="E22" s="322" t="str">
        <f>IF(AK8&gt;1,"Match 2","")</f>
        <v>Match 2</v>
      </c>
      <c r="F22" s="323"/>
      <c r="G22" s="324"/>
      <c r="H22" s="322" t="str">
        <f>IF(AK8&gt;2,"Match 3","")</f>
        <v>Match 3</v>
      </c>
      <c r="I22" s="323"/>
      <c r="J22" s="324"/>
      <c r="K22" s="322" t="str">
        <f>IF(AK8&gt;3,"Match 4","")</f>
        <v>Match 4</v>
      </c>
      <c r="L22" s="323"/>
      <c r="M22" s="324"/>
      <c r="N22" s="322" t="str">
        <f>IF(AK8&gt;4,"Match 5","")</f>
        <v>Match 5</v>
      </c>
      <c r="O22" s="323"/>
      <c r="P22" s="324"/>
      <c r="Q22" s="322" t="str">
        <f>IF(AK8&gt;5,"Match 6","")</f>
        <v>Match 6</v>
      </c>
      <c r="R22" s="323"/>
      <c r="S22" s="324"/>
      <c r="T22" s="322" t="str">
        <f>IF(AK8&gt;6,"Match 7","")</f>
        <v>Match 7</v>
      </c>
      <c r="U22" s="323"/>
      <c r="V22" s="324"/>
      <c r="W22" s="322" t="str">
        <f>IF(AK8&gt;7,"Match 8","")</f>
        <v>Match 8</v>
      </c>
      <c r="X22" s="323"/>
      <c r="Y22" s="324"/>
      <c r="Z22" s="322" t="str">
        <f>IF(AK8&gt;8,"Match 9","")</f>
        <v>Match 9</v>
      </c>
      <c r="AA22" s="323"/>
      <c r="AB22" s="324"/>
      <c r="AC22" s="322" t="str">
        <f>IF(AK8&gt;9,"Match 10","")</f>
        <v>Match 10</v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T22" s="144"/>
      <c r="AU22" s="97"/>
      <c r="AV22" s="97"/>
    </row>
    <row r="23" spans="1:48" ht="15.75" x14ac:dyDescent="0.25">
      <c r="A23" s="7"/>
      <c r="B23" s="325" t="s">
        <v>71</v>
      </c>
      <c r="C23" s="326"/>
      <c r="D23" s="327"/>
      <c r="E23" s="325" t="s">
        <v>72</v>
      </c>
      <c r="F23" s="326"/>
      <c r="G23" s="327"/>
      <c r="H23" s="325" t="s">
        <v>73</v>
      </c>
      <c r="I23" s="326"/>
      <c r="J23" s="327"/>
      <c r="K23" s="325" t="s">
        <v>74</v>
      </c>
      <c r="L23" s="326"/>
      <c r="M23" s="327"/>
      <c r="N23" s="325" t="s">
        <v>75</v>
      </c>
      <c r="O23" s="326"/>
      <c r="P23" s="327"/>
      <c r="Q23" s="325" t="s">
        <v>73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74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144"/>
      <c r="AU23" s="97"/>
      <c r="AV23" s="97"/>
    </row>
    <row r="24" spans="1:48" ht="15.75" x14ac:dyDescent="0.25">
      <c r="A24" s="7"/>
      <c r="B24" s="45">
        <v>2</v>
      </c>
      <c r="C24" s="46" t="s">
        <v>78</v>
      </c>
      <c r="D24" s="47">
        <v>5</v>
      </c>
      <c r="E24" s="45">
        <v>1</v>
      </c>
      <c r="F24" s="46" t="str">
        <f>IF(AK8&gt;1,"v","")</f>
        <v>v</v>
      </c>
      <c r="G24" s="47">
        <v>4</v>
      </c>
      <c r="H24" s="45">
        <v>3</v>
      </c>
      <c r="I24" s="46" t="str">
        <f>IF(AK8&gt;2,"v","")</f>
        <v>v</v>
      </c>
      <c r="J24" s="47">
        <v>5</v>
      </c>
      <c r="K24" s="45">
        <v>2</v>
      </c>
      <c r="L24" s="46" t="str">
        <f>IF(AK8&gt;3,"v","")</f>
        <v>v</v>
      </c>
      <c r="M24" s="47">
        <v>4</v>
      </c>
      <c r="N24" s="45">
        <v>1</v>
      </c>
      <c r="O24" s="46" t="str">
        <f>IF(AK8&gt;4,"v","")</f>
        <v>v</v>
      </c>
      <c r="P24" s="47">
        <v>3</v>
      </c>
      <c r="Q24" s="45">
        <v>4</v>
      </c>
      <c r="R24" s="46" t="str">
        <f>IF(AK8&gt;5,"v","")</f>
        <v>v</v>
      </c>
      <c r="S24" s="47">
        <v>5</v>
      </c>
      <c r="T24" s="45">
        <v>2</v>
      </c>
      <c r="U24" s="46" t="str">
        <f>IF(AK8&gt;6,"v","")</f>
        <v>v</v>
      </c>
      <c r="V24" s="47">
        <v>3</v>
      </c>
      <c r="W24" s="45">
        <v>1</v>
      </c>
      <c r="X24" s="46" t="str">
        <f>IF(AK8&gt;7,"v","")</f>
        <v>v</v>
      </c>
      <c r="Y24" s="47">
        <v>5</v>
      </c>
      <c r="Z24" s="45">
        <v>3</v>
      </c>
      <c r="AA24" s="46" t="str">
        <f>IF(AK8&gt;8,"v","")</f>
        <v>v</v>
      </c>
      <c r="AB24" s="47">
        <v>4</v>
      </c>
      <c r="AC24" s="45">
        <v>1</v>
      </c>
      <c r="AD24" s="46" t="str">
        <f>IF(AK8&gt;9,"v","")</f>
        <v>v</v>
      </c>
      <c r="AE24" s="47">
        <v>2</v>
      </c>
      <c r="AF24" s="42" t="str">
        <f>IF(AK9&gt;0,"Team 1","")</f>
        <v>Team 1</v>
      </c>
      <c r="AG24" s="48" t="str">
        <f>IF(AK9&lt;1,"",IF(AK8&lt;1,"",IF(B24=1,B30-D30,IF(D24=1,D30-B30,""))))</f>
        <v/>
      </c>
      <c r="AH24" s="48">
        <f>IF(AK9&lt;1,"",IF(AK8&lt;2,"",IF(E24=1,E30-G30,IF(G24=1,G30-E30,""))))</f>
        <v>24</v>
      </c>
      <c r="AI24" s="48" t="str">
        <f>IF(AK9&lt;1,"",IF(AK8&lt;3,"",IF(H24=1,H30-J30,IF(J24=1,J30-H30,""))))</f>
        <v/>
      </c>
      <c r="AJ24" s="48" t="str">
        <f>IF(AK9&lt;1,"",IF(AK8&lt;4,"",IF(K24=1,K30-M30,IF(M24=1,M30-K30,""))))</f>
        <v/>
      </c>
      <c r="AK24" s="48">
        <f>IF(AK9&lt;1,"",IF(AK8&lt;5,"",IF(N24=1,N30-P30,IF(P24=1,P30-N30,""))))</f>
        <v>-5</v>
      </c>
      <c r="AL24" s="48" t="str">
        <f>IF(AK9&lt;1,"",IF(AK8&lt;6,"",IF(Q24=1,Q30-S30,IF(S24=1,S30-Q30,""))))</f>
        <v/>
      </c>
      <c r="AM24" s="48" t="str">
        <f>IF(AK9&lt;1,"",IF(AK8&lt;7,"",IF(T24=1,T30-V30,IF(V24=1,V30-T30,""))))</f>
        <v/>
      </c>
      <c r="AN24" s="48">
        <f>IF(AK9&lt;1,"",IF(AK8&lt;8,"",IF(W24=1,W30-Y30,IF(Y24=1,Y30-W30,""))))</f>
        <v>-16</v>
      </c>
      <c r="AO24" s="48" t="str">
        <f>IF(AK9&lt;1,"",IF(AK8&lt;9,"",IF(Z24=1,Z30-AB30,IF(AB24=1,AB30-Z30,""))))</f>
        <v/>
      </c>
      <c r="AP24" s="48">
        <f>IF(AK9&lt;1,"",IF(AK8&lt;10,"",IF(AC24=1,AC30-AE30,IF(AE24=1,AE30-AC30,""))))</f>
        <v>-8</v>
      </c>
      <c r="AQ24" s="44">
        <f>SUM(AG24:AP24)</f>
        <v>-5</v>
      </c>
      <c r="AT24" s="144"/>
      <c r="AU24" s="97"/>
      <c r="AV24" s="97"/>
    </row>
    <row r="25" spans="1:48" ht="15" x14ac:dyDescent="0.2">
      <c r="A25" s="4" t="s">
        <v>79</v>
      </c>
      <c r="B25" s="49">
        <v>14</v>
      </c>
      <c r="C25" s="50" t="s">
        <v>80</v>
      </c>
      <c r="D25" s="51">
        <v>25</v>
      </c>
      <c r="E25" s="49">
        <v>25</v>
      </c>
      <c r="F25" s="50" t="str">
        <f>IF(AK8&gt;1,"/","")</f>
        <v>/</v>
      </c>
      <c r="G25" s="51">
        <v>14</v>
      </c>
      <c r="H25" s="49">
        <v>12</v>
      </c>
      <c r="I25" s="50" t="str">
        <f>IF(AK8&gt;2,"/","")</f>
        <v>/</v>
      </c>
      <c r="J25" s="51">
        <v>25</v>
      </c>
      <c r="K25" s="49">
        <v>25</v>
      </c>
      <c r="L25" s="50" t="str">
        <f>IF(AK8&gt;3,"/","")</f>
        <v>/</v>
      </c>
      <c r="M25" s="51">
        <v>20</v>
      </c>
      <c r="N25" s="49">
        <v>22</v>
      </c>
      <c r="O25" s="50" t="str">
        <f>IF(AK8&gt;4,"/","")</f>
        <v>/</v>
      </c>
      <c r="P25" s="51">
        <v>25</v>
      </c>
      <c r="Q25" s="49">
        <v>12</v>
      </c>
      <c r="R25" s="50" t="str">
        <f>IF(AK8&gt;5,"/","")</f>
        <v>/</v>
      </c>
      <c r="S25" s="51">
        <v>25</v>
      </c>
      <c r="T25" s="49">
        <v>21</v>
      </c>
      <c r="U25" s="50" t="str">
        <f>IF(AK8&gt;6,"/","")</f>
        <v>/</v>
      </c>
      <c r="V25" s="51">
        <v>25</v>
      </c>
      <c r="W25" s="49">
        <v>16</v>
      </c>
      <c r="X25" s="50" t="str">
        <f>IF(AK8&gt;7,"/","")</f>
        <v>/</v>
      </c>
      <c r="Y25" s="51">
        <v>25</v>
      </c>
      <c r="Z25" s="49">
        <v>14</v>
      </c>
      <c r="AA25" s="50" t="str">
        <f>IF(AK8&gt;8,"/","")</f>
        <v>/</v>
      </c>
      <c r="AB25" s="51">
        <v>25</v>
      </c>
      <c r="AC25" s="49">
        <v>20</v>
      </c>
      <c r="AD25" s="50" t="str">
        <f>IF(AK8&gt;9,"/","")</f>
        <v>/</v>
      </c>
      <c r="AE25" s="51">
        <v>25</v>
      </c>
      <c r="AF25" s="42" t="str">
        <f>IF(AK9&gt;1,"Team 2","")</f>
        <v>Team 2</v>
      </c>
      <c r="AG25" s="48">
        <f>IF(AK9&lt;2,"",IF(AK8&lt;1,"",IF(B24=2,B30-D30,IF(D24=2,D30-B30,""))))</f>
        <v>-19</v>
      </c>
      <c r="AH25" s="48" t="str">
        <f>IF(AK9&lt;2,"",IF(AK8&lt;2,"",IF(E24=2,E30-G30,IF(G24=2,G30-E30,""))))</f>
        <v/>
      </c>
      <c r="AI25" s="48" t="str">
        <f>IF(AK9&lt;2,"",IF(AK8&lt;3,"",IF(H24=2,H30-J30,IF(J24=2,J30-H30,""))))</f>
        <v/>
      </c>
      <c r="AJ25" s="48">
        <f>IF(AK9&lt;2,"",IF(AK8&lt;4,"",IF(K24=2,K30-M30,IF(M24=2,M30-K30,""))))</f>
        <v>9</v>
      </c>
      <c r="AK25" s="48" t="str">
        <f>IF(AK9&lt;2,"",IF(AK8&lt;5,"",IF(N24=2,N30-P30,IF(P24=2,P30-N30,""))))</f>
        <v/>
      </c>
      <c r="AL25" s="48" t="str">
        <f>IF(AK9&lt;2,"",IF(AK8&lt;6,"",IF(Q24=2,Q30-S30,IF(S24=2,S30-Q30,""))))</f>
        <v/>
      </c>
      <c r="AM25" s="48">
        <f>IF(AK9&lt;2,"",IF(AK8&lt;7,"",IF(T24=2,T30-V30,IF(V24=2,V30-T30,""))))</f>
        <v>-13</v>
      </c>
      <c r="AN25" s="48" t="str">
        <f>IF(AK9&lt;2,"",IF(AK8&lt;8,"",IF(W24=2,W30-Y30,IF(Y24=2,Y30-W30,""))))</f>
        <v/>
      </c>
      <c r="AO25" s="48" t="str">
        <f>IF(AK9&lt;2,"",IF(AK8&lt;9,"",IF(Z24=2,Z30-AB30,IF(AB24=2,AB30-Z30,""))))</f>
        <v/>
      </c>
      <c r="AP25" s="48">
        <f>IF(AK9&lt;2,"",IF(AK8&lt;10,"",IF(AC24=2,AC30-AE30,IF(AE24=2,AE30-AC30,""))))</f>
        <v>8</v>
      </c>
      <c r="AQ25" s="44">
        <f>SUM(AG25:AP25)</f>
        <v>-15</v>
      </c>
    </row>
    <row r="26" spans="1:48" ht="15" x14ac:dyDescent="0.2">
      <c r="A26" s="3" t="str">
        <f>IF(AK7&gt;1,"Game 2","")</f>
        <v>Game 2</v>
      </c>
      <c r="B26" s="49">
        <v>17</v>
      </c>
      <c r="C26" s="50" t="s">
        <v>80</v>
      </c>
      <c r="D26" s="51">
        <v>25</v>
      </c>
      <c r="E26" s="49">
        <v>25</v>
      </c>
      <c r="F26" s="50" t="str">
        <f>IF(AK8&gt;1,IF(AK7&gt;1,"/",""),"")</f>
        <v>/</v>
      </c>
      <c r="G26" s="51">
        <v>12</v>
      </c>
      <c r="H26" s="49">
        <v>19</v>
      </c>
      <c r="I26" s="50" t="str">
        <f>IF(AK8&gt;2,IF(AK7&gt;1,"/",""),"")</f>
        <v>/</v>
      </c>
      <c r="J26" s="51">
        <v>25</v>
      </c>
      <c r="K26" s="49">
        <v>25</v>
      </c>
      <c r="L26" s="50" t="str">
        <f>IF(AK8&gt;3,IF(AK7&gt;1,"/",""),"")</f>
        <v>/</v>
      </c>
      <c r="M26" s="51">
        <v>21</v>
      </c>
      <c r="N26" s="49">
        <v>23</v>
      </c>
      <c r="O26" s="50" t="str">
        <f>IF(AK8&gt;4,IF(AK7&gt;1,"/",""),"")</f>
        <v>/</v>
      </c>
      <c r="P26" s="51">
        <v>25</v>
      </c>
      <c r="Q26" s="49">
        <v>15</v>
      </c>
      <c r="R26" s="50" t="str">
        <f>IF(AK8&gt;5,IF(AK7&gt;1,"/",""),"")</f>
        <v>/</v>
      </c>
      <c r="S26" s="51">
        <v>25</v>
      </c>
      <c r="T26" s="49">
        <v>16</v>
      </c>
      <c r="U26" s="50" t="str">
        <f>IF(AK8&gt;6,IF(AK7&gt;1,"/",""),"")</f>
        <v>/</v>
      </c>
      <c r="V26" s="51">
        <v>25</v>
      </c>
      <c r="W26" s="49">
        <v>18</v>
      </c>
      <c r="X26" s="50" t="str">
        <f>IF(AK8&gt;7,IF(AK7&gt;1,"/",""),"")</f>
        <v>/</v>
      </c>
      <c r="Y26" s="51">
        <v>25</v>
      </c>
      <c r="Z26" s="49">
        <v>22</v>
      </c>
      <c r="AA26" s="50" t="str">
        <f>IF(AK8&gt;8,IF(AK7&gt;1,"/",""),"")</f>
        <v>/</v>
      </c>
      <c r="AB26" s="51">
        <v>25</v>
      </c>
      <c r="AC26" s="49">
        <v>22</v>
      </c>
      <c r="AD26" s="50" t="str">
        <f>IF(AK8&gt;9,IF(AK7&gt;1,"/",""),"")</f>
        <v>/</v>
      </c>
      <c r="AE26" s="51">
        <v>25</v>
      </c>
      <c r="AF26" s="42" t="str">
        <f>IF(AK9&gt;2,"Team 3","")</f>
        <v>Team 3</v>
      </c>
      <c r="AG26" s="48" t="str">
        <f>IF(AK9&lt;3,"",IF(AK8&lt;1,"",IF(B24=3,B30-D30,IF(D24=3,D30-B30,""))))</f>
        <v/>
      </c>
      <c r="AH26" s="48" t="str">
        <f>IF(AK9&lt;3,"",IF(AK8&lt;2,"",IF(E24=3,E30-G30,IF(G24=3,G30-E30,""))))</f>
        <v/>
      </c>
      <c r="AI26" s="48">
        <f>IF(AK9&lt;3,"",IF(AK8&lt;3,"",IF(H24=3,H30-J30,IF(J24=3,J30-H30,""))))</f>
        <v>-19</v>
      </c>
      <c r="AJ26" s="48" t="str">
        <f>IF(AK9&lt;3,"",IF(AK8&lt;4,"",IF(K24=3,K30-M30,IF(M24=3,M30-K30,""))))</f>
        <v/>
      </c>
      <c r="AK26" s="48">
        <f>IF(AK9&lt;3,"",IF(AK8&lt;5,"",IF(N24=3,N30-P30,IF(P24=3,P30-N30,""))))</f>
        <v>5</v>
      </c>
      <c r="AL26" s="48" t="str">
        <f>IF(AK9&lt;3,"",IF(AK8&lt;6,"",IF(Q24=3,Q30-S30,IF(S24=3,S30-Q30,""))))</f>
        <v/>
      </c>
      <c r="AM26" s="48">
        <f>IF(AK9&lt;3,"",IF(AK8&lt;7,"",IF(T24=3,T30-V30,IF(V24=3,V30-T30,""))))</f>
        <v>13</v>
      </c>
      <c r="AN26" s="48" t="str">
        <f>IF(AK9&lt;3,"",IF(AK8&lt;8,"",IF(W24=3,W30-Y30,IF(Y24=3,Y30-W30,""))))</f>
        <v/>
      </c>
      <c r="AO26" s="48">
        <f>IF(AK9&lt;3,"",IF(AK8&lt;9,"",IF(Z24=3,Z30-AB30,IF(AB24=3,AB30-Z30,""))))</f>
        <v>-14</v>
      </c>
      <c r="AP26" s="48" t="str">
        <f>IF(AK9&lt;3,"",IF(AK8&lt;9,"",IF(AC24=3,AC30-AE30,IF(AE24=3,AE30-AC30,""))))</f>
        <v/>
      </c>
      <c r="AQ26" s="44">
        <f>SUM(AG26:AP26)</f>
        <v>-15</v>
      </c>
    </row>
    <row r="27" spans="1:48" ht="15" x14ac:dyDescent="0.2">
      <c r="A27" s="3" t="str">
        <f>IF(AK7&gt;2,"Game 3","")</f>
        <v/>
      </c>
      <c r="B27" s="49"/>
      <c r="C27" s="50" t="s">
        <v>80</v>
      </c>
      <c r="D27" s="51"/>
      <c r="E27" s="49"/>
      <c r="F27" s="50" t="str">
        <f>IF(AK8&gt;1,IF(AK7&gt;2,"/",""),"")</f>
        <v/>
      </c>
      <c r="G27" s="51"/>
      <c r="H27" s="49"/>
      <c r="I27" s="50" t="str">
        <f>IF(AK8&gt;2,IF(AK7&gt;2,"/",""),"")</f>
        <v/>
      </c>
      <c r="J27" s="51"/>
      <c r="K27" s="49"/>
      <c r="L27" s="50" t="str">
        <f>IF(AK8&gt;3,IF(AK7&gt;2,"/",""),"")</f>
        <v/>
      </c>
      <c r="M27" s="51"/>
      <c r="N27" s="49"/>
      <c r="O27" s="50" t="str">
        <f>IF(AK8&gt;4,IF(AK7&gt;2,"/",""),"")</f>
        <v/>
      </c>
      <c r="P27" s="51"/>
      <c r="Q27" s="49"/>
      <c r="R27" s="50" t="str">
        <f>IF(AK8&gt;5,IF(AK7&gt;2,"/",""),"")</f>
        <v/>
      </c>
      <c r="S27" s="51" t="s">
        <v>32</v>
      </c>
      <c r="T27" s="49"/>
      <c r="U27" s="50" t="str">
        <f>IF(AK8&gt;6,IF(AK7&gt;2,"/",""),"")</f>
        <v/>
      </c>
      <c r="V27" s="51"/>
      <c r="W27" s="49"/>
      <c r="X27" s="50" t="str">
        <f>IF(AK8&gt;7,IF(AK7&gt;2,"/",""),"")</f>
        <v/>
      </c>
      <c r="Y27" s="51" t="s">
        <v>32</v>
      </c>
      <c r="Z27" s="49"/>
      <c r="AA27" s="50" t="str">
        <f>IF(AK8&gt;8,IF(AK7&gt;2,"/",""),"")</f>
        <v/>
      </c>
      <c r="AB27" s="51"/>
      <c r="AC27" s="49"/>
      <c r="AD27" s="50" t="str">
        <f>IF(AK8&gt;9,IF(AK7&gt;2,"/",""),"")</f>
        <v/>
      </c>
      <c r="AE27" s="51"/>
      <c r="AF27" s="42" t="str">
        <f>IF(AK9&gt;3,"Team 4","")</f>
        <v>Team 4</v>
      </c>
      <c r="AG27" s="48" t="str">
        <f>IF(AK9&lt;4,"",IF(AK8&lt;1,"",IF(B24=4,B30-D30,IF(D24=4,D30-B30,""))))</f>
        <v/>
      </c>
      <c r="AH27" s="48">
        <f>IF(AK9&lt;4,"",IF(AK8&lt;2,"",IF(E24=4,E30-G30,IF(G24=4,G30-E30,""))))</f>
        <v>-24</v>
      </c>
      <c r="AI27" s="48" t="str">
        <f>IF(AK9&lt;4,"",IF(AK8&lt;3,"",IF(H24=4,H30-J30,IF(J24=4,J30-H30,""))))</f>
        <v/>
      </c>
      <c r="AJ27" s="48">
        <f>IF(AK9&lt;4,"",IF(AK8&lt;4,"",IF(K24=4,K30-M30,IF(M24=4,M30-K30,""))))</f>
        <v>-9</v>
      </c>
      <c r="AK27" s="48" t="str">
        <f>IF(AK9&lt;4,"",IF(AK8&lt;5,"",IF(N24=4,N30-P30,IF(P24=4,P30-N30,""))))</f>
        <v/>
      </c>
      <c r="AL27" s="48">
        <f>IF(AK9&lt;4,"",IF(AK8&lt;6,"",IF(Q24=4,Q30-S30,IF(S24=4,S30-Q30,""))))</f>
        <v>-23</v>
      </c>
      <c r="AM27" s="48" t="str">
        <f>IF(AK9&lt;4,"",IF(AK8&lt;7,"",IF(T24=4,T30-V30,IF(V24=4,V30-T30,""))))</f>
        <v/>
      </c>
      <c r="AN27" s="48" t="str">
        <f>IF(AK9&lt;4,"",IF(AK8&lt;8,"",IF(W24=4,W30-Y30,IF(Y24=4,Y30-W30,""))))</f>
        <v/>
      </c>
      <c r="AO27" s="48">
        <f>IF(AK9&lt;4,"",IF(AK8&lt;9,"",IF(Z24=4,Z30-AB30,IF(AB24=4,AB30-Z30,""))))</f>
        <v>14</v>
      </c>
      <c r="AP27" s="48" t="str">
        <f>IF(AK9&lt;4,"",IF(AK8&lt;10,"",IF(AC24=4,AC30-AE30,IF(AE24=4,AE30-AC30,""))))</f>
        <v/>
      </c>
      <c r="AQ27" s="44">
        <f>SUM(AG27:AP27)</f>
        <v>-42</v>
      </c>
    </row>
    <row r="28" spans="1:48" ht="15" x14ac:dyDescent="0.2">
      <c r="A28" s="3" t="str">
        <f>IF(AK7&gt;3,"Game 4","")</f>
        <v/>
      </c>
      <c r="B28" s="49"/>
      <c r="C28" s="50" t="s">
        <v>80</v>
      </c>
      <c r="D28" s="51"/>
      <c r="E28" s="49"/>
      <c r="F28" s="50" t="str">
        <f>IF(AK8&gt;1,IF(AK7&gt;3,"/",""),"")</f>
        <v/>
      </c>
      <c r="G28" s="51"/>
      <c r="H28" s="49"/>
      <c r="I28" s="50" t="str">
        <f>IF(AK8&gt;2,IF(AK7&gt;3,"/",""),"")</f>
        <v/>
      </c>
      <c r="J28" s="51"/>
      <c r="K28" s="49"/>
      <c r="L28" s="50" t="str">
        <f>IF(AK8&gt;3,IF(AK7&gt;3,"/",""),"")</f>
        <v/>
      </c>
      <c r="M28" s="51"/>
      <c r="N28" s="49"/>
      <c r="O28" s="50" t="str">
        <f>IF(AK8&gt;4,IF(AK7&gt;3,"/",""),"")</f>
        <v/>
      </c>
      <c r="P28" s="51"/>
      <c r="Q28" s="49"/>
      <c r="R28" s="50" t="str">
        <f>IF(AK8&gt;5,IF(AK7&gt;3,"/",""),"")</f>
        <v/>
      </c>
      <c r="S28" s="51"/>
      <c r="T28" s="49"/>
      <c r="U28" s="50" t="str">
        <f>IF(AK8&gt;6,IF(AK7&gt;3,"/",""),"")</f>
        <v/>
      </c>
      <c r="V28" s="51"/>
      <c r="W28" s="49"/>
      <c r="X28" s="50" t="str">
        <f>IF(AK8&gt;7,IF(AK7&gt;3,"/",""),"")</f>
        <v/>
      </c>
      <c r="Y28" s="51"/>
      <c r="Z28" s="49"/>
      <c r="AA28" s="50" t="str">
        <f>IF(AK8&gt;8,IF(AK7&gt;3,"/",""),"")</f>
        <v/>
      </c>
      <c r="AB28" s="51"/>
      <c r="AC28" s="49" t="s">
        <v>32</v>
      </c>
      <c r="AD28" s="50" t="str">
        <f>IF(AK8&gt;9,IF(AK7&gt;3,"/",""),"")</f>
        <v/>
      </c>
      <c r="AE28" s="51"/>
      <c r="AF28" s="42" t="str">
        <f>IF(AK9&gt;4,"Team 5","")</f>
        <v>Team 5</v>
      </c>
      <c r="AG28" s="52">
        <f>IF(AK9&lt;5,"",IF(AK8&lt;1,"",IF(B24=5,B30-D30,IF(D24=5,D30-B30,""))))</f>
        <v>19</v>
      </c>
      <c r="AH28" s="48" t="str">
        <f>IF(AK9&lt;5,"",IF(AK8&lt;2,"",IF(E24=5,E30-G30,IF(G24=5,G30-E30,""))))</f>
        <v/>
      </c>
      <c r="AI28" s="48">
        <f>IF(AK9&lt;5,"",IF(AK8&lt;3,"",IF(H24=5,H30-J30,IF(J24=5,J30-H30,""))))</f>
        <v>19</v>
      </c>
      <c r="AJ28" s="48" t="str">
        <f>IF(AK9&lt;5,"",IF(AK8&lt;4,"",IF(K24=5,K30-M30,IF(M24=5,M30-K30,""))))</f>
        <v/>
      </c>
      <c r="AK28" s="48" t="str">
        <f>IF(AK9&lt;5,"",IF(AK8&lt;5,"",IF(N24=5,N30-P30,IF(P24=5,P30-N30,""))))</f>
        <v/>
      </c>
      <c r="AL28" s="48">
        <f>IF(AK9&lt;5,"",IF(AK8&lt;6,"",IF(Q24=5,Q30-S30,IF(S24=5,S30-Q30,""))))</f>
        <v>23</v>
      </c>
      <c r="AM28" s="48" t="str">
        <f>IF(AK9&lt;5,"",IF(AK8&lt;7,"",IF(T24=5,T30-V30,IF(V24=5,V30-T30,""))))</f>
        <v/>
      </c>
      <c r="AN28" s="48">
        <f>IF(AK9&lt;5,"",IF(AK8&lt;8,"",IF(W24=5,W30-Y30,IF(Y24=5,Y30-W30,""))))</f>
        <v>16</v>
      </c>
      <c r="AO28" s="48" t="str">
        <f>IF(AK9&lt;5,"",IF(AK8&lt;9,"",IF(Z24=5,Z30-AB30,IF(AB24=5,AB30-Z30,""))))</f>
        <v/>
      </c>
      <c r="AP28" s="48" t="str">
        <f>IF(AK9&lt;5,"",IF(AK8&lt;10,"",IF(AC24=5,AC30-AE30,IF(AE24=5,AE30-AC30,""))))</f>
        <v/>
      </c>
      <c r="AQ28" s="44">
        <f>SUM(AG28:AP28)</f>
        <v>77</v>
      </c>
    </row>
    <row r="29" spans="1:48" ht="15" x14ac:dyDescent="0.2">
      <c r="A29" s="3" t="str">
        <f>IF(AK7&gt;4,"Game 5","")</f>
        <v/>
      </c>
      <c r="B29" s="49"/>
      <c r="C29" s="50" t="s">
        <v>80</v>
      </c>
      <c r="D29" s="51"/>
      <c r="E29" s="49"/>
      <c r="F29" s="50" t="str">
        <f>IF(AK8&gt;1,IF(AK7&gt;4,"/",""),"")</f>
        <v/>
      </c>
      <c r="G29" s="51"/>
      <c r="H29" s="49"/>
      <c r="I29" s="50" t="str">
        <f>IF(AK8&gt;2,IF(AK7&gt;4,"/",""),"")</f>
        <v/>
      </c>
      <c r="J29" s="51"/>
      <c r="K29" s="49"/>
      <c r="L29" s="50" t="str">
        <f>IF(AK8&gt;3,IF(AK7&gt;4,"/",""),"")</f>
        <v/>
      </c>
      <c r="M29" s="51"/>
      <c r="N29" s="49"/>
      <c r="O29" s="50" t="str">
        <f>IF(AK8&gt;4,IF(AK7&gt;4,"/",""),"")</f>
        <v/>
      </c>
      <c r="P29" s="51"/>
      <c r="Q29" s="49"/>
      <c r="R29" s="50" t="str">
        <f>IF(AK8&gt;5,IF(AK7&gt;4,"/",""),"")</f>
        <v/>
      </c>
      <c r="S29" s="51"/>
      <c r="T29" s="49"/>
      <c r="U29" s="50" t="str">
        <f>IF(AK8&gt;6,IF(AK7&gt;4,"/",""),"")</f>
        <v/>
      </c>
      <c r="V29" s="51"/>
      <c r="W29" s="49"/>
      <c r="X29" s="50" t="str">
        <f>IF(AK8&gt;7,IF(AK7&gt;4,"/",""),"")</f>
        <v/>
      </c>
      <c r="Y29" s="51"/>
      <c r="Z29" s="49"/>
      <c r="AA29" s="50" t="str">
        <f>IF(AK8&gt;8,IF(AK7&gt;4,"/",""),"")</f>
        <v/>
      </c>
      <c r="AB29" s="51"/>
      <c r="AC29" s="49"/>
      <c r="AD29" s="50" t="str">
        <f>IF(AK8&gt;9,IF(AK7&gt;4,"/",""),"")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8" hidden="1" x14ac:dyDescent="0.2">
      <c r="A30" s="53"/>
      <c r="B30" s="53">
        <f>IF($AK7=5,SUM(B25:B29),IF($AK7=4,SUM(B25:B28),IF($AK7=3,SUM(B25:B27),IF($AK7=2,SUM(B25:B26),B25))))</f>
        <v>31</v>
      </c>
      <c r="C30" s="53"/>
      <c r="D30" s="53">
        <f>IF($AK7=5,SUM(D25:D29),IF($AK7=4,SUM(D25:D28),IF($AK7=3,SUM(D25:D27),IF($AK7=2,SUM(D25:D26),D25))))</f>
        <v>50</v>
      </c>
      <c r="E30" s="53">
        <f>IF($AK7=5,SUM(E25:E29),IF($AK7=4,SUM(E25:E28),IF($AK7=3,SUM(E25:E27),IF($AK7=2,SUM(E25:E26),E25))))</f>
        <v>50</v>
      </c>
      <c r="F30" s="53"/>
      <c r="G30" s="53">
        <f>IF($AK7=5,SUM(G25:G29),IF($AK7=4,SUM(G25:G28),IF($AK7=3,SUM(G25:G27),IF($AK7=2,SUM(G25:G26),G25))))</f>
        <v>26</v>
      </c>
      <c r="H30" s="53">
        <f>IF($AK7=5,SUM(H25:H29),IF($AK7=4,SUM(H25:H28),IF($AK7=3,SUM(H25:H27),IF($AK7=2,SUM(H25:H26),H25))))</f>
        <v>31</v>
      </c>
      <c r="I30" s="53"/>
      <c r="J30" s="53">
        <f>IF($AK7=5,SUM(J25:J29),IF($AK7=4,SUM(J25:J28),IF($AK7=3,SUM(J25:J27),IF($AK7=2,SUM(J25:J26),J25))))</f>
        <v>50</v>
      </c>
      <c r="K30" s="53">
        <f>IF($AK7=5,SUM(K25:K29),IF($AK7=4,SUM(K25:K28),IF($AK7=3,SUM(K25:K27),IF($AK7=2,SUM(K25:K26),K25))))</f>
        <v>50</v>
      </c>
      <c r="L30" s="53"/>
      <c r="M30" s="53">
        <f>IF($AK7=5,SUM(M25:M29),IF($AK7=4,SUM(M25:M28),IF($AK7=3,SUM(M25:M27),IF($AK7=2,SUM(M25:M26),M25))))</f>
        <v>41</v>
      </c>
      <c r="N30" s="53">
        <f>IF($AK7=5,SUM(N25:N29),IF($AK7=4,SUM(N25:N28),IF($AK7=3,SUM(N25:N27),IF($AK7=2,SUM(N25:N26),N25))))</f>
        <v>45</v>
      </c>
      <c r="O30" s="53"/>
      <c r="P30" s="53">
        <f>IF($AK7=5,SUM(P25:P29),IF($AK7=4,SUM(P25:P28),IF($AK7=3,SUM(P25:P27),IF($AK7=2,SUM(P25:P26),P25))))</f>
        <v>50</v>
      </c>
      <c r="Q30" s="53">
        <f>IF($AK7=5,SUM(Q25:Q29),IF($AK7=4,SUM(Q25:Q28),IF($AK7=3,SUM(Q25:Q27),IF($AK7=2,SUM(Q25:Q26),Q25))))</f>
        <v>27</v>
      </c>
      <c r="R30" s="53"/>
      <c r="S30" s="53">
        <f>IF($AK7=5,SUM(S25:S29),IF($AK7=4,SUM(S25:S28),IF($AK7=3,SUM(S25:S27),IF($AK7=2,SUM(S25:S26),S25))))</f>
        <v>50</v>
      </c>
      <c r="T30" s="53">
        <f>IF($AK7=5,SUM(T25:T29),IF($AK7=4,SUM(T25:T28),IF($AK7=3,SUM(T25:T27),IF($AK7=2,SUM(T25:T26),T25))))</f>
        <v>37</v>
      </c>
      <c r="U30" s="53"/>
      <c r="V30" s="53">
        <f>IF($AK7=5,SUM(V25:V29),IF($AK7=4,SUM(V25:V28),IF($AK7=3,SUM(V25:V27),IF($AK7=2,SUM(V25:V26),V25))))</f>
        <v>50</v>
      </c>
      <c r="W30" s="53">
        <f>IF($AK7=5,SUM(W25:W29),IF($AK7=4,SUM(W25:W28),IF($AK7=3,SUM(W25:W27),IF($AK7=2,SUM(W25:W26),W25))))</f>
        <v>34</v>
      </c>
      <c r="X30" s="53"/>
      <c r="Y30" s="53">
        <f>IF($AK7=5,SUM(Y25:Y29),IF($AK7=4,SUM(Y25:Y28),IF($AK7=3,SUM(Y25:Y27),IF($AK7=2,SUM(Y25:Y26),Y25))))</f>
        <v>50</v>
      </c>
      <c r="Z30" s="53">
        <f>IF($AK7=5,SUM(Z25:Z29),IF($AK7=4,SUM(Z25:Z28),IF($AK7=3,SUM(Z25:Z27),IF($AK7=2,SUM(Z25:Z26),Z25))))</f>
        <v>36</v>
      </c>
      <c r="AA30" s="53"/>
      <c r="AB30" s="53">
        <f>IF($AK7=5,SUM(AB25:AB29),IF($AK7=4,SUM(AB25:AB28),IF($AK7=3,SUM(AB25:AB27),IF($AK7=2,SUM(AB25:AB26),AB25))))</f>
        <v>50</v>
      </c>
      <c r="AC30" s="53">
        <f>IF($AK7=5,SUM(AC25:AC29),IF($AK7=4,SUM(AC25:AC28),IF($AK7=3,SUM(AC25:AC27),IF($AK7=2,SUM(AC25:AC26),AC25))))</f>
        <v>42</v>
      </c>
      <c r="AD30" s="53"/>
      <c r="AE30" s="53">
        <f>IF($AK7=5,SUM(AE25:AE29),IF($AK7=4,SUM(AE25:AE28),IF($AK7=3,SUM(AE25:AE27),IF($AK7=2,SUM(AE25:AE26),AE25))))</f>
        <v>50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8" s="55" customFormat="1" ht="12.75" hidden="1" customHeight="1" x14ac:dyDescent="0.2">
      <c r="A31" s="55" t="s">
        <v>81</v>
      </c>
      <c r="B31" s="56">
        <f>IF(AND(B25&gt;D25,$AK8&gt;0,ISNUMBER(B25),ISNUMBER(D25)),1,0)</f>
        <v>0</v>
      </c>
      <c r="C31" s="56"/>
      <c r="D31" s="57">
        <f>IF(AND(D25&gt;B25,$AK8&gt;0,ISNUMBER(B25),ISNUMBER(D25)),1,0)</f>
        <v>1</v>
      </c>
      <c r="E31" s="56">
        <f>IF(AND(E25&gt;G25,$AK8&gt;1,ISNUMBER(E25),ISNUMBER(G25)),1,0)</f>
        <v>1</v>
      </c>
      <c r="F31" s="56"/>
      <c r="G31" s="57">
        <f>IF(AND(G25&gt;E25,$AK8&gt;1,ISNUMBER(E25),ISNUMBER(G25)),1,0)</f>
        <v>0</v>
      </c>
      <c r="H31" s="56">
        <f>IF(AND(H25&gt;J25,$AK8&gt;2,ISNUMBER(H25),ISNUMBER(J25)),1,0)</f>
        <v>0</v>
      </c>
      <c r="I31" s="56"/>
      <c r="J31" s="57">
        <f>IF(AND(J25&gt;H25,$AK8&gt;2,ISNUMBER(H25),ISNUMBER(J25)),1,0)</f>
        <v>1</v>
      </c>
      <c r="K31" s="56">
        <f>IF(AND(K25&gt;M25,$AK8&gt;3,ISNUMBER(K25),ISNUMBER(M25)),1,0)</f>
        <v>1</v>
      </c>
      <c r="L31" s="56"/>
      <c r="M31" s="57">
        <f>IF(AND(M25&gt;K25,$AK8&gt;3,ISNUMBER(K25),ISNUMBER(M25)),1,0)</f>
        <v>0</v>
      </c>
      <c r="N31" s="56">
        <f>IF(AND(N25&gt;P25,$AK8&gt;4,ISNUMBER(N25),ISNUMBER(P25)),1,0)</f>
        <v>0</v>
      </c>
      <c r="O31" s="56"/>
      <c r="P31" s="57">
        <f>IF(AND(P25&gt;N25,$AK8&gt;4,ISNUMBER(N25),ISNUMBER(P25)),1,0)</f>
        <v>1</v>
      </c>
      <c r="Q31" s="56">
        <f>IF(AND(Q25&gt;S25,$AK8&gt;5,ISNUMBER(Q25),ISNUMBER(S25)),1,0)</f>
        <v>0</v>
      </c>
      <c r="R31" s="56"/>
      <c r="S31" s="57">
        <f>IF(AND(S25&gt;Q25,$AK8&gt;5,ISNUMBER(Q25),ISNUMBER(S25)),1,0)</f>
        <v>1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1</v>
      </c>
      <c r="W31" s="56">
        <f>IF(AND(W25&gt;Y25,$AK8&gt;7,ISNUMBER(W25),ISNUMBER(Y25)),1,0)</f>
        <v>0</v>
      </c>
      <c r="X31" s="56"/>
      <c r="Y31" s="57">
        <f>IF(AND(Y25&gt;W25,$AK8&gt;7,ISNUMBER(W25),ISNUMBER(Y25)),1,0)</f>
        <v>1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1</v>
      </c>
      <c r="AC31" s="56">
        <f>IF(AND(AC25&gt;AE25,$AK8&gt;9,ISNUMBER(AC25),ISNUMBER(AE25)),1,0)</f>
        <v>0</v>
      </c>
      <c r="AD31" s="56"/>
      <c r="AE31" s="57">
        <f>IF(AND(AE25&gt;AC25,$AK8&gt;9,ISNUMBER(AC25),ISNUMBER(AE25)),1,0)</f>
        <v>1</v>
      </c>
    </row>
    <row r="32" spans="1:48" s="55" customFormat="1" ht="12.75" hidden="1" customHeight="1" x14ac:dyDescent="0.2">
      <c r="A32" s="55" t="s">
        <v>82</v>
      </c>
      <c r="B32" s="56">
        <f>IF(AND(B26&gt;D26,$AK8&gt;0,$AK7&gt;1,ISNUMBER(B26),ISNUMBER(D26)),1,0)</f>
        <v>0</v>
      </c>
      <c r="C32" s="56"/>
      <c r="D32" s="57">
        <f>IF(AND(D26&gt;B26,$AK8&gt;0,$AK7&gt;1,ISNUMBER(B26),ISNUMBER(D26)),1,0)</f>
        <v>1</v>
      </c>
      <c r="E32" s="56">
        <f>IF(AND(E26&gt;G26,$AK8&gt;1,$AK7&gt;1,ISNUMBER(E26),ISNUMBER(G26)),1,0)</f>
        <v>1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0</v>
      </c>
      <c r="I32" s="56"/>
      <c r="J32" s="57">
        <f>IF(AND(J26&gt;H26,$AK8&gt;2,$AK7&gt;1,ISNUMBER(H26),ISNUMBER(J26)),1,0)</f>
        <v>1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1</v>
      </c>
      <c r="Q32" s="56">
        <f>IF(AND(Q26&gt;S26,$AK8&gt;5,$AK7&gt;1,ISNUMBER(Q26),ISNUMBER(S26)),1,0)</f>
        <v>0</v>
      </c>
      <c r="R32" s="56"/>
      <c r="S32" s="57">
        <f>IF(AND(S26&gt;Q26,$AK8&gt;5,$AK7&gt;1,ISNUMBER(Q26),ISNUMBER(S26)),1,0)</f>
        <v>1</v>
      </c>
      <c r="T32" s="56">
        <f>IF(AND(T26&gt;V26,$AK8&gt;6,$AK7&gt;1,ISNUMBER(T26),ISNUMBER(V26)),1,0)</f>
        <v>0</v>
      </c>
      <c r="U32" s="56"/>
      <c r="V32" s="57">
        <f>IF(AND(V26&gt;T26,$AK8&gt;6,$AK7&gt;1,ISNUMBER(T26),ISNUMBER(V26)),1,0)</f>
        <v>1</v>
      </c>
      <c r="W32" s="56">
        <f>IF(AND(W26&gt;Y26,$AK8&gt;7,$AK7&gt;1,ISNUMBER(W26),ISNUMBER(Y26)),1,0)</f>
        <v>0</v>
      </c>
      <c r="X32" s="56"/>
      <c r="Y32" s="57">
        <f>IF(AND(Y26&gt;W26,$AK8&gt;7,$AK7&gt;1,ISNUMBER(W26),ISNUMBER(Y26)),1,0)</f>
        <v>1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1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1</v>
      </c>
    </row>
    <row r="33" spans="1:33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</row>
    <row r="34" spans="1:33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</row>
    <row r="35" spans="1:33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</row>
    <row r="36" spans="1:33" s="55" customFormat="1" ht="38.25" hidden="1" customHeight="1" x14ac:dyDescent="0.2">
      <c r="A36" s="59" t="s">
        <v>86</v>
      </c>
      <c r="B36" s="55">
        <f>SUM(B31:B35)</f>
        <v>0</v>
      </c>
      <c r="D36" s="60">
        <f>SUM(D31:D35)</f>
        <v>2</v>
      </c>
      <c r="E36" s="55">
        <f>SUM(E31:E35)</f>
        <v>2</v>
      </c>
      <c r="G36" s="60">
        <f>SUM(G31:G35)</f>
        <v>0</v>
      </c>
      <c r="H36" s="55">
        <f>SUM(H31:H35)</f>
        <v>0</v>
      </c>
      <c r="J36" s="60">
        <f>SUM(J31:J35)</f>
        <v>2</v>
      </c>
      <c r="K36" s="55">
        <f>SUM(K31:K35)</f>
        <v>2</v>
      </c>
      <c r="M36" s="60">
        <f>SUM(M31:M35)</f>
        <v>0</v>
      </c>
      <c r="N36" s="55">
        <f>SUM(N31:N35)</f>
        <v>0</v>
      </c>
      <c r="P36" s="60">
        <f>SUM(P31:P35)</f>
        <v>2</v>
      </c>
      <c r="Q36" s="55">
        <f>SUM(Q31:Q35)</f>
        <v>0</v>
      </c>
      <c r="S36" s="60">
        <f>SUM(S31:S35)</f>
        <v>2</v>
      </c>
      <c r="T36" s="55">
        <f>SUM(T31:T35)</f>
        <v>0</v>
      </c>
      <c r="V36" s="60">
        <f>SUM(V31:V35)</f>
        <v>2</v>
      </c>
      <c r="W36" s="55">
        <f>SUM(W31:W35)</f>
        <v>0</v>
      </c>
      <c r="Y36" s="60">
        <f>SUM(Y31:Y35)</f>
        <v>2</v>
      </c>
      <c r="Z36" s="55">
        <f>SUM(Z31:Z35)</f>
        <v>0</v>
      </c>
      <c r="AB36" s="60">
        <f>SUM(AB31:AB35)</f>
        <v>2</v>
      </c>
      <c r="AC36" s="55">
        <f>SUM(AC31:AC35)</f>
        <v>0</v>
      </c>
      <c r="AE36" s="60">
        <f>SUM(AE31:AE35)</f>
        <v>2</v>
      </c>
    </row>
    <row r="37" spans="1:33" s="55" customFormat="1" ht="25.5" hidden="1" customHeight="1" x14ac:dyDescent="0.2">
      <c r="A37" s="59" t="s">
        <v>87</v>
      </c>
      <c r="B37" s="55">
        <f>IF(B36&gt;D36,IF(C71=AK7,1,IF(C71=AK7-1,1,0)),0)</f>
        <v>0</v>
      </c>
      <c r="C37" s="55">
        <f>B37+D37</f>
        <v>1</v>
      </c>
      <c r="D37" s="60">
        <f>IF(D36&gt;B36,IF(C71=AK7,1,IF(C71=AK7-1,1,0)),0)</f>
        <v>1</v>
      </c>
      <c r="E37" s="55">
        <f>IF(E36&gt;G36,IF(F71=AK7,1,IF(F71=AK7-1,1,0)),0)</f>
        <v>1</v>
      </c>
      <c r="F37" s="55">
        <f>E37+G37</f>
        <v>1</v>
      </c>
      <c r="G37" s="60">
        <f>IF(G36&gt;E36,IF(F71=AK7,1,IF(F71=AK7-1,1,0)),0)</f>
        <v>0</v>
      </c>
      <c r="H37" s="55">
        <f>IF(H36&gt;J36,IF(I71=AK7,1,IF(I71=AK7-1,1,0)),0)</f>
        <v>0</v>
      </c>
      <c r="I37" s="55">
        <f>H37+J37</f>
        <v>1</v>
      </c>
      <c r="J37" s="60">
        <f>IF(J36&gt;H36,IF(I71=AK7,1,IF(I71=AK7-1,1,0)),0)</f>
        <v>1</v>
      </c>
      <c r="K37" s="55">
        <f>IF(K36&gt;M36,IF(L71=AK7,1,IF(L71=AK7-1,1,0)),0)</f>
        <v>1</v>
      </c>
      <c r="L37" s="55">
        <f>K37+M37</f>
        <v>1</v>
      </c>
      <c r="M37" s="60">
        <f>IF(M36&gt;K36,IF(L71=AK7,1,IF(L71=AK7-1,1,0)),0)</f>
        <v>0</v>
      </c>
      <c r="N37" s="55">
        <f>IF(N36&gt;P36,IF(O71=AK7,1,IF(O71=AK7-1,1,0)),0)</f>
        <v>0</v>
      </c>
      <c r="O37" s="55">
        <f>N37+P37</f>
        <v>1</v>
      </c>
      <c r="P37" s="60">
        <f>IF(P36&gt;N36,IF(O71=AK7,1,IF(O71=AK7-1,1,0)),0)</f>
        <v>1</v>
      </c>
      <c r="Q37" s="55">
        <f>IF(Q36&gt;S36,IF(R71=AK7,1,IF(R71=AK7-1,1,0)),0)</f>
        <v>0</v>
      </c>
      <c r="R37" s="55">
        <f>Q37+S37</f>
        <v>1</v>
      </c>
      <c r="S37" s="60">
        <f>IF(S36&gt;Q36,IF(R71=AK7,1,IF(R71=AK7-1,1,0)),0)</f>
        <v>1</v>
      </c>
      <c r="T37" s="55">
        <f>IF(T36&gt;V36,IF(U71=AK7,1,IF(U71=AK7-1,1,0)),0)</f>
        <v>0</v>
      </c>
      <c r="U37" s="55">
        <f>T37+V37</f>
        <v>1</v>
      </c>
      <c r="V37" s="60">
        <f>IF(V36&gt;T36,IF(U71=AK7,1,IF(U71=AK7-1,1,0)),0)</f>
        <v>1</v>
      </c>
      <c r="W37" s="55">
        <f>IF(W36&gt;Y36,IF(X71=AK7,1,IF(X71=AK7-1,1,0)),0)</f>
        <v>0</v>
      </c>
      <c r="X37" s="55">
        <f>W37+Y37</f>
        <v>1</v>
      </c>
      <c r="Y37" s="60">
        <f>IF(Y36&gt;W36,IF(X71=AK7,1,IF(X71=AK7-1,1,0)),0)</f>
        <v>1</v>
      </c>
      <c r="Z37" s="55">
        <f>IF(Z36&gt;AB36,IF(AA71=AK7,1,IF(AA71=AK7-1,1,0)),0)</f>
        <v>0</v>
      </c>
      <c r="AA37" s="55">
        <f>Z37+AB37</f>
        <v>1</v>
      </c>
      <c r="AB37" s="60">
        <f>IF(AB36&gt;Z36,IF(AA71=AK7,1,IF(AA71=AK7-1,1,0)),0)</f>
        <v>1</v>
      </c>
      <c r="AC37" s="55">
        <f>IF(AC36&gt;AE36,IF(AD71=AK7,1,IF(AD71=AK7-1,1,0)),0)</f>
        <v>0</v>
      </c>
      <c r="AD37" s="55">
        <f>AC37+AE37</f>
        <v>1</v>
      </c>
      <c r="AE37" s="60">
        <f>IF(AE36&gt;AC36,IF(AD71=AK7,1,IF(AD71=AK7-1,1,0)),0)</f>
        <v>1</v>
      </c>
    </row>
    <row r="38" spans="1:33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</row>
    <row r="39" spans="1:33" s="55" customFormat="1" ht="12.75" hidden="1" customHeight="1" x14ac:dyDescent="0.2">
      <c r="A39" s="55" t="s">
        <v>88</v>
      </c>
      <c r="B39" s="55">
        <f>IF(B31=1,B25,0)</f>
        <v>0</v>
      </c>
      <c r="D39" s="60">
        <f t="shared" ref="D39:E43" si="0">IF(D31=1,D25,0)</f>
        <v>25</v>
      </c>
      <c r="E39" s="55">
        <f t="shared" si="0"/>
        <v>25</v>
      </c>
      <c r="G39" s="60">
        <f t="shared" ref="G39:H43" si="1">IF(G31=1,G25,0)</f>
        <v>0</v>
      </c>
      <c r="H39" s="55">
        <f t="shared" si="1"/>
        <v>0</v>
      </c>
      <c r="J39" s="60">
        <f t="shared" ref="J39:K43" si="2">IF(J31=1,J25,0)</f>
        <v>25</v>
      </c>
      <c r="K39" s="55">
        <f t="shared" si="2"/>
        <v>25</v>
      </c>
      <c r="M39" s="60">
        <f t="shared" ref="M39:N43" si="3">IF(M31=1,M25,0)</f>
        <v>0</v>
      </c>
      <c r="N39" s="55">
        <f t="shared" si="3"/>
        <v>0</v>
      </c>
      <c r="P39" s="60">
        <f t="shared" ref="P39:Q43" si="4">IF(P31=1,P25,0)</f>
        <v>25</v>
      </c>
      <c r="Q39" s="55">
        <f t="shared" si="4"/>
        <v>0</v>
      </c>
      <c r="S39" s="60">
        <f t="shared" ref="S39:T43" si="5">IF(S31=1,S25,0)</f>
        <v>25</v>
      </c>
      <c r="T39" s="55">
        <f t="shared" si="5"/>
        <v>0</v>
      </c>
      <c r="V39" s="60">
        <f t="shared" ref="V39:W43" si="6">IF(V31=1,V25,0)</f>
        <v>25</v>
      </c>
      <c r="W39" s="55">
        <f t="shared" si="6"/>
        <v>0</v>
      </c>
      <c r="Y39" s="60">
        <f t="shared" ref="Y39:Z43" si="7">IF(Y31=1,Y25,0)</f>
        <v>25</v>
      </c>
      <c r="Z39" s="55">
        <f t="shared" si="7"/>
        <v>0</v>
      </c>
      <c r="AB39" s="60">
        <f t="shared" ref="AB39:AC43" si="8">IF(AB31=1,AB25,0)</f>
        <v>25</v>
      </c>
      <c r="AC39" s="55">
        <f t="shared" si="8"/>
        <v>0</v>
      </c>
      <c r="AE39" s="60">
        <f>IF(AE31=1,AE25,0)</f>
        <v>25</v>
      </c>
    </row>
    <row r="40" spans="1:33" s="55" customFormat="1" ht="12.75" hidden="1" customHeight="1" x14ac:dyDescent="0.2">
      <c r="A40" s="55" t="s">
        <v>89</v>
      </c>
      <c r="B40" s="55">
        <f>IF(B32=1,B26,0)</f>
        <v>0</v>
      </c>
      <c r="D40" s="60">
        <f t="shared" si="0"/>
        <v>25</v>
      </c>
      <c r="E40" s="55">
        <f t="shared" si="0"/>
        <v>25</v>
      </c>
      <c r="G40" s="60">
        <f t="shared" si="1"/>
        <v>0</v>
      </c>
      <c r="H40" s="55">
        <f t="shared" si="1"/>
        <v>0</v>
      </c>
      <c r="J40" s="60">
        <f t="shared" si="2"/>
        <v>25</v>
      </c>
      <c r="K40" s="55">
        <f t="shared" si="2"/>
        <v>25</v>
      </c>
      <c r="M40" s="60">
        <f t="shared" si="3"/>
        <v>0</v>
      </c>
      <c r="N40" s="55">
        <f t="shared" si="3"/>
        <v>0</v>
      </c>
      <c r="P40" s="60">
        <f t="shared" si="4"/>
        <v>25</v>
      </c>
      <c r="Q40" s="55">
        <f t="shared" si="4"/>
        <v>0</v>
      </c>
      <c r="S40" s="60">
        <f t="shared" si="5"/>
        <v>25</v>
      </c>
      <c r="T40" s="55">
        <f t="shared" si="5"/>
        <v>0</v>
      </c>
      <c r="V40" s="60">
        <f t="shared" si="6"/>
        <v>25</v>
      </c>
      <c r="W40" s="55">
        <f t="shared" si="6"/>
        <v>0</v>
      </c>
      <c r="Y40" s="60">
        <f t="shared" si="7"/>
        <v>25</v>
      </c>
      <c r="Z40" s="55">
        <f t="shared" si="7"/>
        <v>0</v>
      </c>
      <c r="AB40" s="60">
        <f t="shared" si="8"/>
        <v>25</v>
      </c>
      <c r="AC40" s="55">
        <f t="shared" si="8"/>
        <v>0</v>
      </c>
      <c r="AE40" s="60">
        <f>IF(AE32=1,AE26,0)</f>
        <v>25</v>
      </c>
    </row>
    <row r="41" spans="1:33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0"/>
        <v>0</v>
      </c>
      <c r="E41" s="55">
        <f t="shared" si="0"/>
        <v>0</v>
      </c>
      <c r="G41" s="60">
        <f t="shared" si="1"/>
        <v>0</v>
      </c>
      <c r="H41" s="55">
        <f t="shared" si="1"/>
        <v>0</v>
      </c>
      <c r="J41" s="60">
        <f t="shared" si="2"/>
        <v>0</v>
      </c>
      <c r="K41" s="55">
        <f t="shared" si="2"/>
        <v>0</v>
      </c>
      <c r="M41" s="60">
        <f t="shared" si="3"/>
        <v>0</v>
      </c>
      <c r="N41" s="55">
        <f t="shared" si="3"/>
        <v>0</v>
      </c>
      <c r="P41" s="60">
        <f t="shared" si="4"/>
        <v>0</v>
      </c>
      <c r="Q41" s="55">
        <f t="shared" si="4"/>
        <v>0</v>
      </c>
      <c r="S41" s="60">
        <f t="shared" si="5"/>
        <v>0</v>
      </c>
      <c r="T41" s="55">
        <f t="shared" si="5"/>
        <v>0</v>
      </c>
      <c r="V41" s="60">
        <f t="shared" si="6"/>
        <v>0</v>
      </c>
      <c r="W41" s="55">
        <f t="shared" si="6"/>
        <v>0</v>
      </c>
      <c r="Y41" s="60">
        <f t="shared" si="7"/>
        <v>0</v>
      </c>
      <c r="Z41" s="55">
        <f t="shared" si="7"/>
        <v>0</v>
      </c>
      <c r="AB41" s="60">
        <f t="shared" si="8"/>
        <v>0</v>
      </c>
      <c r="AC41" s="55">
        <f t="shared" si="8"/>
        <v>0</v>
      </c>
      <c r="AE41" s="60">
        <f>IF(AE33=1,AE27,0)</f>
        <v>0</v>
      </c>
    </row>
    <row r="42" spans="1:33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0"/>
        <v>0</v>
      </c>
      <c r="E42" s="55">
        <f t="shared" si="0"/>
        <v>0</v>
      </c>
      <c r="G42" s="60">
        <f t="shared" si="1"/>
        <v>0</v>
      </c>
      <c r="H42" s="55">
        <f t="shared" si="1"/>
        <v>0</v>
      </c>
      <c r="J42" s="60">
        <f t="shared" si="2"/>
        <v>0</v>
      </c>
      <c r="K42" s="55">
        <f t="shared" si="2"/>
        <v>0</v>
      </c>
      <c r="M42" s="60">
        <f t="shared" si="3"/>
        <v>0</v>
      </c>
      <c r="N42" s="55">
        <f t="shared" si="3"/>
        <v>0</v>
      </c>
      <c r="P42" s="60">
        <f t="shared" si="4"/>
        <v>0</v>
      </c>
      <c r="Q42" s="55">
        <f t="shared" si="4"/>
        <v>0</v>
      </c>
      <c r="S42" s="60">
        <f t="shared" si="5"/>
        <v>0</v>
      </c>
      <c r="T42" s="55">
        <f t="shared" si="5"/>
        <v>0</v>
      </c>
      <c r="V42" s="60">
        <f t="shared" si="6"/>
        <v>0</v>
      </c>
      <c r="W42" s="55">
        <f t="shared" si="6"/>
        <v>0</v>
      </c>
      <c r="Y42" s="60">
        <f t="shared" si="7"/>
        <v>0</v>
      </c>
      <c r="Z42" s="55">
        <f t="shared" si="7"/>
        <v>0</v>
      </c>
      <c r="AB42" s="60">
        <f t="shared" si="8"/>
        <v>0</v>
      </c>
      <c r="AC42" s="55">
        <f t="shared" si="8"/>
        <v>0</v>
      </c>
      <c r="AE42" s="60">
        <f>IF(AE34=1,AE28,0)</f>
        <v>0</v>
      </c>
    </row>
    <row r="43" spans="1:33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0"/>
        <v>0</v>
      </c>
      <c r="E43" s="55">
        <f t="shared" si="0"/>
        <v>0</v>
      </c>
      <c r="G43" s="60">
        <f t="shared" si="1"/>
        <v>0</v>
      </c>
      <c r="H43" s="55">
        <f t="shared" si="1"/>
        <v>0</v>
      </c>
      <c r="J43" s="60">
        <f t="shared" si="2"/>
        <v>0</v>
      </c>
      <c r="K43" s="55">
        <f t="shared" si="2"/>
        <v>0</v>
      </c>
      <c r="M43" s="60">
        <f t="shared" si="3"/>
        <v>0</v>
      </c>
      <c r="N43" s="55">
        <f t="shared" si="3"/>
        <v>0</v>
      </c>
      <c r="P43" s="60">
        <f t="shared" si="4"/>
        <v>0</v>
      </c>
      <c r="Q43" s="55">
        <f t="shared" si="4"/>
        <v>0</v>
      </c>
      <c r="S43" s="60">
        <f t="shared" si="5"/>
        <v>0</v>
      </c>
      <c r="T43" s="55">
        <f t="shared" si="5"/>
        <v>0</v>
      </c>
      <c r="V43" s="60">
        <f t="shared" si="6"/>
        <v>0</v>
      </c>
      <c r="W43" s="55">
        <f t="shared" si="6"/>
        <v>0</v>
      </c>
      <c r="Y43" s="60">
        <f t="shared" si="7"/>
        <v>0</v>
      </c>
      <c r="Z43" s="55">
        <f t="shared" si="7"/>
        <v>0</v>
      </c>
      <c r="AB43" s="60">
        <f t="shared" si="8"/>
        <v>0</v>
      </c>
      <c r="AC43" s="55">
        <f t="shared" si="8"/>
        <v>0</v>
      </c>
      <c r="AE43" s="60">
        <f>IF(AE35=1,AE29,0)</f>
        <v>0</v>
      </c>
    </row>
    <row r="44" spans="1:33" s="55" customFormat="1" ht="38.25" hidden="1" customHeight="1" x14ac:dyDescent="0.2">
      <c r="A44" s="59" t="s">
        <v>93</v>
      </c>
      <c r="B44" s="55">
        <f>SUM(B39:D43)</f>
        <v>50</v>
      </c>
      <c r="D44" s="60"/>
      <c r="E44" s="55">
        <f>SUM(E39:G43)</f>
        <v>50</v>
      </c>
      <c r="G44" s="60"/>
      <c r="H44" s="55">
        <f>SUM(H39:J43)</f>
        <v>50</v>
      </c>
      <c r="J44" s="60"/>
      <c r="K44" s="55">
        <f>SUM(K39:M43)</f>
        <v>50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50</v>
      </c>
      <c r="V44" s="60"/>
      <c r="W44" s="55">
        <f>SUM(W39:Y43)</f>
        <v>50</v>
      </c>
      <c r="Y44" s="60"/>
      <c r="Z44" s="55">
        <f>SUM(Z39:AB43)</f>
        <v>50</v>
      </c>
      <c r="AB44" s="60"/>
      <c r="AC44" s="55">
        <f>SUM(AC39:AE43)</f>
        <v>50</v>
      </c>
      <c r="AE44" s="60"/>
    </row>
    <row r="45" spans="1:33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</row>
    <row r="46" spans="1:33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1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0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1</v>
      </c>
      <c r="AG46" s="55">
        <f>AF52-AF46</f>
        <v>3</v>
      </c>
    </row>
    <row r="47" spans="1:33" s="55" customFormat="1" ht="12.75" hidden="1" customHeight="1" x14ac:dyDescent="0.2">
      <c r="A47" s="55" t="s">
        <v>98</v>
      </c>
      <c r="B47" s="55">
        <f>IF(B24=2,IF(B37=1,1,0),0)</f>
        <v>0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1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1</v>
      </c>
      <c r="AF47" s="55">
        <f>SUM(B47:AE47)</f>
        <v>2</v>
      </c>
      <c r="AG47" s="55">
        <f>AF53-AF47</f>
        <v>2</v>
      </c>
    </row>
    <row r="48" spans="1:33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1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1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2</v>
      </c>
      <c r="AG48" s="55">
        <f>AF54-AF48</f>
        <v>2</v>
      </c>
    </row>
    <row r="49" spans="1:37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1</v>
      </c>
      <c r="AC49" s="55">
        <f>IF(AC24=4,IF(AC37=1,1,0),0)</f>
        <v>0</v>
      </c>
      <c r="AE49" s="60">
        <f>IF(AE24=4,IF(AE37=1,1,0),0)</f>
        <v>0</v>
      </c>
      <c r="AF49" s="55">
        <f>SUM(B49:AE49)</f>
        <v>1</v>
      </c>
      <c r="AG49" s="55">
        <f>AF55-AF49</f>
        <v>3</v>
      </c>
    </row>
    <row r="50" spans="1:37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1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1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1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1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4</v>
      </c>
      <c r="AG50" s="55">
        <f>AF56-AF50</f>
        <v>0</v>
      </c>
    </row>
    <row r="51" spans="1:37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</row>
    <row r="52" spans="1:37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1</v>
      </c>
      <c r="P52" s="60">
        <f>IF(P24=1,IF(O37=1,1,0),0)</f>
        <v>0</v>
      </c>
      <c r="Q52" s="55">
        <f>IF(Q24=1,IF(R37=1,1,0),0)</f>
        <v>0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1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1</v>
      </c>
      <c r="AE52" s="60">
        <f>IF(AE24=1,IF(AD37=1,1,0),0)</f>
        <v>0</v>
      </c>
      <c r="AF52" s="55">
        <f>SUM(B52:AE52)</f>
        <v>4</v>
      </c>
    </row>
    <row r="53" spans="1:37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0</v>
      </c>
      <c r="J53" s="60">
        <f>IF(J24=2,IF(I37=1,1,0),0)</f>
        <v>0</v>
      </c>
      <c r="K53" s="55">
        <f>IF(K24=2,IF(L37=1,1,0),0)</f>
        <v>1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0</v>
      </c>
      <c r="T53" s="55">
        <f>IF(T24=2,IF(U37=1,1,0),0)</f>
        <v>1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1</v>
      </c>
      <c r="AF53" s="55">
        <f>SUM(B53:AE53)</f>
        <v>4</v>
      </c>
    </row>
    <row r="54" spans="1:37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0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1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1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1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1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4</v>
      </c>
    </row>
    <row r="55" spans="1:37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0</v>
      </c>
      <c r="K55" s="55">
        <f>IF(K24=4,IF(L37=1,1,0),0)</f>
        <v>0</v>
      </c>
      <c r="M55" s="60">
        <f>IF(M24=4,IF(L37=1,1,0),0)</f>
        <v>1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1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1</v>
      </c>
      <c r="AC55" s="55">
        <f>IF(AC24=4,IF(AD37=1,1,0),0)</f>
        <v>0</v>
      </c>
      <c r="AE55" s="60">
        <f>IF(AE24=4,IF(AD37=1,1,0),0)</f>
        <v>0</v>
      </c>
      <c r="AF55" s="55">
        <f>SUM(B55:AE55)</f>
        <v>4</v>
      </c>
    </row>
    <row r="56" spans="1:37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1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1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1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1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4</v>
      </c>
    </row>
    <row r="57" spans="1:37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</row>
    <row r="58" spans="1:37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50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0</v>
      </c>
      <c r="M58" s="60">
        <f>IF(M24=1,K44,0)</f>
        <v>0</v>
      </c>
      <c r="N58" s="55">
        <f>IF(N24=1,N44,0)</f>
        <v>50</v>
      </c>
      <c r="P58" s="60">
        <f>IF(P24=1,N44,0)</f>
        <v>0</v>
      </c>
      <c r="Q58" s="55">
        <f>IF(Q24=1,Q44,0)</f>
        <v>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50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50</v>
      </c>
      <c r="AE58" s="60">
        <f>IF(AE24=1,AC44,0)</f>
        <v>0</v>
      </c>
      <c r="AF58" s="55">
        <f>SUM(B58:AE58)</f>
        <v>200</v>
      </c>
    </row>
    <row r="59" spans="1:37" s="55" customFormat="1" ht="12.75" hidden="1" customHeight="1" x14ac:dyDescent="0.2">
      <c r="A59" s="55" t="s">
        <v>104</v>
      </c>
      <c r="B59" s="55">
        <f>IF(B24=2,B44,0)</f>
        <v>50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0</v>
      </c>
      <c r="J59" s="60">
        <f>IF(J24=2,H44,0)</f>
        <v>0</v>
      </c>
      <c r="K59" s="55">
        <f>IF(K24=2,K44,0)</f>
        <v>50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0</v>
      </c>
      <c r="T59" s="55">
        <f>IF(T24=2,T44,0)</f>
        <v>50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50</v>
      </c>
      <c r="AF59" s="55">
        <f>SUM(B59:AE59)</f>
        <v>200</v>
      </c>
    </row>
    <row r="60" spans="1:37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0</v>
      </c>
      <c r="E60" s="55">
        <f>IF(E24=3,E44,0)</f>
        <v>0</v>
      </c>
      <c r="G60" s="60">
        <f>IF(G24=3,E44,0)</f>
        <v>0</v>
      </c>
      <c r="H60" s="55">
        <f>IF(H24=3,H44,0)</f>
        <v>50</v>
      </c>
      <c r="J60" s="60">
        <f>IF(J24=3,H44,0)</f>
        <v>0</v>
      </c>
      <c r="K60" s="55">
        <f>IF(K24=3,K44,0)</f>
        <v>0</v>
      </c>
      <c r="M60" s="60">
        <f>IF(M24=3,K44,0)</f>
        <v>0</v>
      </c>
      <c r="N60" s="55">
        <f>IF(N24=3,N44,0)</f>
        <v>0</v>
      </c>
      <c r="P60" s="60">
        <f>IF(P24=3,N44,0)</f>
        <v>50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50</v>
      </c>
      <c r="W60" s="55">
        <f>IF(W24=3,W44,0)</f>
        <v>0</v>
      </c>
      <c r="Y60" s="60">
        <f>IF(Y24=3,W44,0)</f>
        <v>0</v>
      </c>
      <c r="Z60" s="55">
        <f>IF(Z24=3,Z44,0)</f>
        <v>50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200</v>
      </c>
    </row>
    <row r="61" spans="1:37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50</v>
      </c>
      <c r="H61" s="55">
        <f>IF(H24=4,H44,0)</f>
        <v>0</v>
      </c>
      <c r="J61" s="60">
        <f>IF(J24=4,H44,0)</f>
        <v>0</v>
      </c>
      <c r="K61" s="55">
        <f>IF(K24=4,K44,0)</f>
        <v>0</v>
      </c>
      <c r="M61" s="60">
        <f>IF(M24=4,K44,0)</f>
        <v>50</v>
      </c>
      <c r="N61" s="55">
        <f>IF(N24=4,N44,0)</f>
        <v>0</v>
      </c>
      <c r="P61" s="60">
        <f>IF(P24=4,N44,0)</f>
        <v>0</v>
      </c>
      <c r="Q61" s="55">
        <f>IF(Q24=4,Q44,0)</f>
        <v>50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50</v>
      </c>
      <c r="AC61" s="55">
        <f>IF(AC24=4,AC44,0)</f>
        <v>0</v>
      </c>
      <c r="AE61" s="60">
        <f>IF(AE24=4,AC44,0)</f>
        <v>0</v>
      </c>
      <c r="AF61" s="55">
        <f>SUM(B61:AE61)</f>
        <v>200</v>
      </c>
    </row>
    <row r="62" spans="1:37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50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50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50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50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200</v>
      </c>
    </row>
    <row r="63" spans="1:37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</row>
    <row r="64" spans="1:37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2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0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0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0</v>
      </c>
      <c r="AE64" s="60">
        <f>IF(AE24=1,SUMIF(AE31:AE35,"&gt;0"),0)</f>
        <v>0</v>
      </c>
      <c r="AF64" s="55">
        <f>SUM(B64:AE64)</f>
        <v>2</v>
      </c>
      <c r="AG64" s="55">
        <f>AF72-AF64</f>
        <v>6</v>
      </c>
    </row>
    <row r="65" spans="1:54" s="55" customFormat="1" ht="12.75" hidden="1" customHeight="1" x14ac:dyDescent="0.2">
      <c r="A65" s="55" t="s">
        <v>98</v>
      </c>
      <c r="B65" s="55">
        <f>IF(B24=2,SUMIF(B31:B35,"&gt;0"),0)</f>
        <v>0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2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0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2</v>
      </c>
      <c r="AF65" s="55">
        <f>SUM(B65:AE65)</f>
        <v>4</v>
      </c>
      <c r="AG65" s="55">
        <f>AF73-AF65</f>
        <v>4</v>
      </c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2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2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0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4</v>
      </c>
      <c r="AG66" s="55">
        <f>AF74-AF66</f>
        <v>4</v>
      </c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0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0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2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2</v>
      </c>
      <c r="AG67" s="55">
        <f>AF75-AF67</f>
        <v>6</v>
      </c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2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2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2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2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8</v>
      </c>
      <c r="AG68" s="55">
        <f>AF76-AF68</f>
        <v>0</v>
      </c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2</v>
      </c>
      <c r="V71" s="60"/>
      <c r="X71" s="55">
        <f>SUMIF(W64:Y68,"&gt;0")</f>
        <v>2</v>
      </c>
      <c r="Y71" s="60"/>
      <c r="AA71" s="55">
        <f>SUMIF(Z64:AB68,"&gt;0")</f>
        <v>2</v>
      </c>
      <c r="AB71" s="60"/>
      <c r="AD71" s="55">
        <f>SUMIF(AC64:AE68,"&gt;0")</f>
        <v>2</v>
      </c>
      <c r="AE71" s="60"/>
      <c r="AF71" s="59" t="s">
        <v>113</v>
      </c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0</v>
      </c>
      <c r="M72" s="60">
        <f>IF(M24=1,L71,0)</f>
        <v>0</v>
      </c>
      <c r="N72" s="55">
        <f>IF(N24=1,O71,0)</f>
        <v>2</v>
      </c>
      <c r="P72" s="60">
        <f>IF(P24=1,O71,0)</f>
        <v>0</v>
      </c>
      <c r="Q72" s="55">
        <f>IF(Q24=1,R71,0)</f>
        <v>0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2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2</v>
      </c>
      <c r="AE72" s="60">
        <f>IF(AE24=1,AD71,0)</f>
        <v>0</v>
      </c>
      <c r="AF72" s="55">
        <f>SUM(B72:AE72)</f>
        <v>8</v>
      </c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0</v>
      </c>
      <c r="J73" s="60">
        <f>IF(J24=2,I71,0)</f>
        <v>0</v>
      </c>
      <c r="K73" s="55">
        <f>IF(K24=2,L71,0)</f>
        <v>2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0</v>
      </c>
      <c r="T73" s="55">
        <f>IF(T24=2,U71,0)</f>
        <v>2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2</v>
      </c>
      <c r="AF73" s="55">
        <f>SUM(B73:AE73)</f>
        <v>8</v>
      </c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0</v>
      </c>
      <c r="E74" s="55">
        <f>IF(E24=3,F71,0)</f>
        <v>0</v>
      </c>
      <c r="G74" s="60">
        <f>IF(G24=3,F71,0)</f>
        <v>0</v>
      </c>
      <c r="H74" s="55">
        <f>IF(H24=3,I71,0)</f>
        <v>2</v>
      </c>
      <c r="J74" s="60">
        <f>IF(J24=3,I71,0)</f>
        <v>0</v>
      </c>
      <c r="K74" s="55">
        <f>IF(K24=3,L71,0)</f>
        <v>0</v>
      </c>
      <c r="M74" s="60">
        <f>IF(M24=3,L71,0)</f>
        <v>0</v>
      </c>
      <c r="N74" s="55">
        <f>IF(N24=3,O71,0)</f>
        <v>0</v>
      </c>
      <c r="P74" s="60">
        <f>IF(P24=3,O71,0)</f>
        <v>2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2</v>
      </c>
      <c r="W74" s="55">
        <f>IF(W24=3,X71,0)</f>
        <v>0</v>
      </c>
      <c r="Y74" s="60">
        <f>IF(Y24=3,X71,0)</f>
        <v>0</v>
      </c>
      <c r="Z74" s="55">
        <f>IF(Z24=3,AA71,0)</f>
        <v>2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0</v>
      </c>
      <c r="K75" s="55">
        <f>IF(K24=4,L71,0)</f>
        <v>0</v>
      </c>
      <c r="M75" s="60">
        <f>IF(M24=4,L71,0)</f>
        <v>2</v>
      </c>
      <c r="N75" s="55">
        <f>IF(N24=4,O71,0)</f>
        <v>0</v>
      </c>
      <c r="P75" s="60">
        <f>IF(P24=4,O71,0)</f>
        <v>0</v>
      </c>
      <c r="Q75" s="55">
        <f>IF(Q24=4,R71,0)</f>
        <v>2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2</v>
      </c>
      <c r="AC75" s="55">
        <f>IF(AC24=4,AD71,0)</f>
        <v>0</v>
      </c>
      <c r="AE75" s="60">
        <f>IF(AE24=4,AD71,0)</f>
        <v>0</v>
      </c>
      <c r="AF75" s="55">
        <f>SUM(B75:AE75)</f>
        <v>8</v>
      </c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2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2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2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2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8</v>
      </c>
    </row>
    <row r="77" spans="1:54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AW77" s="130"/>
      <c r="BB77" s="130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Beaufort Seventeens</v>
      </c>
      <c r="C79" s="67">
        <f>VLOOKUP(B79,AU$3:AY$7,3,FALSE)</f>
        <v>2525.1096133091269</v>
      </c>
      <c r="D79" s="67">
        <f>IF(B72,B87,IF(D72,D87,C79))</f>
        <v>2525.1096133091269</v>
      </c>
      <c r="E79" s="67"/>
      <c r="F79" s="67"/>
      <c r="G79" s="67">
        <f>IF(E72,E87,IF(G72,G87,D79))</f>
        <v>2541.4048370908581</v>
      </c>
      <c r="H79" s="67"/>
      <c r="I79" s="67"/>
      <c r="J79" s="67">
        <f>IF(H72,H87,IF(J72,J87,G79))</f>
        <v>2541.4048370908581</v>
      </c>
      <c r="K79" s="67"/>
      <c r="L79" s="67"/>
      <c r="M79" s="67">
        <f>IF(K72,K87,IF(M72,M87,J79))</f>
        <v>2541.4048370908581</v>
      </c>
      <c r="N79" s="67"/>
      <c r="O79" s="67"/>
      <c r="P79" s="67">
        <f>IF(N72,N87,IF(P72,P87,M79))</f>
        <v>2490.4070724578937</v>
      </c>
      <c r="Q79" s="67"/>
      <c r="R79" s="67"/>
      <c r="S79" s="67">
        <f>IF(Q72,Q87,IF(S72,S87,P79))</f>
        <v>2490.4070724578937</v>
      </c>
      <c r="T79" s="67"/>
      <c r="U79" s="67"/>
      <c r="V79" s="67">
        <f>IF(T72,T87,IF(V72,V87,S79))</f>
        <v>2490.4070724578937</v>
      </c>
      <c r="W79" s="67"/>
      <c r="X79" s="67"/>
      <c r="Y79" s="67">
        <f>IF(W72,W87,IF(Y72,Y87,V79))</f>
        <v>2443.9663181716992</v>
      </c>
      <c r="Z79" s="67"/>
      <c r="AA79" s="67"/>
      <c r="AB79" s="67">
        <f>IF(Z72,Z87,IF(AB72,AB87,Y79))</f>
        <v>2443.9663181716992</v>
      </c>
      <c r="AC79" s="67"/>
      <c r="AD79" s="67"/>
      <c r="AE79" s="67">
        <f>IF(AC72,AC87,IF(AE72,AE87,AB79))</f>
        <v>2403.0662917192458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Beaufort Seventeens</v>
      </c>
      <c r="AU79" s="63">
        <f>AE79</f>
        <v>2403.0662917192458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SC Midlands 17 Black</v>
      </c>
      <c r="C80" s="67">
        <f>VLOOKUP(B80,AU$3:AY$7,3,FALSE)</f>
        <v>2397.9058130222679</v>
      </c>
      <c r="D80" s="67">
        <f>IF(B73,B87,IF(D73,D87,C80))</f>
        <v>2349.4232783632592</v>
      </c>
      <c r="E80" s="67"/>
      <c r="F80" s="67"/>
      <c r="G80" s="67">
        <f>IF(E73,E87,IF(G73,G87,D80))</f>
        <v>2349.4232783632592</v>
      </c>
      <c r="H80" s="67"/>
      <c r="I80" s="67"/>
      <c r="J80" s="67">
        <f>IF(H73,H87,IF(J73,J87,G80))</f>
        <v>2349.4232783632592</v>
      </c>
      <c r="K80" s="67"/>
      <c r="L80" s="67"/>
      <c r="M80" s="67">
        <f>IF(K73,K87,IF(M73,M87,J80))</f>
        <v>2378.9223015498596</v>
      </c>
      <c r="N80" s="67"/>
      <c r="O80" s="67"/>
      <c r="P80" s="67">
        <f>IF(N73,N87,IF(P73,P87,M80))</f>
        <v>2378.9223015498596</v>
      </c>
      <c r="Q80" s="67"/>
      <c r="R80" s="67"/>
      <c r="S80" s="67">
        <f>IF(Q73,Q87,IF(S73,S87,P80))</f>
        <v>2378.9223015498596</v>
      </c>
      <c r="T80" s="67"/>
      <c r="U80" s="67"/>
      <c r="V80" s="67">
        <f>IF(T73,T87,IF(V73,V87,S80))</f>
        <v>2344.7214756428721</v>
      </c>
      <c r="W80" s="67"/>
      <c r="X80" s="67"/>
      <c r="Y80" s="67">
        <f>IF(W73,W87,IF(Y73,Y87,V80))</f>
        <v>2344.7214756428721</v>
      </c>
      <c r="Z80" s="67"/>
      <c r="AA80" s="67"/>
      <c r="AB80" s="67">
        <f>IF(Z73,Z87,IF(AB73,AB87,Y80))</f>
        <v>2344.7214756428721</v>
      </c>
      <c r="AC80" s="67"/>
      <c r="AD80" s="67"/>
      <c r="AE80" s="67">
        <f>IF(AC73,AC87,IF(AE73,AE87,AB80))</f>
        <v>2385.6215020953255</v>
      </c>
      <c r="AF80" s="4"/>
      <c r="AG80" s="4"/>
      <c r="AJ80" s="4"/>
      <c r="AL80" s="4"/>
      <c r="AM80" s="4"/>
      <c r="AN80" s="4"/>
      <c r="AO80" s="4"/>
      <c r="AT80" s="63" t="str">
        <f>B80</f>
        <v>SC Midlands 17 Black</v>
      </c>
      <c r="AU80" s="63">
        <f>AE80</f>
        <v>2385.6215020953255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VolleyOneAcademy 17-Jon</v>
      </c>
      <c r="C81" s="67">
        <f>VLOOKUP(B81,AU$3:AY$7,3,FALSE)</f>
        <v>2344.6275487157213</v>
      </c>
      <c r="D81" s="67">
        <f>IF(B74,B87,IF(D74,D87,C81))</f>
        <v>2344.6275487157213</v>
      </c>
      <c r="E81" s="67"/>
      <c r="F81" s="67"/>
      <c r="G81" s="67">
        <f>IF(E74,E87,IF(G74,G87,D81))</f>
        <v>2344.6275487157213</v>
      </c>
      <c r="H81" s="67"/>
      <c r="I81" s="67"/>
      <c r="J81" s="67">
        <f>IF(H74,H87,IF(J74,J87,G81))</f>
        <v>2303.9915903525221</v>
      </c>
      <c r="K81" s="67"/>
      <c r="L81" s="67"/>
      <c r="M81" s="67">
        <f>IF(K74,K87,IF(M74,M87,J81))</f>
        <v>2303.9915903525221</v>
      </c>
      <c r="N81" s="67"/>
      <c r="O81" s="67"/>
      <c r="P81" s="67">
        <f>IF(N74,N87,IF(P74,P87,M81))</f>
        <v>2354.9893549854864</v>
      </c>
      <c r="Q81" s="67"/>
      <c r="R81" s="67"/>
      <c r="S81" s="67">
        <f>IF(Q74,Q87,IF(S74,S87,P81))</f>
        <v>2354.9893549854864</v>
      </c>
      <c r="T81" s="67"/>
      <c r="U81" s="67"/>
      <c r="V81" s="67">
        <f>IF(T74,T87,IF(V74,V87,S81))</f>
        <v>2389.190180892474</v>
      </c>
      <c r="W81" s="67"/>
      <c r="X81" s="67"/>
      <c r="Y81" s="67">
        <f>IF(W74,W87,IF(Y74,Y87,V81))</f>
        <v>2389.190180892474</v>
      </c>
      <c r="Z81" s="67"/>
      <c r="AA81" s="67"/>
      <c r="AB81" s="67">
        <f>IF(Z74,Z87,IF(AB74,AB87,Y81))</f>
        <v>2345.8418697032776</v>
      </c>
      <c r="AC81" s="67"/>
      <c r="AD81" s="67"/>
      <c r="AE81" s="67">
        <f>IF(AC74,AC87,IF(AE74,AE87,AB81))</f>
        <v>2345.8418697032776</v>
      </c>
      <c r="AF81" s="4"/>
      <c r="AG81" s="4"/>
      <c r="AJ81" s="4"/>
      <c r="AL81" s="4"/>
      <c r="AM81" s="4"/>
      <c r="AN81" s="4"/>
      <c r="AO81" s="4"/>
      <c r="AT81" s="63" t="str">
        <f>B81</f>
        <v>VolleyOneAcademy 17-Jon</v>
      </c>
      <c r="AU81" s="63">
        <f>AE81</f>
        <v>2345.8418697032776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CSRA Heat 17 Gold</v>
      </c>
      <c r="C82" s="67">
        <f>VLOOKUP(B82,AU$3:AY$7,3,FALSE)</f>
        <v>2338.5089997355412</v>
      </c>
      <c r="D82" s="67">
        <f>IF(B75,B87,IF(D75,D87,C82))</f>
        <v>2338.5089997355412</v>
      </c>
      <c r="E82" s="67"/>
      <c r="F82" s="67"/>
      <c r="G82" s="67">
        <f>IF(E75,E87,IF(G75,G87,D82))</f>
        <v>2322.21377595381</v>
      </c>
      <c r="H82" s="67"/>
      <c r="I82" s="67"/>
      <c r="J82" s="67">
        <f>IF(H75,H87,IF(J75,J87,G82))</f>
        <v>2322.21377595381</v>
      </c>
      <c r="K82" s="67"/>
      <c r="L82" s="67"/>
      <c r="M82" s="67">
        <f>IF(K75,K87,IF(M75,M87,J82))</f>
        <v>2292.7147527672096</v>
      </c>
      <c r="N82" s="67"/>
      <c r="O82" s="67"/>
      <c r="P82" s="67">
        <f>IF(N75,N87,IF(P75,P87,M82))</f>
        <v>2292.7147527672096</v>
      </c>
      <c r="Q82" s="67"/>
      <c r="R82" s="67"/>
      <c r="S82" s="67">
        <f>IF(Q75,Q87,IF(S75,S87,P82))</f>
        <v>2260.3835368328259</v>
      </c>
      <c r="T82" s="67"/>
      <c r="U82" s="67"/>
      <c r="V82" s="67">
        <f>IF(T75,T87,IF(V75,V87,S82))</f>
        <v>2260.3835368328259</v>
      </c>
      <c r="W82" s="67"/>
      <c r="X82" s="67"/>
      <c r="Y82" s="67">
        <f>IF(W75,W87,IF(Y75,Y87,V82))</f>
        <v>2260.3835368328259</v>
      </c>
      <c r="Z82" s="67"/>
      <c r="AA82" s="67"/>
      <c r="AB82" s="67">
        <f>IF(Z75,Z87,IF(AB75,AB87,Y82))</f>
        <v>2303.7318480220224</v>
      </c>
      <c r="AC82" s="67"/>
      <c r="AD82" s="67"/>
      <c r="AE82" s="67">
        <f>IF(AC75,AC87,IF(AE75,AE87,AB82))</f>
        <v>2303.7318480220224</v>
      </c>
      <c r="AF82" s="4"/>
      <c r="AG82" s="4"/>
      <c r="AJ82" s="4"/>
      <c r="AL82" s="4"/>
      <c r="AM82" s="4"/>
      <c r="AN82" s="4"/>
      <c r="AO82" s="4"/>
      <c r="AT82" s="63" t="str">
        <f>B82</f>
        <v>CSRA Heat 17 Gold</v>
      </c>
      <c r="AU82" s="63">
        <f>AE82</f>
        <v>2303.7318480220224</v>
      </c>
      <c r="AW82" s="66"/>
      <c r="BB82" s="66"/>
    </row>
    <row r="83" spans="1:54" s="63" customFormat="1" hidden="1" x14ac:dyDescent="0.2">
      <c r="A83" s="67">
        <v>5</v>
      </c>
      <c r="B83" s="67" t="str">
        <f>E16</f>
        <v>Upward Stars 15 Zach</v>
      </c>
      <c r="C83" s="67">
        <f>VLOOKUP(B83,AU$3:AY$7,3,FALSE)</f>
        <v>2200</v>
      </c>
      <c r="D83" s="67">
        <f>IF(B76,B87,IF(D76,D87,C83))</f>
        <v>2248.4825346590087</v>
      </c>
      <c r="E83" s="67"/>
      <c r="F83" s="67"/>
      <c r="G83" s="67">
        <f>IF(E76,E87,IF(G76,G87,D83))</f>
        <v>2248.4825346590087</v>
      </c>
      <c r="H83" s="67"/>
      <c r="I83" s="67"/>
      <c r="J83" s="67">
        <f>IF(H76,H87,IF(J76,J87,G83))</f>
        <v>2289.118493022208</v>
      </c>
      <c r="K83" s="67"/>
      <c r="L83" s="67"/>
      <c r="M83" s="67">
        <f>IF(K76,K87,IF(M76,M87,J83))</f>
        <v>2289.118493022208</v>
      </c>
      <c r="N83" s="67"/>
      <c r="O83" s="67"/>
      <c r="P83" s="67">
        <f>IF(N76,N87,IF(P76,P87,M83))</f>
        <v>2289.118493022208</v>
      </c>
      <c r="Q83" s="67"/>
      <c r="R83" s="67"/>
      <c r="S83" s="67">
        <f>IF(Q76,Q87,IF(S76,S87,P83))</f>
        <v>2321.4497089565916</v>
      </c>
      <c r="T83" s="67"/>
      <c r="U83" s="67"/>
      <c r="V83" s="67">
        <f>IF(T76,T87,IF(V76,V87,S83))</f>
        <v>2321.4497089565916</v>
      </c>
      <c r="W83" s="67"/>
      <c r="X83" s="67"/>
      <c r="Y83" s="67">
        <f>IF(W76,W87,IF(Y76,Y87,V83))</f>
        <v>2367.8904632427862</v>
      </c>
      <c r="Z83" s="67"/>
      <c r="AA83" s="67"/>
      <c r="AB83" s="67">
        <f>IF(Z76,Z87,IF(AB76,AB87,Y83))</f>
        <v>2367.8904632427862</v>
      </c>
      <c r="AC83" s="67"/>
      <c r="AD83" s="67"/>
      <c r="AE83" s="67">
        <f>IF(AC76,AC87,IF(AE76,AE87,AB83))</f>
        <v>2367.8904632427862</v>
      </c>
      <c r="AF83" s="4"/>
      <c r="AG83" s="4"/>
      <c r="AJ83" s="4"/>
      <c r="AL83" s="4"/>
      <c r="AM83" s="4"/>
      <c r="AN83" s="4"/>
      <c r="AO83" s="4"/>
      <c r="AT83" s="63" t="str">
        <f>B83</f>
        <v>Upward Stars 15 Zach</v>
      </c>
      <c r="AU83" s="63">
        <f>AE83</f>
        <v>2367.8904632427862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2397.9058130222679</v>
      </c>
      <c r="C85" s="67">
        <v>1</v>
      </c>
      <c r="D85" s="67">
        <f>VLOOKUP(D24,$A79:$AE83,3,FALSE)</f>
        <v>2200</v>
      </c>
      <c r="E85" s="67">
        <f>VLOOKUP(E24,$A79:$AE83,4,FALSE)</f>
        <v>2525.1096133091269</v>
      </c>
      <c r="F85" s="67">
        <v>2</v>
      </c>
      <c r="G85" s="67">
        <f>VLOOKUP(G24,$A79:$AE83,4,FALSE)</f>
        <v>2338.5089997355412</v>
      </c>
      <c r="H85" s="67">
        <f>VLOOKUP(H24,$A79:$AE83,7,FALSE)</f>
        <v>2344.6275487157213</v>
      </c>
      <c r="I85" s="67">
        <v>3</v>
      </c>
      <c r="J85" s="67">
        <f>VLOOKUP(J24,$A79:$AE83,7,FALSE)</f>
        <v>2248.4825346590087</v>
      </c>
      <c r="K85" s="67">
        <f>VLOOKUP(K24,$A79:$AE83,10,FALSE)</f>
        <v>2349.4232783632592</v>
      </c>
      <c r="L85" s="67">
        <v>4</v>
      </c>
      <c r="M85" s="67">
        <f>VLOOKUP(M24,$A79:$AE83,10,FALSE)</f>
        <v>2322.21377595381</v>
      </c>
      <c r="N85" s="67">
        <f>VLOOKUP(N24,$A79:$AE83,13,FALSE)</f>
        <v>2541.4048370908581</v>
      </c>
      <c r="O85" s="67">
        <v>5</v>
      </c>
      <c r="P85" s="67">
        <f>VLOOKUP(P24,$A79:$AE83,13,FALSE)</f>
        <v>2303.9915903525221</v>
      </c>
      <c r="Q85" s="67">
        <f>VLOOKUP(Q24,$A79:$AE83,16,FALSE)</f>
        <v>2292.7147527672096</v>
      </c>
      <c r="R85" s="67">
        <v>6</v>
      </c>
      <c r="S85" s="67">
        <f>VLOOKUP(S24,$A79:$AE83,16,FALSE)</f>
        <v>2289.118493022208</v>
      </c>
      <c r="T85" s="67">
        <f>VLOOKUP(T24,$A79:$AE83,19,FALSE)</f>
        <v>2378.9223015498596</v>
      </c>
      <c r="U85" s="67">
        <v>7</v>
      </c>
      <c r="V85" s="67">
        <f>VLOOKUP(V24,$A79:$AE83,19,FALSE)</f>
        <v>2354.9893549854864</v>
      </c>
      <c r="W85" s="67">
        <f>VLOOKUP(W24,$A79:$AE83,22,FALSE)</f>
        <v>2490.4070724578937</v>
      </c>
      <c r="X85" s="67">
        <v>8</v>
      </c>
      <c r="Y85" s="67">
        <f>VLOOKUP(Y24,$A79:$AE83,22,FALSE)</f>
        <v>2321.4497089565916</v>
      </c>
      <c r="Z85" s="67">
        <f>VLOOKUP(Z24,$A79:$AE83,25,FALSE)</f>
        <v>2389.190180892474</v>
      </c>
      <c r="AA85" s="67">
        <v>9</v>
      </c>
      <c r="AB85" s="67">
        <f>VLOOKUP(AB24,$A79:$AE83,25,FALSE)</f>
        <v>2260.3835368328259</v>
      </c>
      <c r="AC85" s="67">
        <f>VLOOKUP(AC24,$A79:$AE83,28,FALSE)</f>
        <v>2443.9663181716992</v>
      </c>
      <c r="AD85" s="67">
        <v>10</v>
      </c>
      <c r="AE85" s="67">
        <f>VLOOKUP(AE24,$A79:$AE83,28,FALSE)</f>
        <v>2344.7214756428721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1.5150792080940252</v>
      </c>
      <c r="C86" s="68"/>
      <c r="D86" s="68">
        <f>1/(1+(10^-((D85-B85)/400)))*(B36+D36)</f>
        <v>0.48492079190597459</v>
      </c>
      <c r="E86" s="68">
        <f>1/(1+(10^-((E85-G85)/400)))*(E36+G36)</f>
        <v>1.4907742568209004</v>
      </c>
      <c r="F86" s="68"/>
      <c r="G86" s="68">
        <f>1/(1+(10^-((G85-E85)/400)))*(E36+G36)</f>
        <v>0.50922574317909963</v>
      </c>
      <c r="H86" s="68">
        <f>1/(1+(10^-((H85-J85)/400)))*(H36+J36)</f>
        <v>1.2698736988499726</v>
      </c>
      <c r="I86" s="68"/>
      <c r="J86" s="68">
        <f>1/(1+(10^-((J85-H85)/400)))*(H36+J36)</f>
        <v>0.7301263011500273</v>
      </c>
      <c r="K86" s="68">
        <f>1/(1+(10^-((K85-M85)/400)))*(K36+M36)</f>
        <v>1.0781555254187416</v>
      </c>
      <c r="L86" s="68"/>
      <c r="M86" s="68">
        <f>1/(1+(10^-((M85-K85)/400)))*(K36+M36)</f>
        <v>0.9218444745812584</v>
      </c>
      <c r="N86" s="68">
        <f>1/(1+(10^-((N85-P85)/400)))*(N36+P36)</f>
        <v>1.593680144780143</v>
      </c>
      <c r="O86" s="68"/>
      <c r="P86" s="68">
        <f>1/(1+(10^-((P85-N85)/400)))*(N36+P36)</f>
        <v>0.40631985521985703</v>
      </c>
      <c r="Q86" s="68">
        <f>1/(1+(10^-((Q85-S85)/400)))*(Q36+S36)</f>
        <v>1.0103504979494886</v>
      </c>
      <c r="R86" s="68"/>
      <c r="S86" s="68">
        <f>1/(1+(10^-((S85-Q85)/400)))*(Q36+S36)</f>
        <v>0.98964950205051128</v>
      </c>
      <c r="T86" s="68">
        <f>1/(1+(10^-((T85-V85)/400)))*(T36+V36)</f>
        <v>1.0687758095933562</v>
      </c>
      <c r="U86" s="68"/>
      <c r="V86" s="68">
        <f>1/(1+(10^-((V85-T85)/400)))*(T36+V36)</f>
        <v>0.93122419040664384</v>
      </c>
      <c r="W86" s="68">
        <f>1/(1+(10^-((W85-Y85)/400)))*(W36+Y36)</f>
        <v>1.4512735714435749</v>
      </c>
      <c r="X86" s="68"/>
      <c r="Y86" s="68">
        <f>1/(1+(10^-((Y85-W85)/400)))*(W36+Y36)</f>
        <v>0.54872642855642495</v>
      </c>
      <c r="Z86" s="68">
        <f>1/(1+(10^-((Z85-AB85)/400)))*(Z36+AB36)</f>
        <v>1.3546347246623904</v>
      </c>
      <c r="AA86" s="68"/>
      <c r="AB86" s="68">
        <f>1/(1+(10^-((AB85-Z85)/400)))*(Z36+AB36)</f>
        <v>0.64536527533760968</v>
      </c>
      <c r="AC86" s="68">
        <f>1/(1+(10^-((AC85-AE85)/400)))*(AC36+AE36)</f>
        <v>1.2781258266391631</v>
      </c>
      <c r="AD86" s="68"/>
      <c r="AE86" s="68">
        <f>1/(1+(10^-((AE85-AC85)/400)))*(AC36+AE36)</f>
        <v>0.72187417336083692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2349.4232783632592</v>
      </c>
      <c r="C87" s="74"/>
      <c r="D87" s="74">
        <f>D85+(D36-D86)*$BA$1</f>
        <v>2248.4825346590087</v>
      </c>
      <c r="E87" s="74">
        <f>E85+(E36-E86)*$BA$1</f>
        <v>2541.4048370908581</v>
      </c>
      <c r="F87" s="74"/>
      <c r="G87" s="74">
        <f>G85+(G36-G86)*$BA$1</f>
        <v>2322.21377595381</v>
      </c>
      <c r="H87" s="74">
        <f>H85+(H36-H86)*$BA$1</f>
        <v>2303.9915903525221</v>
      </c>
      <c r="I87" s="74"/>
      <c r="J87" s="74">
        <f>J85+(J36-J86)*$BA$1</f>
        <v>2289.118493022208</v>
      </c>
      <c r="K87" s="74">
        <f>K85+(K36-K86)*$BA$1</f>
        <v>2378.9223015498596</v>
      </c>
      <c r="L87" s="74"/>
      <c r="M87" s="74">
        <f>M85+(M36-M86)*$BA$1</f>
        <v>2292.7147527672096</v>
      </c>
      <c r="N87" s="74">
        <f>N85+(N36-N86)*$BA$1</f>
        <v>2490.4070724578937</v>
      </c>
      <c r="O87" s="74"/>
      <c r="P87" s="74">
        <f>P85+(P36-P86)*$BA$1</f>
        <v>2354.9893549854864</v>
      </c>
      <c r="Q87" s="74">
        <f>Q85+(Q36-Q86)*$BA$1</f>
        <v>2260.3835368328259</v>
      </c>
      <c r="R87" s="74"/>
      <c r="S87" s="74">
        <f>S85+(S36-S86)*$BA$1</f>
        <v>2321.4497089565916</v>
      </c>
      <c r="T87" s="74">
        <f>T85+(T36-T86)*$BA$1</f>
        <v>2344.7214756428721</v>
      </c>
      <c r="U87" s="74"/>
      <c r="V87" s="74">
        <f>V85+(V36-V86)*$BA$1</f>
        <v>2389.190180892474</v>
      </c>
      <c r="W87" s="74">
        <f>W85+(W36-W86)*$BA$1</f>
        <v>2443.9663181716992</v>
      </c>
      <c r="X87" s="74"/>
      <c r="Y87" s="74">
        <f>Y85+(Y36-Y86)*$BA$1</f>
        <v>2367.8904632427862</v>
      </c>
      <c r="Z87" s="74">
        <f>Z85+(Z36-Z86)*$BA$1</f>
        <v>2345.8418697032776</v>
      </c>
      <c r="AA87" s="74"/>
      <c r="AB87" s="74">
        <f>AB85+(AB36-AB86)*$BA$1</f>
        <v>2303.7318480220224</v>
      </c>
      <c r="AC87" s="74">
        <f>AC85+(AC36-AC86)*$BA$1</f>
        <v>2403.0662917192458</v>
      </c>
      <c r="AD87" s="74"/>
      <c r="AE87" s="74">
        <f>AE85+(AE36-AE86)*$BA$1</f>
        <v>2385.6215020953255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</row>
    <row r="90" spans="1:54" s="63" customFormat="1" x14ac:dyDescent="0.2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</row>
    <row r="91" spans="1:54" ht="21" thickBot="1" x14ac:dyDescent="0.35">
      <c r="A91" s="345" t="s">
        <v>120</v>
      </c>
      <c r="B91" s="345"/>
      <c r="C91" s="345"/>
      <c r="D91" s="345"/>
      <c r="E91" s="345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  <c r="Z91" s="345"/>
      <c r="AA91" s="345"/>
      <c r="AB91" s="345"/>
      <c r="AC91" s="345"/>
      <c r="AD91" s="345"/>
      <c r="AE91" s="345"/>
      <c r="AF91" s="345"/>
      <c r="AG91" s="345"/>
      <c r="AH91" s="345"/>
      <c r="AI91" s="345"/>
      <c r="AJ91" s="345"/>
      <c r="AK91" s="345"/>
      <c r="AL91" s="345"/>
      <c r="AM91" s="345"/>
      <c r="AN91" s="345"/>
      <c r="AO91" s="345"/>
      <c r="AP91" s="345"/>
      <c r="AQ91" s="345"/>
    </row>
    <row r="92" spans="1:54" ht="13.5" thickBot="1" x14ac:dyDescent="0.25">
      <c r="A92" s="346" t="s">
        <v>121</v>
      </c>
      <c r="B92" s="348" t="s">
        <v>122</v>
      </c>
      <c r="C92" s="349"/>
      <c r="D92" s="349"/>
      <c r="E92" s="349"/>
      <c r="F92" s="349"/>
      <c r="G92" s="349"/>
      <c r="H92" s="349"/>
      <c r="I92" s="349"/>
      <c r="J92" s="349"/>
      <c r="K92" s="350"/>
      <c r="L92" s="348" t="s">
        <v>123</v>
      </c>
      <c r="M92" s="349"/>
      <c r="N92" s="349"/>
      <c r="O92" s="349"/>
      <c r="P92" s="349"/>
      <c r="Q92" s="349"/>
      <c r="R92" s="349"/>
      <c r="S92" s="349"/>
      <c r="T92" s="349"/>
      <c r="U92" s="350"/>
      <c r="V92" s="348" t="s">
        <v>124</v>
      </c>
      <c r="W92" s="349"/>
      <c r="X92" s="349"/>
      <c r="Y92" s="349"/>
      <c r="Z92" s="349"/>
      <c r="AA92" s="349"/>
      <c r="AB92" s="349"/>
      <c r="AC92" s="349"/>
      <c r="AD92" s="349"/>
      <c r="AE92" s="350"/>
      <c r="AF92" s="348" t="s">
        <v>125</v>
      </c>
      <c r="AG92" s="349"/>
      <c r="AH92" s="349"/>
      <c r="AI92" s="349"/>
      <c r="AJ92" s="349"/>
      <c r="AK92" s="349"/>
      <c r="AL92" s="349"/>
      <c r="AM92" s="349"/>
      <c r="AN92" s="349"/>
      <c r="AO92" s="350"/>
    </row>
    <row r="93" spans="1:54" ht="13.5" thickBot="1" x14ac:dyDescent="0.25">
      <c r="A93" s="347"/>
      <c r="B93" s="354" t="s">
        <v>10</v>
      </c>
      <c r="C93" s="355"/>
      <c r="D93" s="355"/>
      <c r="E93" s="355"/>
      <c r="F93" s="355"/>
      <c r="G93" s="356"/>
      <c r="H93" s="354" t="s">
        <v>126</v>
      </c>
      <c r="I93" s="355"/>
      <c r="J93" s="355"/>
      <c r="K93" s="356"/>
      <c r="L93" s="354" t="s">
        <v>10</v>
      </c>
      <c r="M93" s="355"/>
      <c r="N93" s="355"/>
      <c r="O93" s="355"/>
      <c r="P93" s="355"/>
      <c r="Q93" s="356"/>
      <c r="R93" s="354" t="s">
        <v>126</v>
      </c>
      <c r="S93" s="355"/>
      <c r="T93" s="355"/>
      <c r="U93" s="356"/>
      <c r="V93" s="354" t="s">
        <v>10</v>
      </c>
      <c r="W93" s="355"/>
      <c r="X93" s="355"/>
      <c r="Y93" s="355"/>
      <c r="Z93" s="355"/>
      <c r="AA93" s="356"/>
      <c r="AB93" s="354" t="s">
        <v>126</v>
      </c>
      <c r="AC93" s="355"/>
      <c r="AD93" s="355"/>
      <c r="AE93" s="356"/>
      <c r="AF93" s="354" t="s">
        <v>10</v>
      </c>
      <c r="AG93" s="355"/>
      <c r="AH93" s="355"/>
      <c r="AI93" s="355"/>
      <c r="AJ93" s="355"/>
      <c r="AK93" s="356"/>
      <c r="AL93" s="354" t="s">
        <v>126</v>
      </c>
      <c r="AM93" s="355"/>
      <c r="AN93" s="355"/>
      <c r="AO93" s="356"/>
    </row>
    <row r="94" spans="1:54" ht="13.5" thickBot="1" x14ac:dyDescent="0.25">
      <c r="A94" s="83" t="s">
        <v>127</v>
      </c>
      <c r="B94" s="522" t="str">
        <f>IF($AF$8=1,$E$8,IF($AF$10=1,$E$10,IF($AF$12=1,$E$12,IF($AF$14=1,$E$14,IF($AF$16=1,$E$16,"1st Place "&amp;$A94)))))</f>
        <v>Upward Stars 15 Zach</v>
      </c>
      <c r="C94" s="523"/>
      <c r="D94" s="523"/>
      <c r="E94" s="523"/>
      <c r="F94" s="523"/>
      <c r="G94" s="523"/>
      <c r="H94" s="524" t="str">
        <f>IF($AF$8=1,$E$9,IF($AF$10=1,$E$11,IF($AF$12=1,$E$13,IF($AF$14=1,$E$15,IF($AF$16=1,$E$17,"1st Place "&amp;$A94)))))</f>
        <v>fj5upwrd2pm</v>
      </c>
      <c r="I94" s="524"/>
      <c r="J94" s="524"/>
      <c r="K94" s="525"/>
      <c r="L94" s="522" t="str">
        <f>IF($AF$8=2,$E$8,IF($AF$10=2,$E$10,IF($AF$12=2,$E$12,IF($AF$14=2,$E$14,IF($AF$16=2,$E$16,"2nd Place "&amp;$A94)))))</f>
        <v>VolleyOneAcademy 17-Jon</v>
      </c>
      <c r="M94" s="523"/>
      <c r="N94" s="523"/>
      <c r="O94" s="523"/>
      <c r="P94" s="523"/>
      <c r="Q94" s="523"/>
      <c r="R94" s="524" t="str">
        <f>IF($AF$8=2,$E$9,IF($AF$10=2,$E$11,IF($AF$12=2,$E$13,IF($AF$14=2,$E$15,IF($AF$16=2,$E$17,"2nd Place "&amp;$A94)))))</f>
        <v>fj7vonea1pm</v>
      </c>
      <c r="S94" s="524"/>
      <c r="T94" s="524"/>
      <c r="U94" s="525"/>
      <c r="V94" s="522" t="str">
        <f>IF($AF$8=3,$E$8,IF($AF$10=3,$E$10,IF($AF$12=3,$E$12,IF($AF$14=3,$E$14,IF($AF$16=3,$E$16,"3rd Place "&amp;$A94)))))</f>
        <v>SC Midlands 17 Black</v>
      </c>
      <c r="W94" s="523"/>
      <c r="X94" s="523"/>
      <c r="Y94" s="523"/>
      <c r="Z94" s="523"/>
      <c r="AA94" s="523"/>
      <c r="AB94" s="524" t="str">
        <f>IF($AF$8=3,$E$9,IF($AF$10=3,$E$11,IF($AF$12=3,$E$13,IF($AF$14=3,$E$15,IF($AF$16=3,$E$17,"3rd Place "&amp;$A94)))))</f>
        <v>fj7scmid3pm</v>
      </c>
      <c r="AC94" s="524"/>
      <c r="AD94" s="524"/>
      <c r="AE94" s="525"/>
      <c r="AF94" s="522" t="str">
        <f>IF($AF$8=4,$E$8,IF($AF$10=4,$E$10,IF($AF$12=4,$E$12,IF($AF$14=4,$E$14,IF($AF$16=4,$E$16,"4th Place "&amp;$A94)))))</f>
        <v>Beaufort Seventeens</v>
      </c>
      <c r="AG94" s="523"/>
      <c r="AH94" s="523"/>
      <c r="AI94" s="523"/>
      <c r="AJ94" s="523"/>
      <c r="AK94" s="523"/>
      <c r="AL94" s="524" t="str">
        <f>IF($AF$8=4,$E$9,IF($AF$10=4,$E$11,IF($AF$12=4,$E$13,IF($AF$14=4,$E$15,IF($AF$16=4,$E$17,"4th Place "&amp;$A94)))))</f>
        <v>fj7beauf1pm</v>
      </c>
      <c r="AM94" s="524"/>
      <c r="AN94" s="524"/>
      <c r="AO94" s="525"/>
    </row>
    <row r="95" spans="1:54" s="3" customFormat="1" x14ac:dyDescent="0.2">
      <c r="A95" s="84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Z95" s="4"/>
      <c r="BA95" s="4"/>
    </row>
    <row r="96" spans="1:54" ht="15.75" x14ac:dyDescent="0.25">
      <c r="A96" s="426" t="s">
        <v>129</v>
      </c>
      <c r="B96" s="426"/>
      <c r="C96" s="426"/>
      <c r="D96" s="426"/>
      <c r="E96" s="426"/>
      <c r="F96" s="426"/>
      <c r="G96" s="426"/>
      <c r="H96" s="426"/>
      <c r="I96" s="426"/>
      <c r="J96" s="426"/>
      <c r="K96" s="426"/>
      <c r="L96" s="426"/>
      <c r="M96" s="426"/>
      <c r="N96" s="426"/>
      <c r="O96" s="426"/>
      <c r="P96" s="426"/>
      <c r="Q96" s="426"/>
      <c r="R96" s="426"/>
      <c r="S96" s="426"/>
      <c r="T96" s="426"/>
      <c r="U96" s="426"/>
      <c r="V96" s="426"/>
      <c r="W96" s="426"/>
      <c r="X96" s="426"/>
      <c r="Y96" s="426"/>
      <c r="Z96" s="426"/>
      <c r="AA96" s="426"/>
      <c r="AB96" s="426"/>
      <c r="AC96" s="426"/>
      <c r="AD96" s="426"/>
      <c r="AE96" s="426"/>
      <c r="AF96" s="426"/>
      <c r="AG96" s="426"/>
      <c r="AH96" s="426"/>
      <c r="AI96" s="426"/>
      <c r="AJ96" s="426"/>
      <c r="AK96" s="426"/>
      <c r="AL96" s="426"/>
      <c r="AM96" s="426"/>
      <c r="AN96" s="426"/>
      <c r="AO96" s="426"/>
      <c r="AP96" s="426"/>
      <c r="AQ96" s="426"/>
      <c r="AT96" s="86"/>
      <c r="AU96" s="86"/>
      <c r="AV96" s="86"/>
    </row>
    <row r="97" spans="1:50" ht="14.25" x14ac:dyDescent="0.2">
      <c r="A97" s="427" t="s">
        <v>130</v>
      </c>
      <c r="B97" s="427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  <c r="S97" s="427"/>
      <c r="T97" s="427"/>
      <c r="U97" s="427"/>
      <c r="V97" s="427"/>
      <c r="W97" s="427"/>
      <c r="X97" s="427"/>
      <c r="Y97" s="427"/>
      <c r="Z97" s="427"/>
      <c r="AA97" s="427"/>
      <c r="AB97" s="427"/>
      <c r="AC97" s="427"/>
      <c r="AD97" s="427"/>
      <c r="AE97" s="427"/>
      <c r="AF97" s="427"/>
      <c r="AG97" s="427"/>
      <c r="AH97" s="427"/>
      <c r="AI97" s="427"/>
      <c r="AJ97" s="427"/>
      <c r="AK97" s="427"/>
      <c r="AL97" s="427"/>
      <c r="AM97" s="427"/>
      <c r="AN97" s="427"/>
      <c r="AO97" s="427"/>
      <c r="AP97" s="427"/>
      <c r="AQ97" s="427"/>
    </row>
    <row r="98" spans="1:50" x14ac:dyDescent="0.2">
      <c r="A98" s="428" t="s">
        <v>336</v>
      </c>
      <c r="B98" s="428"/>
      <c r="C98" s="428"/>
      <c r="D98" s="428"/>
      <c r="E98" s="428"/>
      <c r="F98" s="428"/>
      <c r="G98" s="428"/>
      <c r="H98" s="428"/>
      <c r="I98" s="428"/>
      <c r="J98" s="428"/>
      <c r="K98" s="428"/>
      <c r="L98" s="428"/>
      <c r="M98" s="428"/>
      <c r="N98" s="428"/>
      <c r="O98" s="428"/>
      <c r="P98" s="428"/>
      <c r="Q98" s="428"/>
      <c r="R98" s="428"/>
      <c r="S98" s="428"/>
      <c r="T98" s="428"/>
      <c r="U98" s="428"/>
      <c r="V98" s="428"/>
      <c r="W98" s="428"/>
      <c r="X98" s="428"/>
      <c r="Y98" s="428"/>
      <c r="Z98" s="428"/>
      <c r="AA98" s="428"/>
      <c r="AB98" s="428"/>
      <c r="AC98" s="428"/>
      <c r="AD98" s="428"/>
      <c r="AE98" s="428"/>
      <c r="AF98" s="428"/>
      <c r="AG98" s="428"/>
      <c r="AH98" s="428"/>
      <c r="AI98" s="428"/>
      <c r="AJ98" s="428"/>
      <c r="AK98" s="428"/>
      <c r="AL98" s="428"/>
      <c r="AM98" s="428"/>
      <c r="AN98" s="428"/>
      <c r="AO98" s="428"/>
      <c r="AP98" s="428"/>
      <c r="AQ98" s="428"/>
    </row>
    <row r="99" spans="1:50" x14ac:dyDescent="0.2">
      <c r="A99" s="428"/>
      <c r="B99" s="428"/>
      <c r="C99" s="428"/>
      <c r="D99" s="428"/>
      <c r="E99" s="428"/>
      <c r="F99" s="428"/>
      <c r="G99" s="428"/>
      <c r="H99" s="428"/>
      <c r="I99" s="428"/>
      <c r="J99" s="428"/>
      <c r="K99" s="428"/>
      <c r="L99" s="428"/>
      <c r="M99" s="428"/>
      <c r="N99" s="428"/>
      <c r="O99" s="428"/>
      <c r="P99" s="428"/>
      <c r="Q99" s="428"/>
      <c r="R99" s="428"/>
      <c r="S99" s="428"/>
      <c r="T99" s="428"/>
      <c r="U99" s="428"/>
      <c r="V99" s="428"/>
      <c r="W99" s="428"/>
      <c r="X99" s="428"/>
      <c r="Y99" s="428"/>
      <c r="Z99" s="428"/>
      <c r="AA99" s="428"/>
      <c r="AB99" s="428"/>
      <c r="AC99" s="428"/>
      <c r="AD99" s="428"/>
      <c r="AE99" s="428"/>
      <c r="AF99" s="428"/>
      <c r="AG99" s="428"/>
      <c r="AH99" s="428"/>
      <c r="AI99" s="428"/>
      <c r="AJ99" s="428"/>
      <c r="AK99" s="428"/>
      <c r="AL99" s="428"/>
      <c r="AM99" s="428"/>
      <c r="AN99" s="428"/>
      <c r="AO99" s="428"/>
      <c r="AP99" s="428"/>
      <c r="AQ99" s="428"/>
    </row>
    <row r="100" spans="1:50" x14ac:dyDescent="0.2">
      <c r="A100" s="429" t="s">
        <v>132</v>
      </c>
      <c r="B100" s="429"/>
      <c r="C100" s="429"/>
      <c r="D100" s="429"/>
      <c r="E100" s="429"/>
      <c r="F100" s="429"/>
      <c r="G100" s="429"/>
      <c r="H100" s="429"/>
      <c r="I100" s="429"/>
      <c r="J100" s="429"/>
      <c r="K100" s="429"/>
      <c r="L100" s="87"/>
      <c r="R100" s="102"/>
      <c r="S100" s="10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02"/>
      <c r="AH100" s="122"/>
      <c r="AI100" s="122"/>
      <c r="AJ100" s="102"/>
      <c r="AK100" s="102"/>
      <c r="AL100" s="102"/>
      <c r="AM100" s="102"/>
    </row>
    <row r="101" spans="1:50" x14ac:dyDescent="0.2">
      <c r="C101" s="3"/>
      <c r="D101" s="3"/>
      <c r="E101" s="3"/>
      <c r="L101" s="87"/>
      <c r="R101" s="102"/>
      <c r="S101" s="10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02"/>
      <c r="AH101" s="122"/>
      <c r="AI101" s="122"/>
      <c r="AJ101" s="102"/>
      <c r="AK101" s="102"/>
      <c r="AL101" s="102"/>
      <c r="AM101" s="102"/>
    </row>
    <row r="102" spans="1:50" x14ac:dyDescent="0.2">
      <c r="A102" s="330"/>
      <c r="B102" s="330"/>
      <c r="C102" s="330"/>
      <c r="D102" s="330"/>
      <c r="E102" s="330"/>
      <c r="F102" s="330"/>
      <c r="G102" s="330"/>
      <c r="H102" s="330"/>
      <c r="I102" s="330"/>
      <c r="J102" s="330"/>
      <c r="K102" s="330"/>
      <c r="L102" s="330"/>
      <c r="M102" s="330"/>
      <c r="N102" s="330"/>
      <c r="O102" s="330"/>
      <c r="P102" s="130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02"/>
      <c r="AH102" s="122"/>
      <c r="AI102" s="122"/>
      <c r="AJ102" s="102"/>
      <c r="AK102" s="102"/>
      <c r="AL102" s="102"/>
      <c r="AM102" s="102"/>
    </row>
    <row r="103" spans="1:50" x14ac:dyDescent="0.2">
      <c r="R103" s="102"/>
      <c r="S103" s="10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02"/>
      <c r="AH103" s="122"/>
      <c r="AI103" s="122"/>
      <c r="AJ103" s="102"/>
      <c r="AK103" s="102"/>
      <c r="AL103" s="102"/>
      <c r="AM103" s="102"/>
    </row>
    <row r="104" spans="1:50" ht="13.5" thickBot="1" x14ac:dyDescent="0.25">
      <c r="A104" s="420" t="str">
        <f>IF(B132=1,B124,IF(B132=2,B125,IF(B132=3,B126,IF(B132=4,B127,IF(OR(B132="B",B132="b"),"BYE","invalid")))))</f>
        <v>Upward Stars 15 Zach</v>
      </c>
      <c r="B104" s="420"/>
      <c r="C104" s="420"/>
      <c r="D104" s="420"/>
      <c r="E104" s="420"/>
      <c r="F104" s="88"/>
      <c r="G104" s="88"/>
      <c r="H104" s="88"/>
      <c r="I104" s="88"/>
      <c r="J104" s="88"/>
      <c r="K104" s="88"/>
      <c r="L104" s="88"/>
      <c r="M104" s="88"/>
      <c r="N104" s="88"/>
      <c r="S104" s="131"/>
      <c r="T104" s="128"/>
      <c r="U104" s="122"/>
      <c r="V104" s="122"/>
      <c r="W104" s="122"/>
      <c r="X104" s="122"/>
      <c r="Y104" s="122"/>
      <c r="Z104" s="122"/>
      <c r="AA104" s="12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</row>
    <row r="105" spans="1:50" x14ac:dyDescent="0.2">
      <c r="A105" s="421" t="s">
        <v>337</v>
      </c>
      <c r="B105" s="421"/>
      <c r="C105" s="421"/>
      <c r="D105" s="421"/>
      <c r="E105" s="421"/>
      <c r="F105" s="90"/>
      <c r="G105" s="88"/>
      <c r="H105" s="88"/>
      <c r="I105" s="88"/>
      <c r="J105" s="88"/>
      <c r="K105" s="88"/>
      <c r="L105" s="88"/>
      <c r="M105" s="88"/>
      <c r="N105" s="88"/>
      <c r="S105" s="91"/>
      <c r="T105" s="150"/>
      <c r="U105" s="151"/>
      <c r="V105" s="151"/>
      <c r="W105" s="151"/>
      <c r="X105" s="151"/>
      <c r="Y105" s="151"/>
      <c r="Z105" s="151"/>
      <c r="AA105" s="151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</row>
    <row r="106" spans="1:50" x14ac:dyDescent="0.2">
      <c r="A106" s="88"/>
      <c r="B106" s="88"/>
      <c r="C106" s="88"/>
      <c r="D106" s="88"/>
      <c r="E106" s="88"/>
      <c r="F106" s="90"/>
      <c r="G106" s="88"/>
      <c r="H106" s="88"/>
      <c r="I106" s="88"/>
      <c r="J106" s="88"/>
      <c r="K106" s="88"/>
      <c r="L106" s="88"/>
      <c r="M106" s="88"/>
      <c r="N106" s="88"/>
      <c r="R106" s="88"/>
      <c r="S106" s="88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</row>
    <row r="107" spans="1:50" ht="13.5" thickBot="1" x14ac:dyDescent="0.25">
      <c r="A107" s="422" t="str">
        <f>B126&amp;" ref"</f>
        <v>SC Midlands 17 Black ref</v>
      </c>
      <c r="B107" s="422"/>
      <c r="C107" s="422"/>
      <c r="D107" s="422"/>
      <c r="E107" s="94"/>
      <c r="F107" s="424" t="str">
        <f>IF(H132=1,B124,IF(H132=2,B125,IF(H132=3,B126,IF(H132=4,B127,"Winner Match 1"))))</f>
        <v>Upward Stars 15 Zach</v>
      </c>
      <c r="G107" s="425"/>
      <c r="H107" s="425"/>
      <c r="I107" s="425"/>
      <c r="J107" s="425"/>
      <c r="K107" s="425"/>
      <c r="L107" s="425"/>
      <c r="M107" s="425"/>
      <c r="N107" s="88"/>
      <c r="P107" s="93"/>
      <c r="Q107" s="93"/>
      <c r="R107" s="93"/>
      <c r="S107" s="93"/>
      <c r="T107" s="149"/>
      <c r="U107" s="149"/>
      <c r="V107" s="149"/>
      <c r="W107" s="149"/>
      <c r="X107" s="149"/>
      <c r="Y107" s="149"/>
      <c r="Z107" s="149"/>
      <c r="AA107" s="102"/>
      <c r="AB107" s="122"/>
      <c r="AC107" s="122"/>
      <c r="AD107" s="122"/>
      <c r="AE107" s="122"/>
      <c r="AF107" s="122"/>
      <c r="AG107" s="122"/>
      <c r="AH107" s="122"/>
      <c r="AI107" s="102"/>
      <c r="AJ107" s="102"/>
      <c r="AK107" s="102"/>
      <c r="AL107" s="102"/>
    </row>
    <row r="108" spans="1:50" x14ac:dyDescent="0.2">
      <c r="A108" s="434" t="s">
        <v>137</v>
      </c>
      <c r="B108" s="434"/>
      <c r="C108" s="434"/>
      <c r="D108" s="434"/>
      <c r="E108" s="434"/>
      <c r="F108" s="435"/>
      <c r="G108" s="436"/>
      <c r="H108" s="436"/>
      <c r="I108" s="437"/>
      <c r="J108" s="438"/>
      <c r="K108" s="439"/>
      <c r="L108" s="439"/>
      <c r="M108" s="439"/>
      <c r="N108" s="88"/>
      <c r="O108" s="88"/>
      <c r="P108" s="94"/>
      <c r="Q108" s="6"/>
      <c r="R108" s="95"/>
      <c r="S108" s="95"/>
      <c r="T108" s="152"/>
      <c r="U108" s="152"/>
      <c r="V108" s="152"/>
      <c r="W108" s="152"/>
      <c r="X108" s="152"/>
      <c r="Y108" s="152"/>
      <c r="Z108" s="152"/>
      <c r="AA108" s="102"/>
      <c r="AB108" s="149"/>
      <c r="AC108" s="149"/>
      <c r="AD108" s="149"/>
      <c r="AE108" s="149"/>
      <c r="AF108" s="149"/>
      <c r="AG108" s="149"/>
      <c r="AH108" s="149"/>
      <c r="AI108" s="102"/>
      <c r="AJ108" s="102"/>
      <c r="AK108" s="102"/>
      <c r="AL108" s="102"/>
    </row>
    <row r="109" spans="1:50" ht="13.5" thickBot="1" x14ac:dyDescent="0.25">
      <c r="A109" s="420" t="str">
        <f>IF(D132=1,B124,IF(D132=2,B125,IF(D132=3,B126,IF(D132=4,B127,IF(OR(D132="B",D132="b"),"BYE","invalid")))))</f>
        <v>Beaufort Seventeens</v>
      </c>
      <c r="B109" s="420"/>
      <c r="C109" s="420"/>
      <c r="D109" s="420"/>
      <c r="E109" s="430"/>
      <c r="F109" s="90"/>
      <c r="G109" s="88"/>
      <c r="H109" s="88"/>
      <c r="I109" s="88"/>
      <c r="J109" s="90"/>
      <c r="K109" s="88"/>
      <c r="L109" s="88"/>
      <c r="M109" s="88"/>
      <c r="N109" s="88"/>
      <c r="O109" s="88"/>
      <c r="P109" s="88"/>
      <c r="T109" s="102"/>
      <c r="U109" s="122"/>
      <c r="V109" s="122"/>
      <c r="W109" s="122"/>
      <c r="X109" s="122"/>
      <c r="Y109" s="122"/>
      <c r="Z109" s="122"/>
      <c r="AA109" s="12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</row>
    <row r="110" spans="1:50" x14ac:dyDescent="0.2">
      <c r="A110" s="421" t="s">
        <v>338</v>
      </c>
      <c r="B110" s="421"/>
      <c r="C110" s="421"/>
      <c r="D110" s="421"/>
      <c r="E110" s="421"/>
      <c r="F110" s="88"/>
      <c r="G110" s="88"/>
      <c r="H110" s="88"/>
      <c r="I110" s="88"/>
      <c r="J110" s="90"/>
      <c r="K110" s="88"/>
      <c r="L110" s="88"/>
      <c r="M110" s="88"/>
      <c r="N110" s="88"/>
      <c r="O110" s="88"/>
      <c r="P110" s="88"/>
      <c r="T110" s="102"/>
      <c r="U110" s="151"/>
      <c r="V110" s="151"/>
      <c r="W110" s="151"/>
      <c r="X110" s="151"/>
      <c r="Y110" s="151"/>
      <c r="Z110" s="151"/>
      <c r="AA110" s="151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Q110" s="96"/>
      <c r="AR110" s="96"/>
      <c r="AS110" s="96"/>
      <c r="AW110" s="96"/>
      <c r="AX110" s="96"/>
    </row>
    <row r="111" spans="1:50" x14ac:dyDescent="0.2">
      <c r="A111" s="88"/>
      <c r="B111" s="88"/>
      <c r="C111" s="88"/>
      <c r="D111" s="88"/>
      <c r="E111" s="88"/>
      <c r="F111" s="432" t="s">
        <v>141</v>
      </c>
      <c r="G111" s="432"/>
      <c r="H111" s="432"/>
      <c r="I111" s="433"/>
      <c r="J111" s="90"/>
      <c r="K111" s="88"/>
      <c r="L111" s="88"/>
      <c r="M111" s="88"/>
      <c r="N111" s="88"/>
      <c r="O111" s="88"/>
      <c r="P111" s="88"/>
      <c r="R111" s="88"/>
      <c r="S111" s="88"/>
      <c r="T111" s="102"/>
      <c r="U111" s="102"/>
      <c r="V111" s="102"/>
      <c r="W111" s="149"/>
      <c r="X111" s="149"/>
      <c r="Y111" s="149"/>
      <c r="Z111" s="102"/>
      <c r="AA111" s="149"/>
      <c r="AB111" s="149"/>
      <c r="AC111" s="149"/>
      <c r="AD111" s="149"/>
      <c r="AE111" s="149"/>
      <c r="AF111" s="102"/>
      <c r="AG111" s="102"/>
      <c r="AH111" s="102"/>
      <c r="AI111" s="102"/>
      <c r="AJ111" s="102"/>
      <c r="AK111" s="102"/>
      <c r="AL111" s="102"/>
    </row>
    <row r="112" spans="1:50" ht="13.5" thickBot="1" x14ac:dyDescent="0.25">
      <c r="A112" s="88"/>
      <c r="B112" s="88"/>
      <c r="C112" s="88"/>
      <c r="D112" s="88"/>
      <c r="E112" s="88"/>
      <c r="F112" s="88"/>
      <c r="G112" s="88"/>
      <c r="H112" s="88"/>
      <c r="I112" s="88"/>
      <c r="J112" s="445" t="str">
        <f>IF(K137=1,B124,IF(K137=2,B125,IF(K137=3,B126,IF(K137=4,B127,"Division Winner"))))</f>
        <v>Upward Stars 15 Zach</v>
      </c>
      <c r="K112" s="446"/>
      <c r="L112" s="446"/>
      <c r="M112" s="446"/>
      <c r="N112" s="446"/>
      <c r="O112" s="446"/>
      <c r="P112" s="446"/>
      <c r="Q112" s="131"/>
      <c r="R112" s="88"/>
      <c r="S112" s="88"/>
      <c r="T112" s="102"/>
      <c r="U112" s="102"/>
      <c r="V112" s="102"/>
      <c r="W112" s="102"/>
      <c r="X112" s="102"/>
      <c r="Y112" s="102"/>
      <c r="Z112" s="102"/>
      <c r="AA112" s="122"/>
      <c r="AB112" s="122"/>
      <c r="AC112" s="122"/>
      <c r="AD112" s="122"/>
      <c r="AE112" s="122"/>
      <c r="AF112" s="153"/>
      <c r="AG112" s="153"/>
      <c r="AH112" s="153"/>
      <c r="AI112" s="153"/>
      <c r="AJ112" s="153"/>
      <c r="AK112" s="122"/>
      <c r="AL112" s="102"/>
    </row>
    <row r="113" spans="1:53" ht="13.5" thickBot="1" x14ac:dyDescent="0.25">
      <c r="A113" s="420" t="str">
        <f>IF(E132=1,B124,IF(E132=2,B125,IF(E132=3,B126,IF(E132=4,B127,IF(OR(E132="B",E132="b"),"BYE","invalid")))))</f>
        <v>VolleyOneAcademy 17-Jon</v>
      </c>
      <c r="B113" s="420"/>
      <c r="C113" s="420"/>
      <c r="D113" s="420"/>
      <c r="E113" s="420"/>
      <c r="F113" s="434" t="s">
        <v>142</v>
      </c>
      <c r="G113" s="434"/>
      <c r="H113" s="434"/>
      <c r="I113" s="434"/>
      <c r="J113" s="441" t="s">
        <v>143</v>
      </c>
      <c r="K113" s="432"/>
      <c r="L113" s="432"/>
      <c r="M113" s="432"/>
      <c r="N113" s="432"/>
      <c r="O113" s="432"/>
      <c r="P113" s="432"/>
      <c r="R113" s="98"/>
      <c r="S113" s="98"/>
      <c r="T113" s="122"/>
      <c r="U113" s="122"/>
      <c r="V113" s="122"/>
      <c r="W113" s="122"/>
      <c r="X113" s="122"/>
      <c r="Y113" s="122"/>
      <c r="Z113" s="122"/>
      <c r="AA113" s="122"/>
      <c r="AB113" s="154"/>
      <c r="AC113" s="154"/>
      <c r="AD113" s="154"/>
      <c r="AE113" s="154"/>
      <c r="AF113" s="149"/>
      <c r="AG113" s="149"/>
      <c r="AH113" s="149"/>
      <c r="AI113" s="149"/>
      <c r="AJ113" s="149"/>
      <c r="AK113" s="102"/>
      <c r="AL113" s="102"/>
    </row>
    <row r="114" spans="1:53" x14ac:dyDescent="0.2">
      <c r="A114" s="421" t="s">
        <v>339</v>
      </c>
      <c r="B114" s="421"/>
      <c r="C114" s="421"/>
      <c r="D114" s="421"/>
      <c r="E114" s="421"/>
      <c r="F114" s="90"/>
      <c r="G114" s="88"/>
      <c r="H114" s="88"/>
      <c r="I114" s="88"/>
      <c r="J114" s="441"/>
      <c r="K114" s="432"/>
      <c r="L114" s="432"/>
      <c r="M114" s="432"/>
      <c r="N114" s="432"/>
      <c r="O114" s="432"/>
      <c r="P114" s="432"/>
      <c r="Q114" s="88"/>
      <c r="R114" s="96"/>
      <c r="S114" s="96"/>
      <c r="T114" s="151"/>
      <c r="U114" s="151"/>
      <c r="V114" s="151"/>
      <c r="W114" s="151"/>
      <c r="X114" s="151"/>
      <c r="Y114" s="151"/>
      <c r="Z114" s="151"/>
      <c r="AA114" s="151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</row>
    <row r="115" spans="1:53" x14ac:dyDescent="0.2">
      <c r="A115" s="88"/>
      <c r="B115" s="88"/>
      <c r="C115" s="88"/>
      <c r="D115" s="88"/>
      <c r="E115" s="88"/>
      <c r="F115" s="90"/>
      <c r="G115" s="88"/>
      <c r="H115" s="88"/>
      <c r="I115" s="88"/>
      <c r="J115" s="90"/>
      <c r="K115" s="88"/>
      <c r="L115" s="88"/>
      <c r="M115" s="88"/>
      <c r="N115" s="88"/>
      <c r="P115" s="88"/>
      <c r="Q115" s="88"/>
      <c r="R115" s="88"/>
      <c r="S115" s="88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</row>
    <row r="116" spans="1:53" ht="13.5" thickBot="1" x14ac:dyDescent="0.25">
      <c r="A116" s="432" t="s">
        <v>148</v>
      </c>
      <c r="B116" s="432"/>
      <c r="C116" s="432"/>
      <c r="D116" s="432"/>
      <c r="E116" s="94"/>
      <c r="F116" s="442"/>
      <c r="G116" s="443"/>
      <c r="H116" s="443"/>
      <c r="I116" s="444"/>
      <c r="J116" s="438"/>
      <c r="K116" s="439"/>
      <c r="L116" s="439"/>
      <c r="M116" s="439"/>
      <c r="N116" s="88"/>
      <c r="Q116" s="93"/>
      <c r="R116" s="93"/>
      <c r="S116" s="93"/>
      <c r="T116" s="149"/>
      <c r="U116" s="149"/>
      <c r="V116" s="149"/>
      <c r="W116" s="149"/>
      <c r="X116" s="149"/>
      <c r="Y116" s="149"/>
      <c r="Z116" s="149"/>
      <c r="AA116" s="102"/>
      <c r="AB116" s="149"/>
      <c r="AC116" s="149"/>
      <c r="AD116" s="149"/>
      <c r="AE116" s="149"/>
      <c r="AF116" s="149"/>
      <c r="AG116" s="149"/>
      <c r="AH116" s="149"/>
      <c r="AI116" s="102"/>
      <c r="AJ116" s="102"/>
      <c r="AK116" s="102"/>
      <c r="AL116" s="102"/>
      <c r="AZ116" s="55"/>
      <c r="BA116" s="55"/>
    </row>
    <row r="117" spans="1:53" x14ac:dyDescent="0.2">
      <c r="A117" s="434" t="s">
        <v>137</v>
      </c>
      <c r="B117" s="434"/>
      <c r="C117" s="434"/>
      <c r="D117" s="434"/>
      <c r="E117" s="447"/>
      <c r="F117" s="424" t="str">
        <f>IF(J132=1,B124,IF(J132=2,B125,IF(J132=3,B126,IF(J132=4,B127,"Winner Match 2"))))</f>
        <v>SC Midlands 17 Black</v>
      </c>
      <c r="G117" s="425"/>
      <c r="H117" s="425"/>
      <c r="I117" s="425"/>
      <c r="J117" s="425"/>
      <c r="K117" s="425"/>
      <c r="L117" s="425"/>
      <c r="M117" s="425"/>
      <c r="N117" s="88"/>
      <c r="P117" s="94"/>
      <c r="Q117" s="94"/>
      <c r="S117" s="95"/>
      <c r="T117" s="154"/>
      <c r="U117" s="154"/>
      <c r="V117" s="154"/>
      <c r="W117" s="154"/>
      <c r="X117" s="154"/>
      <c r="Y117" s="154"/>
      <c r="Z117" s="154"/>
      <c r="AA117" s="102"/>
      <c r="AB117" s="122"/>
      <c r="AC117" s="122"/>
      <c r="AD117" s="122"/>
      <c r="AE117" s="122"/>
      <c r="AF117" s="122"/>
      <c r="AG117" s="122"/>
      <c r="AH117" s="122"/>
      <c r="AI117" s="102"/>
      <c r="AJ117" s="102"/>
      <c r="AK117" s="102"/>
      <c r="AL117" s="102"/>
      <c r="AZ117" s="55"/>
      <c r="BA117" s="55"/>
    </row>
    <row r="118" spans="1:53" ht="13.5" thickBot="1" x14ac:dyDescent="0.25">
      <c r="A118" s="420" t="str">
        <f>IF(G132=1,B124,IF(G132=2,B125,IF(G132=3,B126,IF(G132=4,B127,IF(OR(G132="B",G132="b"),"BYE","invalid")))))</f>
        <v>SC Midlands 17 Black</v>
      </c>
      <c r="B118" s="420"/>
      <c r="C118" s="420"/>
      <c r="D118" s="420"/>
      <c r="E118" s="430"/>
      <c r="F118" s="90"/>
      <c r="G118" s="88"/>
      <c r="H118" s="88"/>
      <c r="I118" s="88"/>
      <c r="J118" s="88"/>
      <c r="K118" s="88"/>
      <c r="L118" s="88"/>
      <c r="M118" s="88"/>
      <c r="N118" s="88"/>
      <c r="P118" s="88"/>
      <c r="Q118" s="88"/>
      <c r="R118" s="88"/>
      <c r="S118" s="98"/>
      <c r="T118" s="122"/>
      <c r="U118" s="122"/>
      <c r="V118" s="122"/>
      <c r="W118" s="122"/>
      <c r="X118" s="122"/>
      <c r="Y118" s="122"/>
      <c r="Z118" s="122"/>
      <c r="AA118" s="12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Z118" s="55"/>
      <c r="BA118" s="55"/>
    </row>
    <row r="119" spans="1:53" x14ac:dyDescent="0.2">
      <c r="A119" s="421" t="s">
        <v>340</v>
      </c>
      <c r="B119" s="421"/>
      <c r="C119" s="421"/>
      <c r="D119" s="421"/>
      <c r="E119" s="421"/>
      <c r="S119" s="96"/>
      <c r="T119" s="151"/>
      <c r="U119" s="151"/>
      <c r="V119" s="151"/>
      <c r="W119" s="151"/>
      <c r="X119" s="151"/>
      <c r="Y119" s="151"/>
      <c r="Z119" s="151"/>
      <c r="AA119" s="151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Z119" s="55"/>
      <c r="BA119" s="55"/>
    </row>
    <row r="120" spans="1:53" x14ac:dyDescent="0.2"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T120" s="55"/>
      <c r="AU120" s="55"/>
      <c r="AV120" s="55"/>
      <c r="AZ120" s="55"/>
      <c r="BA120" s="55"/>
    </row>
    <row r="121" spans="1:53" x14ac:dyDescent="0.2"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T121" s="55"/>
      <c r="AU121" s="55"/>
      <c r="AV121" s="55"/>
      <c r="AZ121" s="55"/>
      <c r="BA121" s="55"/>
    </row>
    <row r="122" spans="1:53" ht="16.5" thickBot="1" x14ac:dyDescent="0.3">
      <c r="A122" s="450" t="s">
        <v>151</v>
      </c>
      <c r="B122" s="450"/>
      <c r="C122" s="450"/>
      <c r="D122" s="450"/>
      <c r="E122" s="450"/>
      <c r="F122" s="450"/>
      <c r="G122" s="450"/>
      <c r="H122" s="450"/>
      <c r="I122" s="450"/>
      <c r="J122" s="450"/>
      <c r="Q122" s="100"/>
      <c r="R122" s="100"/>
      <c r="S122" s="100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02"/>
      <c r="AG122" s="102"/>
      <c r="AH122" s="102"/>
      <c r="AI122" s="102"/>
      <c r="AJ122" s="102"/>
      <c r="AK122" s="102"/>
      <c r="AL122" s="102"/>
      <c r="AT122" s="55"/>
      <c r="AU122" s="55"/>
      <c r="AV122" s="55"/>
      <c r="AZ122" s="55"/>
      <c r="BA122" s="55"/>
    </row>
    <row r="123" spans="1:53" ht="13.5" thickBot="1" x14ac:dyDescent="0.25">
      <c r="A123" s="101" t="s">
        <v>153</v>
      </c>
      <c r="B123" s="451" t="s">
        <v>154</v>
      </c>
      <c r="C123" s="452"/>
      <c r="D123" s="452"/>
      <c r="E123" s="452"/>
      <c r="F123" s="452"/>
      <c r="G123" s="452"/>
      <c r="H123" s="452"/>
      <c r="I123" s="452"/>
      <c r="J123" s="453"/>
      <c r="K123" s="454" t="s">
        <v>155</v>
      </c>
      <c r="L123" s="455"/>
      <c r="M123" s="455"/>
      <c r="N123" s="455"/>
      <c r="O123" s="455"/>
      <c r="P123" s="455"/>
      <c r="Q123" s="456"/>
      <c r="T123" s="122"/>
      <c r="U123" s="122"/>
      <c r="V123" s="122"/>
      <c r="W123" s="12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T123" s="55"/>
      <c r="AU123" s="55"/>
      <c r="AV123" s="55"/>
      <c r="AZ123" s="55"/>
      <c r="BA123" s="55"/>
    </row>
    <row r="124" spans="1:53" ht="13.5" thickBot="1" x14ac:dyDescent="0.25">
      <c r="A124" s="101">
        <v>1</v>
      </c>
      <c r="B124" s="460" t="str">
        <f>B94</f>
        <v>Upward Stars 15 Zach</v>
      </c>
      <c r="C124" s="461"/>
      <c r="D124" s="461"/>
      <c r="E124" s="461"/>
      <c r="F124" s="461"/>
      <c r="G124" s="461"/>
      <c r="H124" s="461"/>
      <c r="I124" s="461"/>
      <c r="J124" s="462"/>
      <c r="K124" s="463" t="str">
        <f>H94</f>
        <v>fj5upwrd2pm</v>
      </c>
      <c r="L124" s="464"/>
      <c r="M124" s="464"/>
      <c r="N124" s="464"/>
      <c r="O124" s="464"/>
      <c r="P124" s="464"/>
      <c r="Q124" s="465"/>
      <c r="T124" s="122"/>
      <c r="U124" s="122"/>
      <c r="V124" s="122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02"/>
      <c r="AG124" s="102"/>
      <c r="AH124" s="102"/>
      <c r="AI124" s="102"/>
      <c r="AJ124" s="102"/>
      <c r="AK124" s="102"/>
      <c r="AL124" s="102"/>
      <c r="AT124" s="55"/>
      <c r="AU124" s="55"/>
      <c r="AV124" s="55"/>
      <c r="AZ124" s="55"/>
      <c r="BA124" s="55"/>
    </row>
    <row r="125" spans="1:53" ht="13.5" thickBot="1" x14ac:dyDescent="0.25">
      <c r="A125" s="101">
        <v>2</v>
      </c>
      <c r="B125" s="460" t="str">
        <f>L94</f>
        <v>VolleyOneAcademy 17-Jon</v>
      </c>
      <c r="C125" s="461"/>
      <c r="D125" s="461"/>
      <c r="E125" s="461"/>
      <c r="F125" s="461"/>
      <c r="G125" s="461"/>
      <c r="H125" s="461"/>
      <c r="I125" s="461"/>
      <c r="J125" s="462"/>
      <c r="K125" s="463" t="str">
        <f>R94</f>
        <v>fj7vonea1pm</v>
      </c>
      <c r="L125" s="464"/>
      <c r="M125" s="464"/>
      <c r="N125" s="464"/>
      <c r="O125" s="464"/>
      <c r="P125" s="464"/>
      <c r="Q125" s="465"/>
      <c r="T125" s="122"/>
      <c r="U125" s="122"/>
      <c r="V125" s="122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02"/>
      <c r="AG125" s="102"/>
      <c r="AH125" s="102"/>
      <c r="AI125" s="102"/>
      <c r="AJ125" s="102"/>
      <c r="AK125" s="102"/>
      <c r="AL125" s="102"/>
      <c r="AT125" s="55"/>
      <c r="AU125" s="55"/>
      <c r="AV125" s="55"/>
      <c r="AZ125" s="55"/>
      <c r="BA125" s="55"/>
    </row>
    <row r="126" spans="1:53" ht="13.5" thickBot="1" x14ac:dyDescent="0.25">
      <c r="A126" s="101">
        <v>3</v>
      </c>
      <c r="B126" s="460" t="str">
        <f>V94</f>
        <v>SC Midlands 17 Black</v>
      </c>
      <c r="C126" s="461"/>
      <c r="D126" s="461"/>
      <c r="E126" s="461"/>
      <c r="F126" s="461"/>
      <c r="G126" s="461"/>
      <c r="H126" s="461"/>
      <c r="I126" s="461"/>
      <c r="J126" s="462"/>
      <c r="K126" s="463" t="str">
        <f>AB94</f>
        <v>fj7scmid3pm</v>
      </c>
      <c r="L126" s="464"/>
      <c r="M126" s="464"/>
      <c r="N126" s="464"/>
      <c r="O126" s="464"/>
      <c r="P126" s="464"/>
      <c r="Q126" s="465"/>
      <c r="T126" s="122"/>
      <c r="U126" s="122"/>
      <c r="V126" s="122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02"/>
      <c r="AG126" s="102"/>
      <c r="AH126" s="102"/>
      <c r="AI126" s="102"/>
      <c r="AJ126" s="102"/>
      <c r="AK126" s="102"/>
      <c r="AL126" s="102"/>
      <c r="AT126" s="55"/>
      <c r="AU126" s="55"/>
      <c r="AV126" s="55"/>
      <c r="AZ126" s="55"/>
      <c r="BA126" s="55"/>
    </row>
    <row r="127" spans="1:53" ht="13.5" thickBot="1" x14ac:dyDescent="0.25">
      <c r="A127" s="101">
        <v>4</v>
      </c>
      <c r="B127" s="526" t="str">
        <f>AF94</f>
        <v>Beaufort Seventeens</v>
      </c>
      <c r="C127" s="527"/>
      <c r="D127" s="527"/>
      <c r="E127" s="527"/>
      <c r="F127" s="527"/>
      <c r="G127" s="527"/>
      <c r="H127" s="527"/>
      <c r="I127" s="527"/>
      <c r="J127" s="528"/>
      <c r="K127" s="463" t="str">
        <f>AL94</f>
        <v>fj7beauf1pm</v>
      </c>
      <c r="L127" s="464"/>
      <c r="M127" s="464"/>
      <c r="N127" s="464"/>
      <c r="O127" s="464"/>
      <c r="P127" s="464"/>
      <c r="Q127" s="465"/>
      <c r="T127" s="122"/>
      <c r="U127" s="122"/>
      <c r="V127" s="122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02"/>
      <c r="AG127" s="102"/>
      <c r="AH127" s="102"/>
      <c r="AI127" s="102"/>
      <c r="AJ127" s="102"/>
      <c r="AK127" s="102"/>
      <c r="AL127" s="102"/>
      <c r="AT127" s="55"/>
      <c r="AU127" s="55"/>
      <c r="AV127" s="55"/>
      <c r="AZ127" s="55"/>
      <c r="BA127" s="55"/>
    </row>
    <row r="128" spans="1:53" ht="13.5" thickBot="1" x14ac:dyDescent="0.25"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T128" s="55"/>
      <c r="AU128" s="55"/>
      <c r="AV128" s="55"/>
      <c r="AZ128" s="55"/>
      <c r="BA128" s="55"/>
    </row>
    <row r="129" spans="1:77" x14ac:dyDescent="0.2">
      <c r="B129" s="466" t="s">
        <v>156</v>
      </c>
      <c r="C129" s="467"/>
      <c r="D129" s="468"/>
      <c r="E129" s="469" t="s">
        <v>156</v>
      </c>
      <c r="F129" s="467"/>
      <c r="G129" s="468"/>
      <c r="H129" s="469" t="s">
        <v>14</v>
      </c>
      <c r="I129" s="467"/>
      <c r="J129" s="470"/>
      <c r="K129" s="471" t="s">
        <v>157</v>
      </c>
      <c r="L129" s="472"/>
      <c r="M129" s="472"/>
      <c r="N129" s="472"/>
      <c r="O129" s="472"/>
      <c r="P129" s="472"/>
      <c r="Q129" s="473"/>
      <c r="R129" s="102"/>
      <c r="S129" s="102"/>
      <c r="T129" s="102"/>
      <c r="U129" s="102"/>
      <c r="V129" s="102"/>
      <c r="W129" s="156"/>
      <c r="X129" s="149"/>
      <c r="Y129" s="149"/>
      <c r="Z129" s="156"/>
      <c r="AA129" s="149"/>
      <c r="AB129" s="149"/>
      <c r="AC129" s="156"/>
      <c r="AD129" s="149"/>
      <c r="AE129" s="149"/>
      <c r="AF129" s="149"/>
      <c r="AG129" s="149"/>
      <c r="AH129" s="102"/>
      <c r="AI129" s="102"/>
      <c r="AJ129" s="102"/>
      <c r="AZ129" s="55"/>
      <c r="BA129" s="55"/>
    </row>
    <row r="130" spans="1:77" x14ac:dyDescent="0.2">
      <c r="A130" s="41" t="s">
        <v>158</v>
      </c>
      <c r="B130" s="488">
        <v>3</v>
      </c>
      <c r="C130" s="489"/>
      <c r="D130" s="490"/>
      <c r="E130" s="491" t="s">
        <v>159</v>
      </c>
      <c r="F130" s="489"/>
      <c r="G130" s="490"/>
      <c r="H130" s="491" t="s">
        <v>160</v>
      </c>
      <c r="I130" s="489"/>
      <c r="J130" s="492"/>
      <c r="K130" s="474"/>
      <c r="L130" s="475"/>
      <c r="M130" s="475"/>
      <c r="N130" s="475"/>
      <c r="O130" s="475"/>
      <c r="P130" s="475"/>
      <c r="Q130" s="476"/>
      <c r="R130" s="102"/>
      <c r="S130" s="102"/>
      <c r="T130" s="157"/>
      <c r="U130" s="157"/>
      <c r="V130" s="157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02"/>
      <c r="AG130" s="102"/>
      <c r="AH130" s="102"/>
      <c r="AI130" s="102"/>
      <c r="AJ130" s="102"/>
      <c r="AZ130" s="55"/>
      <c r="BA130" s="55"/>
    </row>
    <row r="131" spans="1:77" ht="13.5" thickBot="1" x14ac:dyDescent="0.25">
      <c r="A131" s="7"/>
      <c r="B131" s="501" t="s">
        <v>70</v>
      </c>
      <c r="C131" s="323"/>
      <c r="D131" s="324"/>
      <c r="E131" s="322" t="s">
        <v>161</v>
      </c>
      <c r="F131" s="323"/>
      <c r="G131" s="324"/>
      <c r="H131" s="322" t="s">
        <v>162</v>
      </c>
      <c r="I131" s="323"/>
      <c r="J131" s="495"/>
      <c r="K131" s="477"/>
      <c r="L131" s="478"/>
      <c r="M131" s="478"/>
      <c r="N131" s="478"/>
      <c r="O131" s="478"/>
      <c r="P131" s="478"/>
      <c r="Q131" s="479"/>
      <c r="R131" s="102"/>
      <c r="S131" s="102"/>
      <c r="T131" s="122"/>
      <c r="U131" s="122"/>
      <c r="V131" s="122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02"/>
      <c r="AG131" s="102"/>
      <c r="AH131" s="102"/>
      <c r="AI131" s="102"/>
      <c r="AJ131" s="102"/>
      <c r="AZ131" s="55"/>
      <c r="BA131" s="55"/>
    </row>
    <row r="132" spans="1:77" ht="13.5" thickBot="1" x14ac:dyDescent="0.25">
      <c r="A132" s="7"/>
      <c r="B132" s="103">
        <v>1</v>
      </c>
      <c r="C132" s="104" t="s">
        <v>78</v>
      </c>
      <c r="D132" s="105">
        <v>4</v>
      </c>
      <c r="E132" s="106">
        <v>2</v>
      </c>
      <c r="F132" s="104" t="s">
        <v>78</v>
      </c>
      <c r="G132" s="105">
        <v>3</v>
      </c>
      <c r="H132" s="107">
        <f>IF(OR(AND(OR(B136&gt;0,D136&gt;0),B136&gt;D136),OR(D132="b",D132="B")),B132,IF(OR(AND(OR(B136&gt;0,D136&gt;0),D136&gt;B136),OR(B132="b",B132="B")),D132,"W1"))</f>
        <v>1</v>
      </c>
      <c r="I132" s="108" t="s">
        <v>78</v>
      </c>
      <c r="J132" s="109">
        <f>IF(OR(AND(OR(E136&gt;0,G136&gt;0),E136&gt;G136),OR(G132="b",G132="B")),E132,IF(OR(AND(OR(E136&gt;0,G136&gt;0),G136&gt;E136),OR(E132="b",E132="B")),G132,"W2"))</f>
        <v>3</v>
      </c>
      <c r="K132" s="496" t="s">
        <v>163</v>
      </c>
      <c r="L132" s="497"/>
      <c r="M132" s="497"/>
      <c r="N132" s="498"/>
      <c r="R132" s="102"/>
      <c r="S132" s="102"/>
      <c r="T132" s="122"/>
      <c r="U132" s="122"/>
      <c r="V132" s="122"/>
      <c r="W132" s="160"/>
      <c r="X132" s="161"/>
      <c r="Y132" s="162"/>
      <c r="Z132" s="163"/>
      <c r="AA132" s="161"/>
      <c r="AB132" s="162"/>
      <c r="AC132" s="164"/>
      <c r="AD132" s="165"/>
      <c r="AE132" s="166"/>
      <c r="AF132" s="159"/>
      <c r="AG132" s="159"/>
      <c r="AH132" s="102"/>
      <c r="AI132" s="102"/>
      <c r="AJ132" s="102"/>
      <c r="AZ132" s="55"/>
      <c r="BA132" s="55"/>
    </row>
    <row r="133" spans="1:77" ht="13.5" hidden="1" customHeight="1" x14ac:dyDescent="0.2">
      <c r="A133" s="7"/>
      <c r="B133" s="110">
        <f>IF(B137&gt;D137,1,0)</f>
        <v>1</v>
      </c>
      <c r="C133" s="111"/>
      <c r="D133" s="112">
        <f>IF(D137&gt;B137,1,0)</f>
        <v>0</v>
      </c>
      <c r="E133" s="110">
        <f>IF(E137&gt;G137,1,0)</f>
        <v>0</v>
      </c>
      <c r="F133" s="111"/>
      <c r="G133" s="112">
        <f>IF(G137&gt;E137,1,0)</f>
        <v>1</v>
      </c>
      <c r="H133" s="110">
        <f>IF(H137&gt;J137,1,0)</f>
        <v>1</v>
      </c>
      <c r="I133" s="111"/>
      <c r="J133" s="112">
        <f>IF(J137&gt;H137,1,0)</f>
        <v>0</v>
      </c>
      <c r="K133" s="113"/>
      <c r="L133" s="114"/>
      <c r="M133" s="114"/>
      <c r="N133" s="115"/>
      <c r="R133" s="102"/>
      <c r="S133" s="102"/>
      <c r="T133" s="122"/>
      <c r="U133" s="122"/>
      <c r="V133" s="122"/>
      <c r="W133" s="160"/>
      <c r="X133" s="161"/>
      <c r="Y133" s="162"/>
      <c r="Z133" s="160"/>
      <c r="AA133" s="161"/>
      <c r="AB133" s="162"/>
      <c r="AC133" s="160"/>
      <c r="AD133" s="161"/>
      <c r="AE133" s="162"/>
      <c r="AF133" s="161"/>
      <c r="AG133" s="161"/>
      <c r="AH133" s="102"/>
      <c r="AI133" s="102"/>
      <c r="AJ133" s="102"/>
      <c r="AZ133" s="55"/>
      <c r="BA133" s="55"/>
    </row>
    <row r="134" spans="1:77" ht="13.5" hidden="1" customHeight="1" x14ac:dyDescent="0.2">
      <c r="A134" s="7"/>
      <c r="B134" s="110">
        <f>IF(B138&gt;D138,1,0)</f>
        <v>1</v>
      </c>
      <c r="C134" s="111"/>
      <c r="D134" s="112">
        <f>IF(D138&gt;B138,1,0)</f>
        <v>0</v>
      </c>
      <c r="E134" s="110">
        <f>IF(E138&gt;G138,1,0)</f>
        <v>0</v>
      </c>
      <c r="F134" s="111"/>
      <c r="G134" s="112">
        <f>IF(G138&gt;E138,1,0)</f>
        <v>1</v>
      </c>
      <c r="H134" s="110">
        <f>IF(H138&gt;J138,1,0)</f>
        <v>1</v>
      </c>
      <c r="I134" s="111"/>
      <c r="J134" s="112">
        <f>IF(J138&gt;H138,1,0)</f>
        <v>0</v>
      </c>
      <c r="K134" s="113"/>
      <c r="L134" s="114"/>
      <c r="M134" s="114"/>
      <c r="N134" s="115"/>
      <c r="R134" s="102"/>
      <c r="S134" s="102"/>
      <c r="T134" s="122"/>
      <c r="U134" s="122"/>
      <c r="V134" s="122"/>
      <c r="W134" s="160"/>
      <c r="X134" s="161"/>
      <c r="Y134" s="162"/>
      <c r="Z134" s="160"/>
      <c r="AA134" s="161"/>
      <c r="AB134" s="162"/>
      <c r="AC134" s="160"/>
      <c r="AD134" s="161"/>
      <c r="AE134" s="162"/>
      <c r="AF134" s="161"/>
      <c r="AG134" s="161"/>
      <c r="AH134" s="102"/>
      <c r="AI134" s="102"/>
      <c r="AJ134" s="102"/>
      <c r="AZ134" s="55"/>
      <c r="BA134" s="55"/>
    </row>
    <row r="135" spans="1:77" ht="13.5" hidden="1" customHeight="1" thickBot="1" x14ac:dyDescent="0.25">
      <c r="A135" s="7"/>
      <c r="B135" s="110">
        <f>IF(B139&gt;D139,1,0)</f>
        <v>0</v>
      </c>
      <c r="C135" s="111"/>
      <c r="D135" s="112">
        <f>IF(D139&gt;B139,1,0)</f>
        <v>0</v>
      </c>
      <c r="E135" s="110">
        <f>IF(E139&gt;G139,1,0)</f>
        <v>0</v>
      </c>
      <c r="F135" s="111"/>
      <c r="G135" s="112">
        <f>IF(G139&gt;E139,1,0)</f>
        <v>0</v>
      </c>
      <c r="H135" s="110">
        <f>IF(H139&gt;J139,1,0)</f>
        <v>0</v>
      </c>
      <c r="I135" s="111"/>
      <c r="J135" s="112">
        <f>IF(J139&gt;H139,1,0)</f>
        <v>0</v>
      </c>
      <c r="K135" s="113"/>
      <c r="L135" s="114"/>
      <c r="M135" s="114"/>
      <c r="N135" s="115"/>
      <c r="R135" s="102"/>
      <c r="S135" s="102"/>
      <c r="T135" s="122"/>
      <c r="U135" s="122"/>
      <c r="V135" s="122"/>
      <c r="W135" s="160"/>
      <c r="X135" s="161"/>
      <c r="Y135" s="162"/>
      <c r="Z135" s="160"/>
      <c r="AA135" s="161"/>
      <c r="AB135" s="162"/>
      <c r="AC135" s="160"/>
      <c r="AD135" s="161"/>
      <c r="AE135" s="162"/>
      <c r="AF135" s="161"/>
      <c r="AG135" s="161"/>
      <c r="AH135" s="102"/>
      <c r="AI135" s="102"/>
      <c r="AJ135" s="102"/>
      <c r="AZ135" s="55"/>
      <c r="BA135" s="55"/>
    </row>
    <row r="136" spans="1:77" ht="13.5" hidden="1" customHeight="1" x14ac:dyDescent="0.2">
      <c r="A136" s="7"/>
      <c r="B136" s="110">
        <f>SUM(B133:B135)</f>
        <v>2</v>
      </c>
      <c r="C136" s="111"/>
      <c r="D136" s="110">
        <f>SUM(D133:D135)</f>
        <v>0</v>
      </c>
      <c r="E136" s="110">
        <f>SUM(E133:E135)</f>
        <v>0</v>
      </c>
      <c r="F136" s="111"/>
      <c r="G136" s="110">
        <f>SUM(G133:G135)</f>
        <v>2</v>
      </c>
      <c r="H136" s="110">
        <f>SUM(H133:H135)</f>
        <v>2</v>
      </c>
      <c r="I136" s="111"/>
      <c r="J136" s="110">
        <f>SUM(J133:J135)</f>
        <v>0</v>
      </c>
      <c r="K136" s="113"/>
      <c r="L136" s="114"/>
      <c r="M136" s="114"/>
      <c r="N136" s="115"/>
      <c r="R136" s="102"/>
      <c r="S136" s="102"/>
      <c r="T136" s="122"/>
      <c r="U136" s="122"/>
      <c r="V136" s="122"/>
      <c r="W136" s="160"/>
      <c r="X136" s="161"/>
      <c r="Y136" s="160"/>
      <c r="Z136" s="160"/>
      <c r="AA136" s="161"/>
      <c r="AB136" s="160"/>
      <c r="AC136" s="160"/>
      <c r="AD136" s="161"/>
      <c r="AE136" s="160"/>
      <c r="AF136" s="161"/>
      <c r="AG136" s="161"/>
      <c r="AH136" s="102"/>
      <c r="AI136" s="102"/>
      <c r="AJ136" s="102"/>
      <c r="AZ136" s="55"/>
      <c r="BA136" s="55"/>
    </row>
    <row r="137" spans="1:77" ht="12.75" customHeight="1" x14ac:dyDescent="0.2">
      <c r="A137" s="5" t="s">
        <v>79</v>
      </c>
      <c r="B137" s="118">
        <v>25</v>
      </c>
      <c r="C137" s="50" t="s">
        <v>80</v>
      </c>
      <c r="D137" s="119">
        <v>22</v>
      </c>
      <c r="E137" s="120">
        <v>19</v>
      </c>
      <c r="F137" s="50" t="s">
        <v>80</v>
      </c>
      <c r="G137" s="119">
        <v>25</v>
      </c>
      <c r="H137" s="120">
        <v>25</v>
      </c>
      <c r="I137" s="50" t="s">
        <v>80</v>
      </c>
      <c r="J137" s="121">
        <v>12</v>
      </c>
      <c r="K137" s="504">
        <f>IF(AND(OR(H136&gt;0,J136&gt;0),AND(1&lt;=H132,H132&lt;=4),AND(1&lt;=J132,J132&lt;=4)),IF(H136&gt;J136,H132,IF(J136&gt;H136,J132,"")),"")</f>
        <v>1</v>
      </c>
      <c r="L137" s="505"/>
      <c r="M137" s="505"/>
      <c r="N137" s="506"/>
      <c r="R137" s="102"/>
      <c r="S137" s="102"/>
      <c r="T137" s="122"/>
      <c r="U137" s="122"/>
      <c r="V137" s="167"/>
      <c r="W137" s="168"/>
      <c r="X137" s="128"/>
      <c r="Y137" s="169"/>
      <c r="Z137" s="168"/>
      <c r="AA137" s="128"/>
      <c r="AB137" s="169"/>
      <c r="AC137" s="168"/>
      <c r="AD137" s="128"/>
      <c r="AE137" s="169"/>
      <c r="AF137" s="170"/>
      <c r="AG137" s="170"/>
      <c r="AH137" s="102"/>
      <c r="AI137" s="102"/>
      <c r="AJ137" s="102"/>
      <c r="AZ137" s="55"/>
      <c r="BA137" s="55"/>
    </row>
    <row r="138" spans="1:77" ht="12.75" customHeight="1" x14ac:dyDescent="0.2">
      <c r="A138" s="5" t="s">
        <v>164</v>
      </c>
      <c r="B138" s="118">
        <v>25</v>
      </c>
      <c r="C138" s="50" t="s">
        <v>80</v>
      </c>
      <c r="D138" s="119">
        <v>22</v>
      </c>
      <c r="E138" s="120">
        <v>21</v>
      </c>
      <c r="F138" s="50" t="s">
        <v>80</v>
      </c>
      <c r="G138" s="119">
        <v>25</v>
      </c>
      <c r="H138" s="120">
        <v>25</v>
      </c>
      <c r="I138" s="50" t="s">
        <v>80</v>
      </c>
      <c r="J138" s="121">
        <v>18</v>
      </c>
      <c r="K138" s="507"/>
      <c r="L138" s="508"/>
      <c r="M138" s="508"/>
      <c r="N138" s="509"/>
      <c r="R138" s="102"/>
      <c r="S138" s="102"/>
      <c r="T138" s="122"/>
      <c r="U138" s="122"/>
      <c r="V138" s="167"/>
      <c r="W138" s="168"/>
      <c r="X138" s="128"/>
      <c r="Y138" s="169"/>
      <c r="Z138" s="168"/>
      <c r="AA138" s="128"/>
      <c r="AB138" s="169"/>
      <c r="AC138" s="168"/>
      <c r="AD138" s="128"/>
      <c r="AE138" s="169"/>
      <c r="AF138" s="170"/>
      <c r="AG138" s="170"/>
      <c r="AH138" s="102"/>
      <c r="AI138" s="102"/>
      <c r="AJ138" s="102"/>
      <c r="AZ138" s="55"/>
      <c r="BA138" s="55"/>
    </row>
    <row r="139" spans="1:77" ht="13.5" customHeight="1" thickBot="1" x14ac:dyDescent="0.25">
      <c r="A139" s="5" t="s">
        <v>165</v>
      </c>
      <c r="B139" s="123"/>
      <c r="C139" s="124" t="s">
        <v>80</v>
      </c>
      <c r="D139" s="125"/>
      <c r="E139" s="126"/>
      <c r="F139" s="124" t="s">
        <v>80</v>
      </c>
      <c r="G139" s="125"/>
      <c r="H139" s="126"/>
      <c r="I139" s="124" t="s">
        <v>80</v>
      </c>
      <c r="J139" s="127"/>
      <c r="K139" s="510"/>
      <c r="L139" s="511"/>
      <c r="M139" s="511"/>
      <c r="N139" s="512"/>
      <c r="R139" s="102"/>
      <c r="S139" s="102"/>
      <c r="T139" s="122"/>
      <c r="U139" s="122"/>
      <c r="V139" s="167"/>
      <c r="W139" s="168"/>
      <c r="X139" s="128"/>
      <c r="Y139" s="169"/>
      <c r="Z139" s="168"/>
      <c r="AA139" s="128"/>
      <c r="AB139" s="169"/>
      <c r="AC139" s="168"/>
      <c r="AD139" s="128"/>
      <c r="AE139" s="169"/>
      <c r="AF139" s="170"/>
      <c r="AG139" s="170"/>
      <c r="AH139" s="102"/>
      <c r="AI139" s="102"/>
      <c r="AJ139" s="102"/>
      <c r="AZ139" s="55"/>
      <c r="BA139" s="55"/>
    </row>
    <row r="140" spans="1:77" hidden="1" x14ac:dyDescent="0.2">
      <c r="B140" s="3"/>
      <c r="C140" s="128" t="s">
        <v>114</v>
      </c>
      <c r="D140" s="3" t="s">
        <v>166</v>
      </c>
      <c r="E140" s="3"/>
      <c r="F140" s="128"/>
      <c r="G140" s="4" t="s">
        <v>167</v>
      </c>
      <c r="J140" s="4" t="s">
        <v>168</v>
      </c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T140" s="4" t="str">
        <f>B141</f>
        <v>Upward Stars 15 Zach</v>
      </c>
      <c r="AU140" s="4">
        <f>J141</f>
        <v>2402.1626892749932</v>
      </c>
      <c r="AW140" s="58"/>
      <c r="AX140" s="55"/>
      <c r="AY140" s="55"/>
      <c r="AZ140" s="55"/>
      <c r="BA140" s="55"/>
      <c r="BB140" s="58"/>
      <c r="BC140" s="55"/>
      <c r="BD140" s="55"/>
      <c r="BE140" s="58"/>
      <c r="BF140" s="55"/>
      <c r="BG140" s="55"/>
      <c r="BH140" s="58"/>
      <c r="BI140" s="55"/>
      <c r="BJ140" s="55"/>
      <c r="BK140" s="58"/>
      <c r="BL140" s="55"/>
      <c r="BM140" s="55"/>
      <c r="BN140" s="58"/>
      <c r="BO140" s="55"/>
      <c r="BP140" s="55"/>
      <c r="BQ140" s="58"/>
      <c r="BR140" s="55"/>
      <c r="BS140" s="55"/>
      <c r="BT140" s="58"/>
      <c r="BU140" s="55"/>
      <c r="BV140" s="55"/>
      <c r="BW140" s="58"/>
      <c r="BX140" s="55"/>
      <c r="BY140" s="55"/>
    </row>
    <row r="141" spans="1:77" hidden="1" x14ac:dyDescent="0.2">
      <c r="A141" s="4">
        <v>1</v>
      </c>
      <c r="B141" s="4" t="str">
        <f>B124</f>
        <v>Upward Stars 15 Zach</v>
      </c>
      <c r="C141" s="4">
        <f>VLOOKUP(B141,AU$2:AY$7,4,FALSE)</f>
        <v>2367.8904632427862</v>
      </c>
      <c r="D141" s="4">
        <f>IF(A141=B132,B147,IF(A141=D132,D147,C141))</f>
        <v>2385.5048577205721</v>
      </c>
      <c r="G141" s="4">
        <f>IF(A141=E132,E147,IF(A141=G132,G147,D141))</f>
        <v>2385.5048577205721</v>
      </c>
      <c r="J141" s="4">
        <f>IF(A141=H132,H147,IF(A141=J132,J147,G141))</f>
        <v>2402.1626892749932</v>
      </c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T141" s="4" t="str">
        <f>B142</f>
        <v>VolleyOneAcademy 17-Jon</v>
      </c>
      <c r="AU141" s="4">
        <f>J142</f>
        <v>2331.6658262868896</v>
      </c>
      <c r="AW141" s="58"/>
      <c r="AX141" s="55"/>
      <c r="AY141" s="55"/>
      <c r="AZ141" s="55"/>
      <c r="BA141" s="55"/>
      <c r="BB141" s="58"/>
      <c r="BC141" s="55"/>
      <c r="BD141" s="55"/>
      <c r="BE141" s="58"/>
      <c r="BF141" s="55"/>
      <c r="BG141" s="55"/>
      <c r="BH141" s="58"/>
      <c r="BI141" s="55"/>
      <c r="BJ141" s="55"/>
      <c r="BK141" s="58"/>
      <c r="BL141" s="55"/>
      <c r="BM141" s="55"/>
      <c r="BN141" s="58"/>
      <c r="BO141" s="55"/>
      <c r="BP141" s="55"/>
      <c r="BQ141" s="58"/>
      <c r="BR141" s="55"/>
      <c r="BS141" s="55"/>
      <c r="BT141" s="58"/>
      <c r="BU141" s="55"/>
      <c r="BV141" s="55"/>
      <c r="BW141" s="58"/>
      <c r="BX141" s="55"/>
      <c r="BY141" s="55"/>
    </row>
    <row r="142" spans="1:77" hidden="1" x14ac:dyDescent="0.2">
      <c r="A142" s="4">
        <v>2</v>
      </c>
      <c r="B142" s="4" t="str">
        <f>B125</f>
        <v>VolleyOneAcademy 17-Jon</v>
      </c>
      <c r="C142" s="4">
        <f>VLOOKUP(B142,AU$2:AY$7,4,FALSE)</f>
        <v>2345.8418697032776</v>
      </c>
      <c r="D142" s="4">
        <f>IF(A142=B132,B147,IF(A142=D132,D147,C142))</f>
        <v>2345.8418697032776</v>
      </c>
      <c r="G142" s="4">
        <f>IF(A142=E132,E147,IF(A142=G132,G147,D142))</f>
        <v>2331.6658262868896</v>
      </c>
      <c r="J142" s="4">
        <f>IF(A142=H132,H147,IF(A142=J132,J147,G142))</f>
        <v>2331.6658262868896</v>
      </c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T142" s="4" t="str">
        <f>B143</f>
        <v>SC Midlands 17 Black</v>
      </c>
      <c r="AU142" s="4">
        <f>J143</f>
        <v>2383.1397139572923</v>
      </c>
      <c r="AW142" s="58"/>
      <c r="AX142" s="55"/>
      <c r="AY142" s="55"/>
      <c r="AZ142" s="55"/>
      <c r="BA142" s="55"/>
      <c r="BB142" s="58"/>
      <c r="BC142" s="55"/>
      <c r="BD142" s="55"/>
      <c r="BE142" s="58"/>
      <c r="BF142" s="55"/>
      <c r="BG142" s="55"/>
      <c r="BH142" s="58"/>
      <c r="BI142" s="55"/>
      <c r="BJ142" s="55"/>
      <c r="BK142" s="58"/>
      <c r="BL142" s="55"/>
      <c r="BM142" s="55"/>
      <c r="BN142" s="58"/>
      <c r="BO142" s="55"/>
      <c r="BP142" s="55"/>
      <c r="BQ142" s="58"/>
      <c r="BR142" s="55"/>
      <c r="BS142" s="55"/>
      <c r="BT142" s="58"/>
      <c r="BU142" s="55"/>
      <c r="BV142" s="55"/>
      <c r="BW142" s="58"/>
      <c r="BX142" s="55"/>
      <c r="BY142" s="55"/>
    </row>
    <row r="143" spans="1:77" hidden="1" x14ac:dyDescent="0.2">
      <c r="A143" s="4">
        <v>3</v>
      </c>
      <c r="B143" s="4" t="str">
        <f>B126</f>
        <v>SC Midlands 17 Black</v>
      </c>
      <c r="C143" s="4">
        <f>VLOOKUP(B143,AU$2:AY$7,4,FALSE)</f>
        <v>2385.6215020953255</v>
      </c>
      <c r="D143" s="4">
        <f>IF(A143=B132,B147,IF(A143=D132,D147,C143))</f>
        <v>2385.6215020953255</v>
      </c>
      <c r="G143" s="4">
        <f>IF(A143=E132,E147,IF(A143=G132,G147,D143))</f>
        <v>2399.7975455117135</v>
      </c>
      <c r="J143" s="4">
        <f>IF(A143=H132,H147,IF(A143=J132,J147,G143))</f>
        <v>2383.1397139572923</v>
      </c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T143" s="4" t="str">
        <f>B144</f>
        <v>Beaufort Seventeens</v>
      </c>
      <c r="AU143" s="4">
        <f>J144</f>
        <v>2385.4518972414598</v>
      </c>
      <c r="AW143" s="58"/>
      <c r="AX143" s="55"/>
      <c r="AY143" s="55"/>
      <c r="AZ143" s="55"/>
      <c r="BA143" s="55"/>
      <c r="BB143" s="58"/>
      <c r="BC143" s="55"/>
      <c r="BD143" s="55"/>
      <c r="BE143" s="58"/>
      <c r="BF143" s="55"/>
      <c r="BG143" s="55"/>
      <c r="BH143" s="58"/>
      <c r="BI143" s="55"/>
      <c r="BJ143" s="55"/>
      <c r="BK143" s="58"/>
      <c r="BL143" s="55"/>
      <c r="BM143" s="55"/>
      <c r="BN143" s="58"/>
      <c r="BO143" s="55"/>
      <c r="BP143" s="55"/>
      <c r="BQ143" s="58"/>
      <c r="BR143" s="55"/>
      <c r="BS143" s="55"/>
      <c r="BT143" s="58"/>
      <c r="BU143" s="55"/>
      <c r="BV143" s="55"/>
      <c r="BW143" s="58"/>
      <c r="BX143" s="55"/>
      <c r="BY143" s="55"/>
    </row>
    <row r="144" spans="1:77" hidden="1" x14ac:dyDescent="0.2">
      <c r="A144" s="4">
        <v>4</v>
      </c>
      <c r="B144" s="4" t="str">
        <f>B127</f>
        <v>Beaufort Seventeens</v>
      </c>
      <c r="C144" s="4">
        <f>VLOOKUP(B144,AU$2:AY$7,4,FALSE)</f>
        <v>2403.0662917192458</v>
      </c>
      <c r="D144" s="4">
        <f>IF(A144=B132,B147,IF(A144=D132,D147,C144))</f>
        <v>2385.4518972414598</v>
      </c>
      <c r="G144" s="4">
        <f>IF(A144=E132,E147,IF(A144=G132,G147,D144))</f>
        <v>2385.4518972414598</v>
      </c>
      <c r="J144" s="4">
        <f>IF(A144=H132,H147,IF(A144=J132,J147,G144))</f>
        <v>2385.4518972414598</v>
      </c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T144" s="4">
        <f>W141</f>
        <v>0</v>
      </c>
      <c r="AU144" s="4">
        <f>AE141</f>
        <v>0</v>
      </c>
      <c r="AW144" s="58"/>
      <c r="AX144" s="55"/>
      <c r="AY144" s="55"/>
      <c r="AZ144" s="55"/>
      <c r="BA144" s="55"/>
      <c r="BB144" s="58"/>
      <c r="BC144" s="55"/>
      <c r="BD144" s="55"/>
      <c r="BE144" s="58"/>
      <c r="BF144" s="55"/>
      <c r="BG144" s="55"/>
      <c r="BH144" s="58"/>
      <c r="BI144" s="55"/>
      <c r="BJ144" s="55"/>
      <c r="BK144" s="58"/>
      <c r="BL144" s="55"/>
      <c r="BM144" s="55"/>
      <c r="BN144" s="58"/>
      <c r="BO144" s="55"/>
      <c r="BP144" s="55"/>
      <c r="BQ144" s="58"/>
      <c r="BR144" s="55"/>
      <c r="BS144" s="55"/>
      <c r="BT144" s="58"/>
      <c r="BU144" s="55"/>
      <c r="BV144" s="55"/>
      <c r="BW144" s="58"/>
      <c r="BX144" s="55"/>
      <c r="BY144" s="55"/>
    </row>
    <row r="145" spans="1:77" hidden="1" x14ac:dyDescent="0.2">
      <c r="A145" s="4" t="s">
        <v>116</v>
      </c>
      <c r="B145" s="4">
        <f>VLOOKUP(B132,$A141:$J144,3,FALSE)</f>
        <v>2367.8904632427862</v>
      </c>
      <c r="D145" s="4">
        <f>VLOOKUP(D132,$A141:$J144,3,FALSE)</f>
        <v>2403.0662917192458</v>
      </c>
      <c r="E145" s="4">
        <f>VLOOKUP(E132,$A141:$J144,4,FALSE)</f>
        <v>2345.8418697032776</v>
      </c>
      <c r="G145" s="4">
        <f>VLOOKUP(G132,$A141:$J144,4,FALSE)</f>
        <v>2385.6215020953255</v>
      </c>
      <c r="H145" s="4">
        <f>VLOOKUP(H132,$A141:$J144,7,FALSE)</f>
        <v>2385.5048577205721</v>
      </c>
      <c r="J145" s="4">
        <f>VLOOKUP(J132,$A141:$J144,7,FALSE)</f>
        <v>2399.7975455117135</v>
      </c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T145" s="4">
        <f>W142</f>
        <v>0</v>
      </c>
      <c r="AU145" s="4">
        <f>AE142</f>
        <v>0</v>
      </c>
      <c r="AW145" s="58"/>
      <c r="AX145" s="55"/>
      <c r="AY145" s="55"/>
      <c r="AZ145" s="55"/>
      <c r="BA145" s="55"/>
      <c r="BB145" s="58"/>
      <c r="BC145" s="55"/>
      <c r="BD145" s="55"/>
      <c r="BE145" s="58"/>
      <c r="BF145" s="55"/>
      <c r="BG145" s="55"/>
      <c r="BH145" s="58"/>
      <c r="BI145" s="55"/>
      <c r="BJ145" s="55"/>
      <c r="BK145" s="58"/>
      <c r="BL145" s="55"/>
      <c r="BM145" s="55"/>
      <c r="BN145" s="58"/>
      <c r="BO145" s="55"/>
      <c r="BP145" s="55"/>
      <c r="BQ145" s="58"/>
      <c r="BR145" s="55"/>
      <c r="BS145" s="55"/>
      <c r="BT145" s="58"/>
      <c r="BU145" s="55"/>
      <c r="BV145" s="55"/>
      <c r="BW145" s="58"/>
      <c r="BX145" s="55"/>
      <c r="BY145" s="55"/>
    </row>
    <row r="146" spans="1:77" hidden="1" x14ac:dyDescent="0.2">
      <c r="A146" s="69" t="s">
        <v>117</v>
      </c>
      <c r="B146" s="69">
        <f>IF(OR(B136&gt;0,D136&gt;0),1/(1+(10^-((B145-D145)/400)))*(B136+D136),0)</f>
        <v>0.89910034513838366</v>
      </c>
      <c r="C146" s="69"/>
      <c r="D146" s="69">
        <f>IF(OR(B136&gt;0,D136&gt;0),1/(1+(10^-((D145-B145)/400)))*(B136+D136),0)</f>
        <v>1.1008996548616163</v>
      </c>
      <c r="E146" s="69">
        <f>IF(OR(E136&gt;0,G136&gt;0),1/(1+(10^-((E145-G145)/400)))*(E136+G136),0)</f>
        <v>0.88600271352424587</v>
      </c>
      <c r="F146" s="69"/>
      <c r="G146" s="69">
        <f>IF(OR(E136&gt;0,G136&gt;0),1/(1+(10^-((G145-E145)/400)))*(E136+G136),0)</f>
        <v>1.1139972864757541</v>
      </c>
      <c r="H146" s="69">
        <f>IF(OR(H136&gt;0,J136&gt;0),1/(1+(10^-((H145-J145)/400)))*(H136+J136),0)</f>
        <v>0.95888552784866699</v>
      </c>
      <c r="I146" s="69"/>
      <c r="J146" s="69">
        <f>IF(OR(H136&gt;0,J136&gt;0),1/(1+(10^-((J145-H145)/400)))*(H136+J136),0)</f>
        <v>1.041114472151333</v>
      </c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T146" s="4">
        <f>W143</f>
        <v>0</v>
      </c>
      <c r="AU146" s="4">
        <f>AE143</f>
        <v>0</v>
      </c>
      <c r="AW146" s="58"/>
      <c r="AX146" s="55"/>
      <c r="AY146" s="55"/>
      <c r="AZ146" s="55"/>
      <c r="BA146" s="55"/>
      <c r="BB146" s="58"/>
      <c r="BC146" s="55"/>
      <c r="BD146" s="55"/>
      <c r="BE146" s="58"/>
      <c r="BF146" s="55"/>
      <c r="BG146" s="55"/>
      <c r="BH146" s="58"/>
      <c r="BI146" s="55"/>
      <c r="BJ146" s="55"/>
      <c r="BK146" s="58"/>
      <c r="BL146" s="55"/>
      <c r="BM146" s="55"/>
      <c r="BN146" s="58"/>
      <c r="BO146" s="55"/>
      <c r="BP146" s="55"/>
      <c r="BQ146" s="58"/>
      <c r="BR146" s="55"/>
      <c r="BS146" s="55"/>
      <c r="BT146" s="58"/>
      <c r="BU146" s="55"/>
      <c r="BV146" s="55"/>
      <c r="BW146" s="58"/>
      <c r="BX146" s="55"/>
      <c r="BY146" s="55"/>
    </row>
    <row r="147" spans="1:77" hidden="1" x14ac:dyDescent="0.2">
      <c r="A147" s="75" t="s">
        <v>118</v>
      </c>
      <c r="B147" s="75">
        <f>B145+(B136-B146)*$BA$2</f>
        <v>2385.5048577205721</v>
      </c>
      <c r="C147" s="75"/>
      <c r="D147" s="75">
        <f>D145+(D136-D146)*$BA$2</f>
        <v>2385.4518972414598</v>
      </c>
      <c r="E147" s="75">
        <f>E145+(E136-E146)*$BA$2</f>
        <v>2331.6658262868896</v>
      </c>
      <c r="G147" s="75">
        <f>G145+(G136-G146)*$BA$2</f>
        <v>2399.7975455117135</v>
      </c>
      <c r="H147" s="75">
        <f>H145+(H136-H146)*$BA$2</f>
        <v>2402.1626892749932</v>
      </c>
      <c r="J147" s="75">
        <f>J145+(J136-J146)*$BA$2</f>
        <v>2383.1397139572923</v>
      </c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T147" s="4">
        <f>W144</f>
        <v>0</v>
      </c>
      <c r="AU147" s="4">
        <f>AE144</f>
        <v>0</v>
      </c>
      <c r="AW147" s="58"/>
      <c r="AX147" s="55"/>
      <c r="AY147" s="55"/>
      <c r="AZ147" s="55"/>
      <c r="BA147" s="55"/>
      <c r="BB147" s="58"/>
      <c r="BC147" s="55"/>
      <c r="BD147" s="55"/>
      <c r="BE147" s="58"/>
      <c r="BF147" s="55"/>
      <c r="BG147" s="55"/>
      <c r="BH147" s="58"/>
      <c r="BI147" s="55"/>
      <c r="BJ147" s="55"/>
      <c r="BK147" s="58"/>
      <c r="BL147" s="55"/>
      <c r="BM147" s="55"/>
      <c r="BN147" s="58"/>
      <c r="BO147" s="55"/>
      <c r="BP147" s="55"/>
      <c r="BQ147" s="58"/>
      <c r="BR147" s="55"/>
      <c r="BS147" s="55"/>
      <c r="BT147" s="58"/>
      <c r="BU147" s="55"/>
      <c r="BV147" s="55"/>
      <c r="BW147" s="58"/>
      <c r="BX147" s="55"/>
      <c r="BY147" s="55"/>
    </row>
    <row r="148" spans="1:77" x14ac:dyDescent="0.2">
      <c r="A148" s="503" t="s">
        <v>169</v>
      </c>
      <c r="B148" s="503"/>
      <c r="C148" s="503"/>
      <c r="D148" s="503"/>
      <c r="E148" s="503"/>
      <c r="F148" s="503"/>
      <c r="G148" s="503"/>
      <c r="H148" s="503"/>
      <c r="I148" s="503"/>
      <c r="J148" s="503"/>
      <c r="K148" s="503"/>
      <c r="L148" s="503"/>
      <c r="M148" s="503"/>
      <c r="R148" s="102"/>
      <c r="S148" s="10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02"/>
      <c r="AI148" s="102"/>
      <c r="AJ148" s="102"/>
      <c r="AZ148" s="55"/>
      <c r="BA148" s="55"/>
    </row>
    <row r="149" spans="1:77" x14ac:dyDescent="0.2">
      <c r="AT149" s="55"/>
      <c r="AU149" s="55"/>
      <c r="AV149" s="55"/>
      <c r="AZ149" s="55"/>
      <c r="BA149" s="55"/>
    </row>
    <row r="150" spans="1:77" x14ac:dyDescent="0.2">
      <c r="AT150" s="55"/>
      <c r="AU150" s="55"/>
      <c r="AV150" s="55"/>
      <c r="AZ150" s="55"/>
      <c r="BA150" s="55"/>
    </row>
    <row r="151" spans="1:77" x14ac:dyDescent="0.2">
      <c r="AT151" s="55"/>
      <c r="AU151" s="55"/>
      <c r="AV151" s="55"/>
      <c r="AZ151" s="55"/>
      <c r="BA151" s="55"/>
    </row>
    <row r="152" spans="1:77" x14ac:dyDescent="0.2">
      <c r="AT152" s="55"/>
      <c r="AU152" s="55"/>
      <c r="AV152" s="55"/>
      <c r="AZ152" s="55"/>
      <c r="BA152" s="55"/>
    </row>
    <row r="153" spans="1:77" x14ac:dyDescent="0.2">
      <c r="AT153" s="55"/>
      <c r="AU153" s="55"/>
      <c r="AV153" s="55"/>
      <c r="AZ153" s="55"/>
      <c r="BA153" s="55"/>
    </row>
    <row r="154" spans="1:77" x14ac:dyDescent="0.2">
      <c r="AT154" s="55"/>
      <c r="AU154" s="55"/>
      <c r="AV154" s="55"/>
      <c r="AZ154" s="55"/>
      <c r="BA154" s="55"/>
    </row>
    <row r="155" spans="1:77" x14ac:dyDescent="0.2">
      <c r="AT155" s="55"/>
      <c r="AU155" s="55"/>
      <c r="AV155" s="55"/>
      <c r="AZ155" s="55"/>
      <c r="BA155" s="55"/>
    </row>
    <row r="156" spans="1:77" x14ac:dyDescent="0.2">
      <c r="AT156" s="55"/>
      <c r="AU156" s="55"/>
      <c r="AV156" s="55"/>
      <c r="AZ156" s="55"/>
      <c r="BA156" s="55"/>
    </row>
    <row r="157" spans="1:77" x14ac:dyDescent="0.2">
      <c r="AT157" s="55"/>
      <c r="AU157" s="55"/>
      <c r="AV157" s="55"/>
      <c r="AZ157" s="55"/>
      <c r="BA157" s="55"/>
    </row>
    <row r="158" spans="1:77" x14ac:dyDescent="0.2">
      <c r="AT158" s="55"/>
      <c r="AU158" s="55"/>
      <c r="AV158" s="55"/>
      <c r="AZ158" s="55"/>
      <c r="BA158" s="55"/>
    </row>
    <row r="159" spans="1:77" x14ac:dyDescent="0.2">
      <c r="AT159" s="55"/>
      <c r="AU159" s="55"/>
      <c r="AV159" s="55"/>
      <c r="AZ159" s="55"/>
      <c r="BA159" s="55"/>
    </row>
    <row r="160" spans="1:77" x14ac:dyDescent="0.2">
      <c r="AT160" s="55"/>
      <c r="AU160" s="55"/>
      <c r="AV160" s="55"/>
      <c r="AZ160" s="55"/>
      <c r="BA160" s="55"/>
    </row>
    <row r="161" spans="46:53" x14ac:dyDescent="0.2">
      <c r="AT161" s="55"/>
      <c r="AU161" s="55"/>
      <c r="AV161" s="55"/>
      <c r="AZ161" s="55"/>
      <c r="BA161" s="55"/>
    </row>
    <row r="162" spans="46:53" x14ac:dyDescent="0.2">
      <c r="AT162" s="55"/>
      <c r="AU162" s="55"/>
      <c r="AV162" s="55"/>
    </row>
    <row r="163" spans="46:53" x14ac:dyDescent="0.2">
      <c r="AT163" s="55"/>
      <c r="AU163" s="55"/>
      <c r="AV163" s="55"/>
      <c r="AZ163" s="63"/>
      <c r="BA163" s="63"/>
    </row>
    <row r="164" spans="46:53" x14ac:dyDescent="0.2">
      <c r="AT164" s="55"/>
      <c r="AU164" s="55"/>
      <c r="AV164" s="55"/>
      <c r="AZ164" s="63"/>
      <c r="BA164" s="63"/>
    </row>
    <row r="165" spans="46:53" x14ac:dyDescent="0.2">
      <c r="AT165" s="55"/>
      <c r="AU165" s="55"/>
      <c r="AV165" s="55"/>
      <c r="AZ165" s="63"/>
      <c r="BA165" s="63"/>
    </row>
    <row r="166" spans="46:53" x14ac:dyDescent="0.2">
      <c r="AT166" s="55"/>
      <c r="AU166" s="55"/>
      <c r="AV166" s="55"/>
      <c r="AZ166" s="63"/>
      <c r="BA166" s="63"/>
    </row>
    <row r="167" spans="46:53" x14ac:dyDescent="0.2">
      <c r="AT167" s="55"/>
      <c r="AU167" s="55"/>
      <c r="AV167" s="55"/>
      <c r="AZ167" s="63"/>
      <c r="BA167" s="63"/>
    </row>
    <row r="168" spans="46:53" x14ac:dyDescent="0.2">
      <c r="AT168" s="55"/>
      <c r="AU168" s="55"/>
      <c r="AV168" s="55"/>
      <c r="AZ168" s="63"/>
      <c r="BA168" s="63"/>
    </row>
    <row r="169" spans="46:53" x14ac:dyDescent="0.2">
      <c r="AT169" s="55"/>
      <c r="AU169" s="55"/>
      <c r="AV169" s="55"/>
      <c r="AZ169" s="63"/>
      <c r="BA169" s="63"/>
    </row>
    <row r="170" spans="46:53" x14ac:dyDescent="0.2">
      <c r="AT170" s="55"/>
      <c r="AU170" s="55"/>
      <c r="AV170" s="55"/>
      <c r="AZ170" s="63"/>
      <c r="BA170" s="63"/>
    </row>
    <row r="171" spans="46:53" x14ac:dyDescent="0.2">
      <c r="AT171" s="55"/>
      <c r="AU171" s="55"/>
      <c r="AV171" s="55"/>
      <c r="AZ171" s="72"/>
      <c r="BA171" s="72"/>
    </row>
    <row r="172" spans="46:53" x14ac:dyDescent="0.2">
      <c r="AT172" s="55"/>
      <c r="AU172" s="55"/>
      <c r="AV172" s="55"/>
      <c r="AZ172" s="78"/>
      <c r="BA172" s="78"/>
    </row>
    <row r="173" spans="46:53" x14ac:dyDescent="0.2">
      <c r="AT173" s="55"/>
      <c r="AU173" s="55"/>
      <c r="AV173" s="55"/>
      <c r="AZ173" s="78"/>
      <c r="BA173" s="78"/>
    </row>
    <row r="174" spans="46:53" x14ac:dyDescent="0.2">
      <c r="AT174" s="63"/>
      <c r="AU174" s="63"/>
      <c r="AV174" s="63"/>
      <c r="AZ174" s="63"/>
      <c r="BA174" s="63"/>
    </row>
    <row r="175" spans="46:53" x14ac:dyDescent="0.2">
      <c r="AT175" s="63"/>
      <c r="AU175" s="63"/>
      <c r="AV175" s="63"/>
      <c r="AZ175" s="63"/>
      <c r="BA175" s="63"/>
    </row>
    <row r="200" spans="46:53" x14ac:dyDescent="0.2">
      <c r="AT200" s="55"/>
      <c r="AU200" s="55"/>
      <c r="AV200" s="55"/>
    </row>
    <row r="201" spans="46:53" x14ac:dyDescent="0.2">
      <c r="AT201" s="55"/>
      <c r="AU201" s="55"/>
      <c r="AV201" s="55"/>
      <c r="AZ201" s="55"/>
      <c r="BA201" s="55"/>
    </row>
    <row r="202" spans="46:53" x14ac:dyDescent="0.2">
      <c r="AT202" s="55"/>
      <c r="AU202" s="55"/>
      <c r="AV202" s="55"/>
      <c r="AZ202" s="55"/>
      <c r="BA202" s="55"/>
    </row>
    <row r="203" spans="46:53" x14ac:dyDescent="0.2">
      <c r="AT203" s="55"/>
      <c r="AU203" s="55"/>
      <c r="AV203" s="55"/>
      <c r="AZ203" s="55"/>
      <c r="BA203" s="55"/>
    </row>
    <row r="204" spans="46:53" x14ac:dyDescent="0.2">
      <c r="AT204" s="55"/>
      <c r="AU204" s="55"/>
      <c r="AV204" s="55"/>
      <c r="AZ204" s="55"/>
      <c r="BA204" s="55"/>
    </row>
    <row r="205" spans="46:53" x14ac:dyDescent="0.2">
      <c r="AT205" s="55"/>
      <c r="AU205" s="55"/>
      <c r="AV205" s="55"/>
      <c r="AZ205" s="55"/>
      <c r="BA205" s="55"/>
    </row>
    <row r="206" spans="46:53" x14ac:dyDescent="0.2">
      <c r="AT206" s="55"/>
      <c r="AU206" s="55"/>
      <c r="AV206" s="55"/>
      <c r="AZ206" s="55"/>
      <c r="BA206" s="55"/>
    </row>
    <row r="207" spans="46:53" x14ac:dyDescent="0.2">
      <c r="AT207" s="55"/>
      <c r="AU207" s="55"/>
      <c r="AV207" s="55"/>
      <c r="AZ207" s="55"/>
      <c r="BA207" s="55"/>
    </row>
    <row r="208" spans="46:53" x14ac:dyDescent="0.2">
      <c r="AT208" s="55"/>
      <c r="AU208" s="55"/>
      <c r="AV208" s="55"/>
      <c r="AZ208" s="55"/>
      <c r="BA208" s="55"/>
    </row>
    <row r="209" spans="46:53" x14ac:dyDescent="0.2">
      <c r="AT209" s="55"/>
      <c r="AU209" s="55"/>
      <c r="AV209" s="55"/>
      <c r="AZ209" s="55"/>
      <c r="BA209" s="55"/>
    </row>
    <row r="210" spans="46:53" x14ac:dyDescent="0.2">
      <c r="AT210" s="55"/>
      <c r="AU210" s="55"/>
      <c r="AV210" s="55"/>
      <c r="AZ210" s="55"/>
      <c r="BA210" s="55"/>
    </row>
    <row r="211" spans="46:53" x14ac:dyDescent="0.2">
      <c r="AT211" s="55"/>
      <c r="AU211" s="55"/>
      <c r="AV211" s="55"/>
      <c r="AZ211" s="55"/>
      <c r="BA211" s="55"/>
    </row>
    <row r="212" spans="46:53" x14ac:dyDescent="0.2">
      <c r="AT212" s="55"/>
      <c r="AU212" s="55"/>
      <c r="AV212" s="55"/>
      <c r="AZ212" s="55"/>
      <c r="BA212" s="55"/>
    </row>
    <row r="213" spans="46:53" x14ac:dyDescent="0.2">
      <c r="AT213" s="55"/>
      <c r="AU213" s="55"/>
      <c r="AV213" s="55"/>
      <c r="AZ213" s="55"/>
      <c r="BA213" s="55"/>
    </row>
    <row r="214" spans="46:53" x14ac:dyDescent="0.2">
      <c r="AT214" s="55"/>
      <c r="AU214" s="55"/>
      <c r="AV214" s="55"/>
      <c r="AZ214" s="55"/>
      <c r="BA214" s="55"/>
    </row>
    <row r="215" spans="46:53" x14ac:dyDescent="0.2">
      <c r="AT215" s="55"/>
      <c r="AU215" s="55"/>
      <c r="AV215" s="55"/>
      <c r="AZ215" s="55"/>
      <c r="BA215" s="55"/>
    </row>
    <row r="216" spans="46:53" x14ac:dyDescent="0.2">
      <c r="AT216" s="55"/>
      <c r="AU216" s="55"/>
      <c r="AV216" s="55"/>
      <c r="AZ216" s="55"/>
      <c r="BA216" s="55"/>
    </row>
    <row r="217" spans="46:53" x14ac:dyDescent="0.2">
      <c r="AT217" s="55"/>
      <c r="AU217" s="55"/>
      <c r="AV217" s="55"/>
      <c r="AZ217" s="55"/>
      <c r="BA217" s="55"/>
    </row>
    <row r="218" spans="46:53" x14ac:dyDescent="0.2">
      <c r="AT218" s="55"/>
      <c r="AU218" s="55"/>
      <c r="AV218" s="55"/>
      <c r="AZ218" s="55"/>
      <c r="BA218" s="55"/>
    </row>
    <row r="219" spans="46:53" x14ac:dyDescent="0.2">
      <c r="AT219" s="55"/>
      <c r="AU219" s="55"/>
      <c r="AV219" s="55"/>
      <c r="AZ219" s="55"/>
      <c r="BA219" s="55"/>
    </row>
    <row r="220" spans="46:53" x14ac:dyDescent="0.2">
      <c r="AT220" s="55"/>
      <c r="AU220" s="55"/>
      <c r="AV220" s="55"/>
      <c r="AZ220" s="55"/>
      <c r="BA220" s="55"/>
    </row>
    <row r="221" spans="46:53" x14ac:dyDescent="0.2">
      <c r="AT221" s="55"/>
      <c r="AU221" s="55"/>
      <c r="AV221" s="55"/>
      <c r="AZ221" s="55"/>
      <c r="BA221" s="55"/>
    </row>
    <row r="222" spans="46:53" x14ac:dyDescent="0.2">
      <c r="AT222" s="55"/>
      <c r="AU222" s="55"/>
      <c r="AV222" s="55"/>
      <c r="AZ222" s="55"/>
      <c r="BA222" s="55"/>
    </row>
    <row r="223" spans="46:53" x14ac:dyDescent="0.2">
      <c r="AT223" s="55"/>
      <c r="AU223" s="55"/>
      <c r="AV223" s="55"/>
      <c r="AZ223" s="55"/>
      <c r="BA223" s="55"/>
    </row>
    <row r="224" spans="46:53" x14ac:dyDescent="0.2">
      <c r="AT224" s="55"/>
      <c r="AU224" s="55"/>
      <c r="AV224" s="55"/>
      <c r="AZ224" s="55"/>
      <c r="BA224" s="55"/>
    </row>
    <row r="225" spans="46:53" x14ac:dyDescent="0.2">
      <c r="AT225" s="55"/>
      <c r="AU225" s="55"/>
      <c r="AV225" s="55"/>
      <c r="AZ225" s="55"/>
      <c r="BA225" s="55"/>
    </row>
    <row r="226" spans="46:53" x14ac:dyDescent="0.2">
      <c r="AT226" s="55"/>
      <c r="AU226" s="55"/>
      <c r="AV226" s="55"/>
      <c r="AZ226" s="55"/>
      <c r="BA226" s="55"/>
    </row>
    <row r="227" spans="46:53" x14ac:dyDescent="0.2">
      <c r="AT227" s="55"/>
      <c r="AU227" s="55"/>
      <c r="AV227" s="55"/>
      <c r="AZ227" s="55"/>
      <c r="BA227" s="55"/>
    </row>
    <row r="228" spans="46:53" x14ac:dyDescent="0.2">
      <c r="AT228" s="55"/>
      <c r="AU228" s="55"/>
      <c r="AV228" s="55"/>
      <c r="AZ228" s="55"/>
      <c r="BA228" s="55"/>
    </row>
    <row r="229" spans="46:53" x14ac:dyDescent="0.2">
      <c r="AT229" s="55"/>
      <c r="AU229" s="55"/>
      <c r="AV229" s="55"/>
      <c r="AZ229" s="55"/>
      <c r="BA229" s="55"/>
    </row>
    <row r="230" spans="46:53" x14ac:dyDescent="0.2">
      <c r="AT230" s="55"/>
      <c r="AU230" s="55"/>
      <c r="AV230" s="55"/>
      <c r="AZ230" s="55"/>
      <c r="BA230" s="55"/>
    </row>
    <row r="231" spans="46:53" x14ac:dyDescent="0.2">
      <c r="AT231" s="55"/>
      <c r="AU231" s="55"/>
      <c r="AV231" s="55"/>
      <c r="AZ231" s="55"/>
      <c r="BA231" s="55"/>
    </row>
    <row r="232" spans="46:53" x14ac:dyDescent="0.2">
      <c r="AT232" s="55"/>
      <c r="AU232" s="55"/>
      <c r="AV232" s="55"/>
      <c r="AZ232" s="55"/>
      <c r="BA232" s="55"/>
    </row>
    <row r="233" spans="46:53" x14ac:dyDescent="0.2">
      <c r="AT233" s="55"/>
      <c r="AU233" s="55"/>
      <c r="AV233" s="55"/>
      <c r="AZ233" s="55"/>
      <c r="BA233" s="55"/>
    </row>
    <row r="234" spans="46:53" x14ac:dyDescent="0.2">
      <c r="AT234" s="55"/>
      <c r="AU234" s="55"/>
      <c r="AV234" s="55"/>
      <c r="AZ234" s="55"/>
      <c r="BA234" s="55"/>
    </row>
    <row r="235" spans="46:53" x14ac:dyDescent="0.2">
      <c r="AT235" s="55"/>
      <c r="AU235" s="55"/>
      <c r="AV235" s="55"/>
      <c r="AZ235" s="55"/>
      <c r="BA235" s="55"/>
    </row>
    <row r="236" spans="46:53" x14ac:dyDescent="0.2">
      <c r="AT236" s="55"/>
      <c r="AU236" s="55"/>
      <c r="AV236" s="55"/>
      <c r="AZ236" s="55"/>
      <c r="BA236" s="55"/>
    </row>
    <row r="237" spans="46:53" x14ac:dyDescent="0.2">
      <c r="AT237" s="55"/>
      <c r="AU237" s="55"/>
      <c r="AV237" s="55"/>
      <c r="AZ237" s="55"/>
      <c r="BA237" s="55"/>
    </row>
    <row r="238" spans="46:53" x14ac:dyDescent="0.2">
      <c r="AT238" s="55"/>
      <c r="AU238" s="55"/>
      <c r="AV238" s="55"/>
      <c r="AZ238" s="55"/>
      <c r="BA238" s="55"/>
    </row>
    <row r="239" spans="46:53" x14ac:dyDescent="0.2">
      <c r="AT239" s="55"/>
      <c r="AU239" s="55"/>
      <c r="AV239" s="55"/>
      <c r="AZ239" s="55"/>
      <c r="BA239" s="55"/>
    </row>
    <row r="240" spans="46:53" x14ac:dyDescent="0.2">
      <c r="AT240" s="55"/>
      <c r="AU240" s="55"/>
      <c r="AV240" s="55"/>
      <c r="AZ240" s="55"/>
      <c r="BA240" s="55"/>
    </row>
    <row r="241" spans="46:53" x14ac:dyDescent="0.2">
      <c r="AT241" s="55"/>
      <c r="AU241" s="55"/>
      <c r="AV241" s="55"/>
      <c r="AZ241" s="55"/>
      <c r="BA241" s="55"/>
    </row>
    <row r="242" spans="46:53" x14ac:dyDescent="0.2">
      <c r="AT242" s="55"/>
      <c r="AU242" s="55"/>
      <c r="AV242" s="55"/>
      <c r="AZ242" s="55"/>
      <c r="BA242" s="55"/>
    </row>
    <row r="243" spans="46:53" x14ac:dyDescent="0.2">
      <c r="AT243" s="55"/>
      <c r="AU243" s="55"/>
      <c r="AV243" s="55"/>
      <c r="AZ243" s="55"/>
      <c r="BA243" s="55"/>
    </row>
    <row r="244" spans="46:53" x14ac:dyDescent="0.2">
      <c r="AT244" s="55"/>
      <c r="AU244" s="55"/>
      <c r="AV244" s="55"/>
      <c r="AZ244" s="55"/>
      <c r="BA244" s="55"/>
    </row>
    <row r="245" spans="46:53" x14ac:dyDescent="0.2">
      <c r="AT245" s="55"/>
      <c r="AU245" s="55"/>
      <c r="AV245" s="55"/>
      <c r="AZ245" s="55"/>
      <c r="BA245" s="55"/>
    </row>
    <row r="246" spans="46:53" x14ac:dyDescent="0.2">
      <c r="AT246" s="63"/>
      <c r="AU246" s="63"/>
      <c r="AV246" s="63"/>
      <c r="AZ246" s="55"/>
      <c r="BA246" s="55"/>
    </row>
    <row r="247" spans="46:53" x14ac:dyDescent="0.2">
      <c r="AT247" s="63"/>
      <c r="AU247" s="63"/>
      <c r="AV247" s="63"/>
    </row>
    <row r="248" spans="46:53" x14ac:dyDescent="0.2">
      <c r="AZ248" s="63"/>
      <c r="BA248" s="63"/>
    </row>
    <row r="249" spans="46:53" x14ac:dyDescent="0.2">
      <c r="AZ249" s="63"/>
      <c r="BA249" s="63"/>
    </row>
    <row r="250" spans="46:53" x14ac:dyDescent="0.2">
      <c r="AZ250" s="63"/>
      <c r="BA250" s="63"/>
    </row>
    <row r="251" spans="46:53" x14ac:dyDescent="0.2">
      <c r="AZ251" s="63"/>
      <c r="BA251" s="63"/>
    </row>
    <row r="252" spans="46:53" x14ac:dyDescent="0.2">
      <c r="AZ252" s="63"/>
      <c r="BA252" s="63"/>
    </row>
    <row r="253" spans="46:53" x14ac:dyDescent="0.2">
      <c r="AZ253" s="63"/>
      <c r="BA253" s="63"/>
    </row>
    <row r="254" spans="46:53" x14ac:dyDescent="0.2">
      <c r="AZ254" s="63"/>
      <c r="BA254" s="63"/>
    </row>
    <row r="255" spans="46:53" x14ac:dyDescent="0.2">
      <c r="AZ255" s="63"/>
      <c r="BA255" s="63"/>
    </row>
    <row r="256" spans="46:53" x14ac:dyDescent="0.2">
      <c r="AZ256" s="72"/>
      <c r="BA256" s="72"/>
    </row>
    <row r="257" spans="46:53" x14ac:dyDescent="0.2">
      <c r="AZ257" s="78"/>
      <c r="BA257" s="78"/>
    </row>
    <row r="258" spans="46:53" x14ac:dyDescent="0.2">
      <c r="AZ258" s="78"/>
      <c r="BA258" s="78"/>
    </row>
    <row r="259" spans="46:53" x14ac:dyDescent="0.2">
      <c r="AZ259" s="63"/>
      <c r="BA259" s="63"/>
    </row>
    <row r="260" spans="46:53" x14ac:dyDescent="0.2">
      <c r="AZ260" s="63"/>
      <c r="BA260" s="63"/>
    </row>
    <row r="272" spans="46:53" x14ac:dyDescent="0.2">
      <c r="AT272" s="55"/>
      <c r="AU272" s="55"/>
      <c r="AV272" s="55"/>
    </row>
    <row r="273" spans="46:53" x14ac:dyDescent="0.2">
      <c r="AT273" s="55"/>
      <c r="AU273" s="55"/>
      <c r="AV273" s="55"/>
    </row>
    <row r="274" spans="46:53" x14ac:dyDescent="0.2">
      <c r="AT274" s="55"/>
      <c r="AU274" s="55"/>
      <c r="AV274" s="55"/>
    </row>
    <row r="275" spans="46:53" x14ac:dyDescent="0.2">
      <c r="AT275" s="55"/>
      <c r="AU275" s="55"/>
      <c r="AV275" s="55"/>
    </row>
    <row r="276" spans="46:53" x14ac:dyDescent="0.2">
      <c r="AT276" s="55"/>
      <c r="AU276" s="55"/>
      <c r="AV276" s="55"/>
    </row>
    <row r="277" spans="46:53" x14ac:dyDescent="0.2">
      <c r="AT277" s="55"/>
      <c r="AU277" s="55"/>
      <c r="AV277" s="55"/>
    </row>
    <row r="278" spans="46:53" x14ac:dyDescent="0.2">
      <c r="AT278" s="55"/>
      <c r="AU278" s="55"/>
      <c r="AV278" s="55"/>
    </row>
    <row r="279" spans="46:53" x14ac:dyDescent="0.2">
      <c r="AT279" s="55"/>
      <c r="AU279" s="55"/>
      <c r="AV279" s="55"/>
    </row>
    <row r="280" spans="46:53" x14ac:dyDescent="0.2">
      <c r="AT280" s="55"/>
      <c r="AU280" s="55"/>
      <c r="AV280" s="55"/>
    </row>
    <row r="281" spans="46:53" x14ac:dyDescent="0.2">
      <c r="AT281" s="55"/>
      <c r="AU281" s="55"/>
      <c r="AV281" s="55"/>
    </row>
    <row r="282" spans="46:53" x14ac:dyDescent="0.2">
      <c r="AT282" s="55"/>
      <c r="AU282" s="55"/>
      <c r="AV282" s="55"/>
    </row>
    <row r="283" spans="46:53" x14ac:dyDescent="0.2">
      <c r="AT283" s="55"/>
      <c r="AU283" s="55"/>
      <c r="AV283" s="55"/>
    </row>
    <row r="284" spans="46:53" x14ac:dyDescent="0.2">
      <c r="AT284" s="55"/>
      <c r="AU284" s="55"/>
      <c r="AV284" s="55"/>
    </row>
    <row r="285" spans="46:53" x14ac:dyDescent="0.2">
      <c r="AT285" s="55"/>
      <c r="AU285" s="55"/>
      <c r="AV285" s="55"/>
    </row>
    <row r="286" spans="46:53" x14ac:dyDescent="0.2">
      <c r="AT286" s="55"/>
      <c r="AU286" s="55"/>
      <c r="AV286" s="55"/>
      <c r="AZ286" s="55"/>
      <c r="BA286" s="55"/>
    </row>
    <row r="287" spans="46:53" x14ac:dyDescent="0.2">
      <c r="AT287" s="55"/>
      <c r="AU287" s="55"/>
      <c r="AV287" s="55"/>
      <c r="AZ287" s="55"/>
      <c r="BA287" s="55"/>
    </row>
    <row r="288" spans="46:53" x14ac:dyDescent="0.2">
      <c r="AT288" s="55"/>
      <c r="AU288" s="55"/>
      <c r="AV288" s="55"/>
      <c r="AZ288" s="55"/>
      <c r="BA288" s="55"/>
    </row>
    <row r="289" spans="46:53" x14ac:dyDescent="0.2">
      <c r="AT289" s="55"/>
      <c r="AU289" s="55"/>
      <c r="AV289" s="55"/>
      <c r="AZ289" s="55"/>
      <c r="BA289" s="55"/>
    </row>
    <row r="290" spans="46:53" x14ac:dyDescent="0.2">
      <c r="AT290" s="55"/>
      <c r="AU290" s="55"/>
      <c r="AV290" s="55"/>
      <c r="AZ290" s="55"/>
      <c r="BA290" s="55"/>
    </row>
    <row r="291" spans="46:53" x14ac:dyDescent="0.2">
      <c r="AT291" s="55"/>
      <c r="AU291" s="55"/>
      <c r="AV291" s="55"/>
      <c r="AZ291" s="55"/>
      <c r="BA291" s="55"/>
    </row>
    <row r="292" spans="46:53" x14ac:dyDescent="0.2">
      <c r="AT292" s="55"/>
      <c r="AU292" s="55"/>
      <c r="AV292" s="55"/>
      <c r="AZ292" s="55"/>
      <c r="BA292" s="55"/>
    </row>
    <row r="293" spans="46:53" x14ac:dyDescent="0.2">
      <c r="AT293" s="55"/>
      <c r="AU293" s="55"/>
      <c r="AV293" s="55"/>
      <c r="AZ293" s="55"/>
      <c r="BA293" s="55"/>
    </row>
    <row r="294" spans="46:53" x14ac:dyDescent="0.2">
      <c r="AT294" s="55"/>
      <c r="AU294" s="55"/>
      <c r="AV294" s="55"/>
      <c r="AZ294" s="55"/>
      <c r="BA294" s="55"/>
    </row>
    <row r="295" spans="46:53" x14ac:dyDescent="0.2">
      <c r="AT295" s="55"/>
      <c r="AU295" s="55"/>
      <c r="AV295" s="55"/>
      <c r="AZ295" s="55"/>
      <c r="BA295" s="55"/>
    </row>
    <row r="296" spans="46:53" x14ac:dyDescent="0.2">
      <c r="AT296" s="55"/>
      <c r="AU296" s="55"/>
      <c r="AV296" s="55"/>
      <c r="AZ296" s="55"/>
      <c r="BA296" s="55"/>
    </row>
    <row r="297" spans="46:53" x14ac:dyDescent="0.2">
      <c r="AT297" s="55"/>
      <c r="AU297" s="55"/>
      <c r="AV297" s="55"/>
      <c r="AZ297" s="55"/>
      <c r="BA297" s="55"/>
    </row>
    <row r="298" spans="46:53" x14ac:dyDescent="0.2">
      <c r="AT298" s="55"/>
      <c r="AU298" s="55"/>
      <c r="AV298" s="55"/>
      <c r="AZ298" s="55"/>
      <c r="BA298" s="55"/>
    </row>
    <row r="299" spans="46:53" x14ac:dyDescent="0.2">
      <c r="AT299" s="55"/>
      <c r="AU299" s="55"/>
      <c r="AV299" s="55"/>
      <c r="AZ299" s="55"/>
      <c r="BA299" s="55"/>
    </row>
    <row r="300" spans="46:53" x14ac:dyDescent="0.2">
      <c r="AT300" s="55"/>
      <c r="AU300" s="55"/>
      <c r="AV300" s="55"/>
      <c r="AZ300" s="55"/>
      <c r="BA300" s="55"/>
    </row>
    <row r="301" spans="46:53" x14ac:dyDescent="0.2">
      <c r="AT301" s="55"/>
      <c r="AU301" s="55"/>
      <c r="AV301" s="55"/>
      <c r="AZ301" s="55"/>
      <c r="BA301" s="55"/>
    </row>
    <row r="302" spans="46:53" x14ac:dyDescent="0.2">
      <c r="AT302" s="55"/>
      <c r="AU302" s="55"/>
      <c r="AV302" s="55"/>
      <c r="AZ302" s="55"/>
      <c r="BA302" s="55"/>
    </row>
    <row r="303" spans="46:53" x14ac:dyDescent="0.2">
      <c r="AT303" s="55"/>
      <c r="AU303" s="55"/>
      <c r="AV303" s="55"/>
      <c r="AZ303" s="55"/>
      <c r="BA303" s="55"/>
    </row>
    <row r="304" spans="46:53" x14ac:dyDescent="0.2">
      <c r="AT304" s="55"/>
      <c r="AU304" s="55"/>
      <c r="AV304" s="55"/>
      <c r="AZ304" s="55"/>
      <c r="BA304" s="55"/>
    </row>
    <row r="305" spans="46:53" x14ac:dyDescent="0.2">
      <c r="AT305" s="55"/>
      <c r="AU305" s="55"/>
      <c r="AV305" s="55"/>
      <c r="AZ305" s="55"/>
      <c r="BA305" s="55"/>
    </row>
    <row r="306" spans="46:53" x14ac:dyDescent="0.2">
      <c r="AT306" s="55"/>
      <c r="AU306" s="55"/>
      <c r="AV306" s="55"/>
      <c r="AZ306" s="55"/>
      <c r="BA306" s="55"/>
    </row>
    <row r="307" spans="46:53" x14ac:dyDescent="0.2">
      <c r="AT307" s="55"/>
      <c r="AU307" s="55"/>
      <c r="AV307" s="55"/>
      <c r="AZ307" s="55"/>
      <c r="BA307" s="55"/>
    </row>
    <row r="308" spans="46:53" x14ac:dyDescent="0.2">
      <c r="AT308" s="55"/>
      <c r="AU308" s="55"/>
      <c r="AV308" s="55"/>
      <c r="AZ308" s="55"/>
      <c r="BA308" s="55"/>
    </row>
    <row r="309" spans="46:53" x14ac:dyDescent="0.2">
      <c r="AT309" s="55"/>
      <c r="AU309" s="55"/>
      <c r="AV309" s="55"/>
      <c r="AZ309" s="55"/>
      <c r="BA309" s="55"/>
    </row>
    <row r="310" spans="46:53" x14ac:dyDescent="0.2">
      <c r="AT310" s="55"/>
      <c r="AU310" s="55"/>
      <c r="AV310" s="55"/>
      <c r="AZ310" s="55"/>
      <c r="BA310" s="55"/>
    </row>
    <row r="311" spans="46:53" x14ac:dyDescent="0.2">
      <c r="AT311" s="55"/>
      <c r="AU311" s="55"/>
      <c r="AV311" s="55"/>
      <c r="AZ311" s="55"/>
      <c r="BA311" s="55"/>
    </row>
    <row r="312" spans="46:53" x14ac:dyDescent="0.2">
      <c r="AT312" s="55"/>
      <c r="AU312" s="55"/>
      <c r="AV312" s="55"/>
      <c r="AZ312" s="55"/>
      <c r="BA312" s="55"/>
    </row>
    <row r="313" spans="46:53" x14ac:dyDescent="0.2">
      <c r="AT313" s="55"/>
      <c r="AU313" s="55"/>
      <c r="AV313" s="55"/>
      <c r="AZ313" s="55"/>
      <c r="BA313" s="55"/>
    </row>
    <row r="314" spans="46:53" x14ac:dyDescent="0.2">
      <c r="AT314" s="55"/>
      <c r="AU314" s="55"/>
      <c r="AV314" s="55"/>
      <c r="AZ314" s="55"/>
      <c r="BA314" s="55"/>
    </row>
    <row r="315" spans="46:53" x14ac:dyDescent="0.2">
      <c r="AT315" s="55"/>
      <c r="AU315" s="55"/>
      <c r="AV315" s="55"/>
      <c r="AZ315" s="55"/>
      <c r="BA315" s="55"/>
    </row>
    <row r="316" spans="46:53" x14ac:dyDescent="0.2">
      <c r="AT316" s="55"/>
      <c r="AU316" s="55"/>
      <c r="AV316" s="55"/>
      <c r="AZ316" s="55"/>
      <c r="BA316" s="55"/>
    </row>
    <row r="317" spans="46:53" x14ac:dyDescent="0.2">
      <c r="AT317" s="55"/>
      <c r="AU317" s="55"/>
      <c r="AV317" s="55"/>
      <c r="AZ317" s="55"/>
      <c r="BA317" s="55"/>
    </row>
    <row r="318" spans="46:53" x14ac:dyDescent="0.2">
      <c r="AT318" s="63"/>
      <c r="AU318" s="63"/>
      <c r="AV318" s="63"/>
      <c r="AZ318" s="55"/>
      <c r="BA318" s="55"/>
    </row>
    <row r="319" spans="46:53" x14ac:dyDescent="0.2">
      <c r="AT319" s="63"/>
      <c r="AU319" s="63"/>
      <c r="AV319" s="63"/>
      <c r="AZ319" s="55"/>
      <c r="BA319" s="55"/>
    </row>
    <row r="320" spans="46:53" x14ac:dyDescent="0.2">
      <c r="AZ320" s="55"/>
      <c r="BA320" s="55"/>
    </row>
    <row r="321" spans="46:53" x14ac:dyDescent="0.2">
      <c r="AZ321" s="55"/>
      <c r="BA321" s="55"/>
    </row>
    <row r="322" spans="46:53" x14ac:dyDescent="0.2">
      <c r="AZ322" s="55"/>
      <c r="BA322" s="55"/>
    </row>
    <row r="323" spans="46:53" x14ac:dyDescent="0.2">
      <c r="AZ323" s="55"/>
      <c r="BA323" s="55"/>
    </row>
    <row r="324" spans="46:53" x14ac:dyDescent="0.2">
      <c r="AZ324" s="55"/>
      <c r="BA324" s="55"/>
    </row>
    <row r="325" spans="46:53" x14ac:dyDescent="0.2">
      <c r="AZ325" s="55"/>
      <c r="BA325" s="55"/>
    </row>
    <row r="326" spans="46:53" x14ac:dyDescent="0.2">
      <c r="AZ326" s="55"/>
      <c r="BA326" s="55"/>
    </row>
    <row r="327" spans="46:53" x14ac:dyDescent="0.2">
      <c r="AZ327" s="55"/>
      <c r="BA327" s="55"/>
    </row>
    <row r="328" spans="46:53" x14ac:dyDescent="0.2">
      <c r="AZ328" s="55"/>
      <c r="BA328" s="55"/>
    </row>
    <row r="329" spans="46:53" x14ac:dyDescent="0.2">
      <c r="AZ329" s="55"/>
      <c r="BA329" s="55"/>
    </row>
    <row r="330" spans="46:53" x14ac:dyDescent="0.2">
      <c r="AZ330" s="55"/>
      <c r="BA330" s="55"/>
    </row>
    <row r="331" spans="46:53" x14ac:dyDescent="0.2">
      <c r="AZ331" s="55"/>
      <c r="BA331" s="55"/>
    </row>
    <row r="333" spans="46:53" x14ac:dyDescent="0.2">
      <c r="AZ333" s="63"/>
      <c r="BA333" s="63"/>
    </row>
    <row r="334" spans="46:53" x14ac:dyDescent="0.2">
      <c r="AT334" s="96"/>
      <c r="AU334" s="96"/>
      <c r="AZ334" s="63"/>
      <c r="BA334" s="63"/>
    </row>
    <row r="335" spans="46:53" x14ac:dyDescent="0.2">
      <c r="AZ335" s="63"/>
      <c r="BA335" s="63"/>
    </row>
    <row r="336" spans="46:53" x14ac:dyDescent="0.2">
      <c r="AZ336" s="63"/>
      <c r="BA336" s="63"/>
    </row>
    <row r="337" spans="52:53" x14ac:dyDescent="0.2">
      <c r="AZ337" s="63"/>
      <c r="BA337" s="63"/>
    </row>
    <row r="338" spans="52:53" x14ac:dyDescent="0.2">
      <c r="AZ338" s="63"/>
      <c r="BA338" s="63"/>
    </row>
    <row r="339" spans="52:53" x14ac:dyDescent="0.2">
      <c r="AZ339" s="63"/>
      <c r="BA339" s="63"/>
    </row>
    <row r="340" spans="52:53" x14ac:dyDescent="0.2">
      <c r="AZ340" s="63"/>
      <c r="BA340" s="63"/>
    </row>
    <row r="341" spans="52:53" x14ac:dyDescent="0.2">
      <c r="AZ341" s="72"/>
      <c r="BA341" s="72"/>
    </row>
    <row r="342" spans="52:53" x14ac:dyDescent="0.2">
      <c r="AZ342" s="78"/>
      <c r="BA342" s="78"/>
    </row>
    <row r="343" spans="52:53" x14ac:dyDescent="0.2">
      <c r="AZ343" s="78"/>
      <c r="BA343" s="78"/>
    </row>
    <row r="344" spans="52:53" x14ac:dyDescent="0.2">
      <c r="AZ344" s="63"/>
      <c r="BA344" s="63"/>
    </row>
    <row r="345" spans="52:53" x14ac:dyDescent="0.2">
      <c r="AZ345" s="63"/>
      <c r="BA345" s="63"/>
    </row>
    <row r="370" spans="46:53" x14ac:dyDescent="0.2">
      <c r="AT370" s="96"/>
      <c r="AU370" s="96"/>
    </row>
    <row r="371" spans="46:53" x14ac:dyDescent="0.2">
      <c r="AZ371" s="55"/>
      <c r="BA371" s="55"/>
    </row>
    <row r="372" spans="46:53" x14ac:dyDescent="0.2">
      <c r="AZ372" s="55"/>
      <c r="BA372" s="55"/>
    </row>
    <row r="373" spans="46:53" x14ac:dyDescent="0.2">
      <c r="AZ373" s="55"/>
      <c r="BA373" s="55"/>
    </row>
    <row r="374" spans="46:53" x14ac:dyDescent="0.2">
      <c r="AZ374" s="55"/>
      <c r="BA374" s="55"/>
    </row>
    <row r="375" spans="46:53" x14ac:dyDescent="0.2">
      <c r="AZ375" s="55"/>
      <c r="BA375" s="55"/>
    </row>
    <row r="376" spans="46:53" x14ac:dyDescent="0.2">
      <c r="AZ376" s="55"/>
      <c r="BA376" s="55"/>
    </row>
    <row r="377" spans="46:53" x14ac:dyDescent="0.2">
      <c r="AZ377" s="55"/>
      <c r="BA377" s="55"/>
    </row>
    <row r="378" spans="46:53" x14ac:dyDescent="0.2">
      <c r="AZ378" s="55"/>
      <c r="BA378" s="55"/>
    </row>
    <row r="379" spans="46:53" x14ac:dyDescent="0.2">
      <c r="AZ379" s="55"/>
      <c r="BA379" s="55"/>
    </row>
    <row r="380" spans="46:53" x14ac:dyDescent="0.2">
      <c r="AZ380" s="55"/>
      <c r="BA380" s="55"/>
    </row>
    <row r="381" spans="46:53" x14ac:dyDescent="0.2">
      <c r="AZ381" s="55"/>
      <c r="BA381" s="55"/>
    </row>
    <row r="382" spans="46:53" x14ac:dyDescent="0.2">
      <c r="AZ382" s="55"/>
      <c r="BA382" s="55"/>
    </row>
    <row r="383" spans="46:53" x14ac:dyDescent="0.2">
      <c r="AZ383" s="55"/>
      <c r="BA383" s="55"/>
    </row>
    <row r="384" spans="46:53" x14ac:dyDescent="0.2">
      <c r="AZ384" s="55"/>
      <c r="BA384" s="55"/>
    </row>
    <row r="385" spans="52:53" x14ac:dyDescent="0.2">
      <c r="AZ385" s="55"/>
      <c r="BA385" s="55"/>
    </row>
    <row r="386" spans="52:53" x14ac:dyDescent="0.2">
      <c r="AZ386" s="55"/>
      <c r="BA386" s="55"/>
    </row>
    <row r="387" spans="52:53" x14ac:dyDescent="0.2">
      <c r="AZ387" s="55"/>
      <c r="BA387" s="55"/>
    </row>
    <row r="388" spans="52:53" x14ac:dyDescent="0.2">
      <c r="AZ388" s="55"/>
      <c r="BA388" s="55"/>
    </row>
    <row r="389" spans="52:53" x14ac:dyDescent="0.2">
      <c r="AZ389" s="55"/>
      <c r="BA389" s="55"/>
    </row>
    <row r="390" spans="52:53" x14ac:dyDescent="0.2">
      <c r="AZ390" s="55"/>
      <c r="BA390" s="55"/>
    </row>
    <row r="391" spans="52:53" x14ac:dyDescent="0.2">
      <c r="AZ391" s="55"/>
      <c r="BA391" s="55"/>
    </row>
    <row r="392" spans="52:53" x14ac:dyDescent="0.2">
      <c r="AZ392" s="55"/>
      <c r="BA392" s="55"/>
    </row>
    <row r="393" spans="52:53" x14ac:dyDescent="0.2">
      <c r="AZ393" s="55"/>
      <c r="BA393" s="55"/>
    </row>
    <row r="394" spans="52:53" x14ac:dyDescent="0.2">
      <c r="AZ394" s="55"/>
      <c r="BA394" s="55"/>
    </row>
    <row r="395" spans="52:53" x14ac:dyDescent="0.2">
      <c r="AZ395" s="55"/>
      <c r="BA395" s="55"/>
    </row>
    <row r="396" spans="52:53" x14ac:dyDescent="0.2">
      <c r="AZ396" s="55"/>
      <c r="BA396" s="55"/>
    </row>
    <row r="397" spans="52:53" x14ac:dyDescent="0.2">
      <c r="AZ397" s="55"/>
      <c r="BA397" s="55"/>
    </row>
    <row r="398" spans="52:53" x14ac:dyDescent="0.2">
      <c r="AZ398" s="55"/>
      <c r="BA398" s="55"/>
    </row>
    <row r="399" spans="52:53" x14ac:dyDescent="0.2">
      <c r="AZ399" s="55"/>
      <c r="BA399" s="55"/>
    </row>
    <row r="400" spans="52:53" x14ac:dyDescent="0.2">
      <c r="AZ400" s="55"/>
      <c r="BA400" s="55"/>
    </row>
    <row r="401" spans="52:53" x14ac:dyDescent="0.2">
      <c r="AZ401" s="55"/>
      <c r="BA401" s="55"/>
    </row>
    <row r="402" spans="52:53" x14ac:dyDescent="0.2">
      <c r="AZ402" s="55"/>
      <c r="BA402" s="55"/>
    </row>
    <row r="403" spans="52:53" x14ac:dyDescent="0.2">
      <c r="AZ403" s="55"/>
      <c r="BA403" s="55"/>
    </row>
    <row r="404" spans="52:53" x14ac:dyDescent="0.2">
      <c r="AZ404" s="55"/>
      <c r="BA404" s="55"/>
    </row>
    <row r="405" spans="52:53" x14ac:dyDescent="0.2">
      <c r="AZ405" s="55"/>
      <c r="BA405" s="55"/>
    </row>
    <row r="406" spans="52:53" x14ac:dyDescent="0.2">
      <c r="AZ406" s="55"/>
      <c r="BA406" s="55"/>
    </row>
    <row r="407" spans="52:53" x14ac:dyDescent="0.2">
      <c r="AZ407" s="55"/>
      <c r="BA407" s="55"/>
    </row>
    <row r="408" spans="52:53" x14ac:dyDescent="0.2">
      <c r="AZ408" s="55"/>
      <c r="BA408" s="55"/>
    </row>
    <row r="409" spans="52:53" x14ac:dyDescent="0.2">
      <c r="AZ409" s="55"/>
      <c r="BA409" s="55"/>
    </row>
    <row r="410" spans="52:53" x14ac:dyDescent="0.2">
      <c r="AZ410" s="55"/>
      <c r="BA410" s="55"/>
    </row>
    <row r="411" spans="52:53" x14ac:dyDescent="0.2">
      <c r="AZ411" s="55"/>
      <c r="BA411" s="55"/>
    </row>
    <row r="412" spans="52:53" x14ac:dyDescent="0.2">
      <c r="AZ412" s="55"/>
      <c r="BA412" s="55"/>
    </row>
    <row r="413" spans="52:53" x14ac:dyDescent="0.2">
      <c r="AZ413" s="55"/>
      <c r="BA413" s="55"/>
    </row>
    <row r="414" spans="52:53" x14ac:dyDescent="0.2">
      <c r="AZ414" s="55"/>
      <c r="BA414" s="55"/>
    </row>
    <row r="415" spans="52:53" x14ac:dyDescent="0.2">
      <c r="AZ415" s="55"/>
      <c r="BA415" s="55"/>
    </row>
    <row r="416" spans="52:53" x14ac:dyDescent="0.2">
      <c r="AZ416" s="55"/>
      <c r="BA416" s="55"/>
    </row>
    <row r="418" spans="52:53" x14ac:dyDescent="0.2">
      <c r="AZ418" s="63"/>
      <c r="BA418" s="63"/>
    </row>
    <row r="419" spans="52:53" x14ac:dyDescent="0.2">
      <c r="AZ419" s="63"/>
      <c r="BA419" s="63"/>
    </row>
    <row r="420" spans="52:53" x14ac:dyDescent="0.2">
      <c r="AZ420" s="63"/>
      <c r="BA420" s="63"/>
    </row>
    <row r="421" spans="52:53" x14ac:dyDescent="0.2">
      <c r="AZ421" s="63"/>
      <c r="BA421" s="63"/>
    </row>
    <row r="422" spans="52:53" x14ac:dyDescent="0.2">
      <c r="AZ422" s="63"/>
      <c r="BA422" s="63"/>
    </row>
    <row r="423" spans="52:53" x14ac:dyDescent="0.2">
      <c r="AZ423" s="63"/>
      <c r="BA423" s="63"/>
    </row>
    <row r="424" spans="52:53" x14ac:dyDescent="0.2">
      <c r="AZ424" s="63"/>
      <c r="BA424" s="63"/>
    </row>
    <row r="425" spans="52:53" x14ac:dyDescent="0.2">
      <c r="AZ425" s="63"/>
      <c r="BA425" s="63"/>
    </row>
    <row r="426" spans="52:53" x14ac:dyDescent="0.2">
      <c r="AZ426" s="72"/>
      <c r="BA426" s="72"/>
    </row>
    <row r="427" spans="52:53" x14ac:dyDescent="0.2">
      <c r="AZ427" s="78"/>
      <c r="BA427" s="78"/>
    </row>
    <row r="428" spans="52:53" x14ac:dyDescent="0.2">
      <c r="AZ428" s="78"/>
      <c r="BA428" s="78"/>
    </row>
    <row r="429" spans="52:53" x14ac:dyDescent="0.2">
      <c r="AZ429" s="63"/>
      <c r="BA429" s="63"/>
    </row>
    <row r="430" spans="52:53" x14ac:dyDescent="0.2">
      <c r="AZ430" s="63"/>
      <c r="BA430" s="63"/>
    </row>
  </sheetData>
  <sheetProtection sheet="1" objects="1" scenarios="1" formatCells="0" selectLockedCells="1"/>
  <mergeCells count="229">
    <mergeCell ref="K132:N132"/>
    <mergeCell ref="K137:N139"/>
    <mergeCell ref="A148:M148"/>
    <mergeCell ref="B129:D129"/>
    <mergeCell ref="E129:G129"/>
    <mergeCell ref="H129:J129"/>
    <mergeCell ref="K129:Q131"/>
    <mergeCell ref="B130:D130"/>
    <mergeCell ref="E130:G130"/>
    <mergeCell ref="H130:J130"/>
    <mergeCell ref="B131:D131"/>
    <mergeCell ref="E131:G131"/>
    <mergeCell ref="H131:J131"/>
    <mergeCell ref="B125:J125"/>
    <mergeCell ref="K125:Q125"/>
    <mergeCell ref="B126:J126"/>
    <mergeCell ref="K126:Q126"/>
    <mergeCell ref="B127:J127"/>
    <mergeCell ref="K127:Q127"/>
    <mergeCell ref="A119:E119"/>
    <mergeCell ref="A122:J122"/>
    <mergeCell ref="B123:J123"/>
    <mergeCell ref="K123:Q123"/>
    <mergeCell ref="B124:J124"/>
    <mergeCell ref="K124:Q124"/>
    <mergeCell ref="A116:D116"/>
    <mergeCell ref="F116:I116"/>
    <mergeCell ref="J116:M116"/>
    <mergeCell ref="A117:E117"/>
    <mergeCell ref="F117:M117"/>
    <mergeCell ref="A118:E118"/>
    <mergeCell ref="J112:P112"/>
    <mergeCell ref="A113:E113"/>
    <mergeCell ref="F113:I113"/>
    <mergeCell ref="J113:P113"/>
    <mergeCell ref="A114:E114"/>
    <mergeCell ref="J114:P114"/>
    <mergeCell ref="A108:E108"/>
    <mergeCell ref="F108:I108"/>
    <mergeCell ref="J108:M108"/>
    <mergeCell ref="A109:E109"/>
    <mergeCell ref="A110:E110"/>
    <mergeCell ref="F111:I111"/>
    <mergeCell ref="A100:K100"/>
    <mergeCell ref="A102:O102"/>
    <mergeCell ref="A104:E104"/>
    <mergeCell ref="A105:E105"/>
    <mergeCell ref="A107:D107"/>
    <mergeCell ref="F107:M107"/>
    <mergeCell ref="AF94:AK94"/>
    <mergeCell ref="AL94:AO94"/>
    <mergeCell ref="A96:AQ96"/>
    <mergeCell ref="A97:AQ97"/>
    <mergeCell ref="A98:AQ98"/>
    <mergeCell ref="A99:AQ99"/>
    <mergeCell ref="V93:AA93"/>
    <mergeCell ref="AB93:AE93"/>
    <mergeCell ref="AF93:AK93"/>
    <mergeCell ref="AL93:AO93"/>
    <mergeCell ref="B94:G94"/>
    <mergeCell ref="H94:K94"/>
    <mergeCell ref="L94:Q94"/>
    <mergeCell ref="R94:U94"/>
    <mergeCell ref="V94:AA94"/>
    <mergeCell ref="AB94:AE94"/>
    <mergeCell ref="A91:AQ91"/>
    <mergeCell ref="A92:A93"/>
    <mergeCell ref="B92:K92"/>
    <mergeCell ref="L92:U92"/>
    <mergeCell ref="V92:AE92"/>
    <mergeCell ref="AF92:AO92"/>
    <mergeCell ref="B93:G93"/>
    <mergeCell ref="H93:K93"/>
    <mergeCell ref="L93:Q93"/>
    <mergeCell ref="R93:U93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T8:AY9"/>
    <mergeCell ref="B9:D9"/>
    <mergeCell ref="E9:K9"/>
    <mergeCell ref="Z7:AB7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A10:A11"/>
    <mergeCell ref="Z12:AB13"/>
    <mergeCell ref="AC12:AE13"/>
    <mergeCell ref="A1:AI1"/>
    <mergeCell ref="AT1:AV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">
    <cfRule type="expression" dxfId="2959" priority="5" stopIfTrue="1">
      <formula>IF(AK9&gt;0,0,1)</formula>
    </cfRule>
  </conditionalFormatting>
  <conditionalFormatting sqref="A10:A11">
    <cfRule type="expression" dxfId="2958" priority="6" stopIfTrue="1">
      <formula>IF(AK9&gt;1,0,1)</formula>
    </cfRule>
  </conditionalFormatting>
  <conditionalFormatting sqref="A12:A13">
    <cfRule type="expression" dxfId="2957" priority="7" stopIfTrue="1">
      <formula>IF(AK9&gt;2,0,1)</formula>
    </cfRule>
  </conditionalFormatting>
  <conditionalFormatting sqref="A14:A15">
    <cfRule type="expression" dxfId="2956" priority="8" stopIfTrue="1">
      <formula>IF(AK9&gt;3,0,1)</formula>
    </cfRule>
  </conditionalFormatting>
  <conditionalFormatting sqref="A16:A17">
    <cfRule type="expression" dxfId="2955" priority="9" stopIfTrue="1">
      <formula>IF(AK9&gt;4,0,1)</formula>
    </cfRule>
  </conditionalFormatting>
  <conditionalFormatting sqref="B8">
    <cfRule type="expression" dxfId="2954" priority="10" stopIfTrue="1">
      <formula>IF(AK9&gt;0,0,1)</formula>
    </cfRule>
  </conditionalFormatting>
  <conditionalFormatting sqref="B9">
    <cfRule type="expression" dxfId="2953" priority="11" stopIfTrue="1">
      <formula>IF(AK9&gt;0,0,1)</formula>
    </cfRule>
  </conditionalFormatting>
  <conditionalFormatting sqref="B10">
    <cfRule type="expression" dxfId="2952" priority="12" stopIfTrue="1">
      <formula>IF(AK9&gt;1,0,1)</formula>
    </cfRule>
  </conditionalFormatting>
  <conditionalFormatting sqref="B11:D11">
    <cfRule type="expression" dxfId="2951" priority="13" stopIfTrue="1">
      <formula>IF(AK9&gt;1,0,1)</formula>
    </cfRule>
  </conditionalFormatting>
  <conditionalFormatting sqref="B12:D12">
    <cfRule type="expression" dxfId="2950" priority="14" stopIfTrue="1">
      <formula>IF(AK9&gt;2,0,1)</formula>
    </cfRule>
  </conditionalFormatting>
  <conditionalFormatting sqref="B13:D13">
    <cfRule type="expression" dxfId="2949" priority="15" stopIfTrue="1">
      <formula>IF(AK9&gt;2,0,1)</formula>
    </cfRule>
  </conditionalFormatting>
  <conditionalFormatting sqref="B14:D14">
    <cfRule type="expression" dxfId="2948" priority="16" stopIfTrue="1">
      <formula>IF(AK9&gt;3,0,1)</formula>
    </cfRule>
  </conditionalFormatting>
  <conditionalFormatting sqref="B15:D15">
    <cfRule type="expression" dxfId="2947" priority="17" stopIfTrue="1">
      <formula>IF(AK9&gt;3,0,1)</formula>
    </cfRule>
  </conditionalFormatting>
  <conditionalFormatting sqref="B16:D16">
    <cfRule type="expression" dxfId="2946" priority="18" stopIfTrue="1">
      <formula>IF(AK9&gt;4,0,1)</formula>
    </cfRule>
  </conditionalFormatting>
  <conditionalFormatting sqref="B17:D17">
    <cfRule type="expression" dxfId="2945" priority="19" stopIfTrue="1">
      <formula>IF(AK9&gt;4,0,1)</formula>
    </cfRule>
  </conditionalFormatting>
  <conditionalFormatting sqref="AC8">
    <cfRule type="expression" dxfId="2944" priority="20" stopIfTrue="1">
      <formula>IF(AK11=1,IF(AK9&gt;0,0,1),1)</formula>
    </cfRule>
  </conditionalFormatting>
  <conditionalFormatting sqref="AC10:AE11">
    <cfRule type="expression" dxfId="2943" priority="21" stopIfTrue="1">
      <formula>IF(AK11=1,IF(AK9&gt;1,0,1),1)</formula>
    </cfRule>
  </conditionalFormatting>
  <conditionalFormatting sqref="AC12:AE13">
    <cfRule type="expression" dxfId="2942" priority="22" stopIfTrue="1">
      <formula>IF(AK11=1,IF(AK9&gt;2,0,1),1)</formula>
    </cfRule>
  </conditionalFormatting>
  <conditionalFormatting sqref="AC14:AE15">
    <cfRule type="expression" dxfId="2941" priority="23" stopIfTrue="1">
      <formula>IF(AK11=1,IF(AK9&gt;3,0,1),1)</formula>
    </cfRule>
  </conditionalFormatting>
  <conditionalFormatting sqref="AC16:AE17">
    <cfRule type="expression" dxfId="2940" priority="24" stopIfTrue="1">
      <formula>IF(AK11=1,IF(AK9&gt;4,0,1),1)</formula>
    </cfRule>
  </conditionalFormatting>
  <conditionalFormatting sqref="AH8">
    <cfRule type="expression" dxfId="2939" priority="25" stopIfTrue="1">
      <formula>IF(AK9&gt;0,0,1)</formula>
    </cfRule>
  </conditionalFormatting>
  <conditionalFormatting sqref="AH10:AI11">
    <cfRule type="expression" dxfId="2938" priority="26" stopIfTrue="1">
      <formula>IF(AK9&gt;1,0,1)</formula>
    </cfRule>
  </conditionalFormatting>
  <conditionalFormatting sqref="AH12:AI13">
    <cfRule type="expression" dxfId="2937" priority="27" stopIfTrue="1">
      <formula>IF(AK9&gt;2,0,1)</formula>
    </cfRule>
  </conditionalFormatting>
  <conditionalFormatting sqref="AH14:AI15">
    <cfRule type="expression" dxfId="2936" priority="28" stopIfTrue="1">
      <formula>IF(AK9&gt;3,0,1)</formula>
    </cfRule>
  </conditionalFormatting>
  <conditionalFormatting sqref="AH16:AI17">
    <cfRule type="expression" dxfId="2935" priority="29" stopIfTrue="1">
      <formula>IF(AK9&gt;4,0,1)</formula>
    </cfRule>
  </conditionalFormatting>
  <conditionalFormatting sqref="B19:D19">
    <cfRule type="expression" dxfId="2934" priority="30" stopIfTrue="1">
      <formula>IF(AK8&gt;0,0,1)</formula>
    </cfRule>
  </conditionalFormatting>
  <conditionalFormatting sqref="E19:G19">
    <cfRule type="expression" dxfId="2933" priority="31" stopIfTrue="1">
      <formula>IF(AK8&gt;1,0,1)</formula>
    </cfRule>
  </conditionalFormatting>
  <conditionalFormatting sqref="H19:J19">
    <cfRule type="expression" dxfId="2932" priority="32" stopIfTrue="1">
      <formula>IF(AK8&gt;2,0,1)</formula>
    </cfRule>
  </conditionalFormatting>
  <conditionalFormatting sqref="K19:M19">
    <cfRule type="expression" dxfId="2931" priority="33" stopIfTrue="1">
      <formula>IF(AK8&gt;3,0,1)</formula>
    </cfRule>
  </conditionalFormatting>
  <conditionalFormatting sqref="N19:P19">
    <cfRule type="expression" dxfId="2930" priority="34" stopIfTrue="1">
      <formula>IF(AK8&gt;4,0,1)</formula>
    </cfRule>
  </conditionalFormatting>
  <conditionalFormatting sqref="Q19:S19">
    <cfRule type="expression" dxfId="2929" priority="35" stopIfTrue="1">
      <formula>IF(AK8&gt;5,0,1)</formula>
    </cfRule>
  </conditionalFormatting>
  <conditionalFormatting sqref="T19:V19">
    <cfRule type="expression" dxfId="2928" priority="36" stopIfTrue="1">
      <formula>IF(AK8&gt;6,0,1)</formula>
    </cfRule>
  </conditionalFormatting>
  <conditionalFormatting sqref="W19:Y19">
    <cfRule type="expression" dxfId="2927" priority="37" stopIfTrue="1">
      <formula>IF(AK8&gt;7,0,1)</formula>
    </cfRule>
  </conditionalFormatting>
  <conditionalFormatting sqref="Z19:AB19">
    <cfRule type="expression" dxfId="2926" priority="38" stopIfTrue="1">
      <formula>IF(AK8&gt;8,0,1)</formula>
    </cfRule>
  </conditionalFormatting>
  <conditionalFormatting sqref="AC19:AE19">
    <cfRule type="expression" dxfId="2925" priority="39" stopIfTrue="1">
      <formula>IF(AK8&gt;9,0,1)</formula>
    </cfRule>
  </conditionalFormatting>
  <conditionalFormatting sqref="B20:D20">
    <cfRule type="expression" dxfId="2924" priority="40" stopIfTrue="1">
      <formula>IF(AK8&gt;0,0,1)</formula>
    </cfRule>
  </conditionalFormatting>
  <conditionalFormatting sqref="E20:G20">
    <cfRule type="expression" dxfId="2923" priority="41" stopIfTrue="1">
      <formula>IF(AK8&gt;1,0,1)</formula>
    </cfRule>
  </conditionalFormatting>
  <conditionalFormatting sqref="H20:J20">
    <cfRule type="expression" dxfId="2922" priority="42" stopIfTrue="1">
      <formula>IF(AK8&gt;2,0,1)</formula>
    </cfRule>
  </conditionalFormatting>
  <conditionalFormatting sqref="K20:M20">
    <cfRule type="expression" dxfId="2921" priority="43" stopIfTrue="1">
      <formula>IF(AK8&gt;3,0,1)</formula>
    </cfRule>
  </conditionalFormatting>
  <conditionalFormatting sqref="N20:P20">
    <cfRule type="expression" dxfId="2920" priority="44" stopIfTrue="1">
      <formula>IF(AK8&gt;4,0,1)</formula>
    </cfRule>
  </conditionalFormatting>
  <conditionalFormatting sqref="Q20:S20">
    <cfRule type="expression" dxfId="2919" priority="45" stopIfTrue="1">
      <formula>IF(AK8&gt;5,0,1)</formula>
    </cfRule>
  </conditionalFormatting>
  <conditionalFormatting sqref="T20:V20">
    <cfRule type="expression" dxfId="2918" priority="46" stopIfTrue="1">
      <formula>IF(AK8&gt;6,0,1)</formula>
    </cfRule>
  </conditionalFormatting>
  <conditionalFormatting sqref="W20:Y20">
    <cfRule type="expression" dxfId="2917" priority="47" stopIfTrue="1">
      <formula>IF(AK8&gt;7,0,1)</formula>
    </cfRule>
  </conditionalFormatting>
  <conditionalFormatting sqref="Z20:AB20">
    <cfRule type="expression" dxfId="2916" priority="48" stopIfTrue="1">
      <formula>IF(AK8&gt;8,0,1)</formula>
    </cfRule>
  </conditionalFormatting>
  <conditionalFormatting sqref="AC20:AE20">
    <cfRule type="expression" dxfId="2915" priority="49" stopIfTrue="1">
      <formula>IF(AK8&gt;9,0,1)</formula>
    </cfRule>
  </conditionalFormatting>
  <conditionalFormatting sqref="E22:G22">
    <cfRule type="expression" dxfId="2914" priority="50" stopIfTrue="1">
      <formula>IF(AK8&gt;1,0,1)</formula>
    </cfRule>
  </conditionalFormatting>
  <conditionalFormatting sqref="H22:J22">
    <cfRule type="expression" dxfId="2913" priority="51" stopIfTrue="1">
      <formula>IF(AK8&gt;2,0,1)</formula>
    </cfRule>
  </conditionalFormatting>
  <conditionalFormatting sqref="K22:M22">
    <cfRule type="expression" dxfId="2912" priority="52" stopIfTrue="1">
      <formula>IF(AK8&gt;3,0,1)</formula>
    </cfRule>
  </conditionalFormatting>
  <conditionalFormatting sqref="N22:P22">
    <cfRule type="expression" dxfId="2911" priority="53" stopIfTrue="1">
      <formula>IF(AK8&gt;4,0,1)</formula>
    </cfRule>
  </conditionalFormatting>
  <conditionalFormatting sqref="Q22:S22">
    <cfRule type="expression" dxfId="2910" priority="54" stopIfTrue="1">
      <formula>IF(AK8&gt;5,0,1)</formula>
    </cfRule>
  </conditionalFormatting>
  <conditionalFormatting sqref="T22:V22">
    <cfRule type="expression" dxfId="2909" priority="55" stopIfTrue="1">
      <formula>IF(AK8&gt;6,0,1)</formula>
    </cfRule>
  </conditionalFormatting>
  <conditionalFormatting sqref="W22:Y22">
    <cfRule type="expression" dxfId="2908" priority="56" stopIfTrue="1">
      <formula>IF(AK8&gt;7,0,1)</formula>
    </cfRule>
  </conditionalFormatting>
  <conditionalFormatting sqref="Z22:AB22">
    <cfRule type="expression" dxfId="2907" priority="57" stopIfTrue="1">
      <formula>IF(AK8&gt;8,0,1)</formula>
    </cfRule>
  </conditionalFormatting>
  <conditionalFormatting sqref="AC22:AE22">
    <cfRule type="expression" dxfId="2906" priority="58" stopIfTrue="1">
      <formula>IF(AK8&gt;9,0,1)</formula>
    </cfRule>
  </conditionalFormatting>
  <conditionalFormatting sqref="E23:G23">
    <cfRule type="expression" dxfId="2905" priority="59" stopIfTrue="1">
      <formula>IF(AK8&gt;1,0,1)</formula>
    </cfRule>
  </conditionalFormatting>
  <conditionalFormatting sqref="H23:J23">
    <cfRule type="expression" dxfId="2904" priority="60" stopIfTrue="1">
      <formula>IF(AK8&gt;2,0,1)</formula>
    </cfRule>
  </conditionalFormatting>
  <conditionalFormatting sqref="K23:M23">
    <cfRule type="expression" dxfId="2903" priority="61" stopIfTrue="1">
      <formula>IF(AK8&gt;3,0,1)</formula>
    </cfRule>
  </conditionalFormatting>
  <conditionalFormatting sqref="N23:P23">
    <cfRule type="expression" dxfId="2902" priority="62" stopIfTrue="1">
      <formula>IF(AK8&gt;4,0,1)</formula>
    </cfRule>
  </conditionalFormatting>
  <conditionalFormatting sqref="Q23:S23">
    <cfRule type="expression" dxfId="2901" priority="63" stopIfTrue="1">
      <formula>IF(AK8&gt;5,0,1)</formula>
    </cfRule>
  </conditionalFormatting>
  <conditionalFormatting sqref="T23:V23">
    <cfRule type="expression" dxfId="2900" priority="64" stopIfTrue="1">
      <formula>IF(AK8&gt;6,0,1)</formula>
    </cfRule>
  </conditionalFormatting>
  <conditionalFormatting sqref="W23:Y23">
    <cfRule type="expression" dxfId="2899" priority="65" stopIfTrue="1">
      <formula>IF(AK8&gt;7,0,1)</formula>
    </cfRule>
  </conditionalFormatting>
  <conditionalFormatting sqref="Z23:AB23">
    <cfRule type="expression" dxfId="2898" priority="66" stopIfTrue="1">
      <formula>IF(AK8&gt;8,0,1)</formula>
    </cfRule>
  </conditionalFormatting>
  <conditionalFormatting sqref="AC23:AE23">
    <cfRule type="expression" dxfId="2897" priority="67" stopIfTrue="1">
      <formula>IF(AK8&gt;9,0,1)</formula>
    </cfRule>
  </conditionalFormatting>
  <conditionalFormatting sqref="B24">
    <cfRule type="expression" dxfId="2896" priority="68" stopIfTrue="1">
      <formula>IF(AK8&gt;0,0,1)</formula>
    </cfRule>
  </conditionalFormatting>
  <conditionalFormatting sqref="C24">
    <cfRule type="expression" dxfId="2895" priority="69" stopIfTrue="1">
      <formula>IF(AK8&gt;0,0,1)</formula>
    </cfRule>
  </conditionalFormatting>
  <conditionalFormatting sqref="D24">
    <cfRule type="expression" dxfId="2894" priority="70" stopIfTrue="1">
      <formula>IF(AK8&gt;0,0,1)</formula>
    </cfRule>
  </conditionalFormatting>
  <conditionalFormatting sqref="E24">
    <cfRule type="expression" dxfId="2893" priority="71" stopIfTrue="1">
      <formula>IF(AK8&gt;1,0,1)</formula>
    </cfRule>
  </conditionalFormatting>
  <conditionalFormatting sqref="F24">
    <cfRule type="expression" dxfId="2892" priority="72" stopIfTrue="1">
      <formula>IF(AK8&gt;1,0,1)</formula>
    </cfRule>
  </conditionalFormatting>
  <conditionalFormatting sqref="G24">
    <cfRule type="expression" dxfId="2891" priority="73" stopIfTrue="1">
      <formula>IF(AK8&gt;1,0,1)</formula>
    </cfRule>
  </conditionalFormatting>
  <conditionalFormatting sqref="H24">
    <cfRule type="expression" dxfId="2890" priority="74" stopIfTrue="1">
      <formula>IF(AK8&gt;2,0,1)</formula>
    </cfRule>
  </conditionalFormatting>
  <conditionalFormatting sqref="I24">
    <cfRule type="expression" dxfId="2889" priority="75" stopIfTrue="1">
      <formula>IF(AK8&gt;2,0,1)</formula>
    </cfRule>
  </conditionalFormatting>
  <conditionalFormatting sqref="J24">
    <cfRule type="expression" dxfId="2888" priority="76" stopIfTrue="1">
      <formula>IF(AK8&gt;2,0,1)</formula>
    </cfRule>
  </conditionalFormatting>
  <conditionalFormatting sqref="K24">
    <cfRule type="expression" dxfId="2887" priority="77" stopIfTrue="1">
      <formula>IF(AK8&gt;3,0,1)</formula>
    </cfRule>
  </conditionalFormatting>
  <conditionalFormatting sqref="L24">
    <cfRule type="expression" dxfId="2886" priority="78" stopIfTrue="1">
      <formula>IF(AK8&gt;3,0,1)</formula>
    </cfRule>
  </conditionalFormatting>
  <conditionalFormatting sqref="M24">
    <cfRule type="expression" dxfId="2885" priority="79" stopIfTrue="1">
      <formula>IF(AK8&gt;3,0,1)</formula>
    </cfRule>
  </conditionalFormatting>
  <conditionalFormatting sqref="N24">
    <cfRule type="expression" dxfId="2884" priority="80" stopIfTrue="1">
      <formula>IF(AK8&gt;4,0,1)</formula>
    </cfRule>
  </conditionalFormatting>
  <conditionalFormatting sqref="O24">
    <cfRule type="expression" dxfId="2883" priority="81" stopIfTrue="1">
      <formula>IF(AK8&gt;4,0,1)</formula>
    </cfRule>
  </conditionalFormatting>
  <conditionalFormatting sqref="P24">
    <cfRule type="expression" dxfId="2882" priority="82" stopIfTrue="1">
      <formula>IF(AK8&gt;4,0,1)</formula>
    </cfRule>
  </conditionalFormatting>
  <conditionalFormatting sqref="Q24">
    <cfRule type="expression" dxfId="2881" priority="83" stopIfTrue="1">
      <formula>IF(AK8&gt;5,0,1)</formula>
    </cfRule>
  </conditionalFormatting>
  <conditionalFormatting sqref="R24">
    <cfRule type="expression" dxfId="2880" priority="84" stopIfTrue="1">
      <formula>IF(AK8&gt;5,0,1)</formula>
    </cfRule>
  </conditionalFormatting>
  <conditionalFormatting sqref="S24">
    <cfRule type="expression" dxfId="2879" priority="85" stopIfTrue="1">
      <formula>IF(AK8&gt;5,0,1)</formula>
    </cfRule>
  </conditionalFormatting>
  <conditionalFormatting sqref="T24">
    <cfRule type="expression" dxfId="2878" priority="86" stopIfTrue="1">
      <formula>IF(AK8&gt;6,0,1)</formula>
    </cfRule>
  </conditionalFormatting>
  <conditionalFormatting sqref="U24">
    <cfRule type="expression" dxfId="2877" priority="87" stopIfTrue="1">
      <formula>IF(AK8&gt;6,0,1)</formula>
    </cfRule>
  </conditionalFormatting>
  <conditionalFormatting sqref="V24">
    <cfRule type="expression" dxfId="2876" priority="88" stopIfTrue="1">
      <formula>IF(AK8&gt;6,0,1)</formula>
    </cfRule>
  </conditionalFormatting>
  <conditionalFormatting sqref="W24">
    <cfRule type="expression" dxfId="2875" priority="89" stopIfTrue="1">
      <formula>IF(AK8&gt;7,0,1)</formula>
    </cfRule>
  </conditionalFormatting>
  <conditionalFormatting sqref="X24">
    <cfRule type="expression" dxfId="2874" priority="90" stopIfTrue="1">
      <formula>IF(AK8&gt;7,0,1)</formula>
    </cfRule>
  </conditionalFormatting>
  <conditionalFormatting sqref="Y24">
    <cfRule type="expression" dxfId="2873" priority="91" stopIfTrue="1">
      <formula>IF(AK8&gt;7,0,1)</formula>
    </cfRule>
  </conditionalFormatting>
  <conditionalFormatting sqref="Z24">
    <cfRule type="expression" dxfId="2872" priority="92" stopIfTrue="1">
      <formula>IF(AK8&gt;8,0,1)</formula>
    </cfRule>
  </conditionalFormatting>
  <conditionalFormatting sqref="AA24">
    <cfRule type="expression" dxfId="2871" priority="93" stopIfTrue="1">
      <formula>IF(AK8&gt;8,0,1)</formula>
    </cfRule>
  </conditionalFormatting>
  <conditionalFormatting sqref="AB24">
    <cfRule type="expression" dxfId="2870" priority="94" stopIfTrue="1">
      <formula>IF(AK8&gt;8,0,1)</formula>
    </cfRule>
  </conditionalFormatting>
  <conditionalFormatting sqref="AC24">
    <cfRule type="expression" dxfId="2869" priority="95" stopIfTrue="1">
      <formula>IF(AK8&gt;9,0,1)</formula>
    </cfRule>
  </conditionalFormatting>
  <conditionalFormatting sqref="AD24">
    <cfRule type="expression" dxfId="2868" priority="96" stopIfTrue="1">
      <formula>IF(AK8&gt;9,0,1)</formula>
    </cfRule>
  </conditionalFormatting>
  <conditionalFormatting sqref="AE24">
    <cfRule type="expression" dxfId="2867" priority="97" stopIfTrue="1">
      <formula>IF(AK8&gt;9,0,1)</formula>
    </cfRule>
  </conditionalFormatting>
  <conditionalFormatting sqref="A26">
    <cfRule type="expression" dxfId="2866" priority="98" stopIfTrue="1">
      <formula>IF(AK7&gt;1,0,1)</formula>
    </cfRule>
  </conditionalFormatting>
  <conditionalFormatting sqref="A27">
    <cfRule type="expression" dxfId="2865" priority="99" stopIfTrue="1">
      <formula>IF(AK7&gt;2,0,1)</formula>
    </cfRule>
  </conditionalFormatting>
  <conditionalFormatting sqref="A28">
    <cfRule type="expression" dxfId="2864" priority="100" stopIfTrue="1">
      <formula>IF(AK7&gt;3,0,1)</formula>
    </cfRule>
  </conditionalFormatting>
  <conditionalFormatting sqref="A29">
    <cfRule type="expression" dxfId="2863" priority="101" stopIfTrue="1">
      <formula>IF(AK7&gt;4,0,1)</formula>
    </cfRule>
  </conditionalFormatting>
  <conditionalFormatting sqref="B25:D25">
    <cfRule type="expression" dxfId="2862" priority="102" stopIfTrue="1">
      <formula>IF($AK8&gt;0,0,1)</formula>
    </cfRule>
  </conditionalFormatting>
  <conditionalFormatting sqref="B26:D26">
    <cfRule type="expression" dxfId="2861" priority="103" stopIfTrue="1">
      <formula>IF($AK8&lt;1,1,IF($AK7&lt;2,1,0))</formula>
    </cfRule>
  </conditionalFormatting>
  <conditionalFormatting sqref="B27:D27">
    <cfRule type="expression" dxfId="2860" priority="104" stopIfTrue="1">
      <formula>IF($AK8&lt;1,1,IF($AK7&lt;3,1,0))</formula>
    </cfRule>
  </conditionalFormatting>
  <conditionalFormatting sqref="B28:D28">
    <cfRule type="expression" dxfId="2859" priority="105" stopIfTrue="1">
      <formula>IF($AK8&lt;1,1,IF($AK7&lt;4,1,0))</formula>
    </cfRule>
  </conditionalFormatting>
  <conditionalFormatting sqref="B29:D29">
    <cfRule type="expression" dxfId="2858" priority="106" stopIfTrue="1">
      <formula>IF($AK8&lt;1,1,IF($AK7&lt;5,1,0))</formula>
    </cfRule>
  </conditionalFormatting>
  <conditionalFormatting sqref="AG23">
    <cfRule type="expression" dxfId="2857" priority="107" stopIfTrue="1">
      <formula>IF($AK8&lt;1,1,0)</formula>
    </cfRule>
  </conditionalFormatting>
  <conditionalFormatting sqref="AH23">
    <cfRule type="expression" dxfId="2856" priority="108" stopIfTrue="1">
      <formula>IF($AK8&lt;2,1,0)</formula>
    </cfRule>
  </conditionalFormatting>
  <conditionalFormatting sqref="AI23">
    <cfRule type="expression" dxfId="2855" priority="109" stopIfTrue="1">
      <formula>IF($AK8&lt;3,1,0)</formula>
    </cfRule>
  </conditionalFormatting>
  <conditionalFormatting sqref="AJ23">
    <cfRule type="expression" dxfId="2854" priority="110" stopIfTrue="1">
      <formula>IF($AK8&lt;4,1,0)</formula>
    </cfRule>
  </conditionalFormatting>
  <conditionalFormatting sqref="AK23">
    <cfRule type="expression" dxfId="2853" priority="111" stopIfTrue="1">
      <formula>IF($AK8&lt;5,1,0)</formula>
    </cfRule>
  </conditionalFormatting>
  <conditionalFormatting sqref="AL23">
    <cfRule type="expression" dxfId="2852" priority="112" stopIfTrue="1">
      <formula>IF($AK8&lt;6,1,0)</formula>
    </cfRule>
  </conditionalFormatting>
  <conditionalFormatting sqref="AM23">
    <cfRule type="expression" dxfId="2851" priority="113" stopIfTrue="1">
      <formula>IF($AK8&lt;7,1,0)</formula>
    </cfRule>
  </conditionalFormatting>
  <conditionalFormatting sqref="AN23">
    <cfRule type="expression" dxfId="2850" priority="114" stopIfTrue="1">
      <formula>IF($AK8&lt;8,1,0)</formula>
    </cfRule>
  </conditionalFormatting>
  <conditionalFormatting sqref="AO23">
    <cfRule type="expression" dxfId="2849" priority="115" stopIfTrue="1">
      <formula>IF($AK8&lt;9,1,0)</formula>
    </cfRule>
  </conditionalFormatting>
  <conditionalFormatting sqref="AP23">
    <cfRule type="expression" dxfId="2848" priority="116" stopIfTrue="1">
      <formula>IF($AK8&lt;10,1,0)</formula>
    </cfRule>
  </conditionalFormatting>
  <conditionalFormatting sqref="AQ24">
    <cfRule type="expression" dxfId="2847" priority="117" stopIfTrue="1">
      <formula>IF($AK9&gt;0,0,1)</formula>
    </cfRule>
  </conditionalFormatting>
  <conditionalFormatting sqref="AQ25">
    <cfRule type="expression" dxfId="2846" priority="118" stopIfTrue="1">
      <formula>IF($AK9&gt;1,0,1)</formula>
    </cfRule>
  </conditionalFormatting>
  <conditionalFormatting sqref="AQ26 H25:J25">
    <cfRule type="expression" dxfId="2845" priority="119" stopIfTrue="1">
      <formula>IF($AK8&gt;2,0,1)</formula>
    </cfRule>
  </conditionalFormatting>
  <conditionalFormatting sqref="AQ27">
    <cfRule type="expression" dxfId="2844" priority="120" stopIfTrue="1">
      <formula>IF($AK9&gt;3,0,1)</formula>
    </cfRule>
  </conditionalFormatting>
  <conditionalFormatting sqref="AQ28">
    <cfRule type="expression" dxfId="2843" priority="121" stopIfTrue="1">
      <formula>IF($AK9&gt;4,0,1)</formula>
    </cfRule>
  </conditionalFormatting>
  <conditionalFormatting sqref="E25:G25">
    <cfRule type="expression" dxfId="2842" priority="122" stopIfTrue="1">
      <formula>IF($AK8&gt;1,0,1)</formula>
    </cfRule>
  </conditionalFormatting>
  <conditionalFormatting sqref="E26:G26">
    <cfRule type="expression" dxfId="2841" priority="123" stopIfTrue="1">
      <formula>IF($AK8&lt;2,1,IF($AK7&lt;2,1,0))</formula>
    </cfRule>
  </conditionalFormatting>
  <conditionalFormatting sqref="E27:G27">
    <cfRule type="expression" dxfId="2840" priority="124" stopIfTrue="1">
      <formula>IF($AK8&lt;2,1,IF($AK7&lt;3,1,0))</formula>
    </cfRule>
  </conditionalFormatting>
  <conditionalFormatting sqref="E28:G28">
    <cfRule type="expression" dxfId="2839" priority="125" stopIfTrue="1">
      <formula>IF($AK8&lt;2,1,IF($AK7&lt;4,1,0))</formula>
    </cfRule>
  </conditionalFormatting>
  <conditionalFormatting sqref="E29:G29">
    <cfRule type="expression" dxfId="2838" priority="126" stopIfTrue="1">
      <formula>IF($AK8&lt;2,1,IF($AK7&lt;5,1,0))</formula>
    </cfRule>
  </conditionalFormatting>
  <conditionalFormatting sqref="K25:M25">
    <cfRule type="expression" dxfId="2837" priority="127" stopIfTrue="1">
      <formula>IF($AK8&gt;3,0,1)</formula>
    </cfRule>
  </conditionalFormatting>
  <conditionalFormatting sqref="N25:P25">
    <cfRule type="expression" dxfId="2836" priority="128" stopIfTrue="1">
      <formula>IF($AK8&gt;4,0,1)</formula>
    </cfRule>
  </conditionalFormatting>
  <conditionalFormatting sqref="Q25:S25">
    <cfRule type="expression" dxfId="2835" priority="129" stopIfTrue="1">
      <formula>IF($AK8&gt;5,0,1)</formula>
    </cfRule>
  </conditionalFormatting>
  <conditionalFormatting sqref="T25:V25">
    <cfRule type="expression" dxfId="2834" priority="130" stopIfTrue="1">
      <formula>IF($AK8&gt;6,0,1)</formula>
    </cfRule>
  </conditionalFormatting>
  <conditionalFormatting sqref="W25:Y25">
    <cfRule type="expression" dxfId="2833" priority="131" stopIfTrue="1">
      <formula>IF($AK8&gt;7,0,1)</formula>
    </cfRule>
  </conditionalFormatting>
  <conditionalFormatting sqref="Z25:AB25">
    <cfRule type="expression" dxfId="2832" priority="132" stopIfTrue="1">
      <formula>IF($AK8&gt;8,0,1)</formula>
    </cfRule>
  </conditionalFormatting>
  <conditionalFormatting sqref="AC25:AE25">
    <cfRule type="expression" dxfId="2831" priority="133" stopIfTrue="1">
      <formula>IF($AK8&gt;9,0,1)</formula>
    </cfRule>
  </conditionalFormatting>
  <conditionalFormatting sqref="H26:J26">
    <cfRule type="expression" dxfId="2830" priority="134" stopIfTrue="1">
      <formula>IF($AK8&lt;3,1,IF($AK7&lt;2,1,0))</formula>
    </cfRule>
  </conditionalFormatting>
  <conditionalFormatting sqref="K26:M26">
    <cfRule type="expression" dxfId="2829" priority="135" stopIfTrue="1">
      <formula>IF($AK8&lt;4,1,IF($AK7&lt;2,1,0))</formula>
    </cfRule>
  </conditionalFormatting>
  <conditionalFormatting sqref="N26:P26">
    <cfRule type="expression" dxfId="2828" priority="136" stopIfTrue="1">
      <formula>IF($AK8&lt;5,1,IF($AK7&lt;2,1,0))</formula>
    </cfRule>
  </conditionalFormatting>
  <conditionalFormatting sqref="Q26:S26">
    <cfRule type="expression" dxfId="2827" priority="137" stopIfTrue="1">
      <formula>IF($AK8&lt;6,1,IF($AK7&lt;2,1,0))</formula>
    </cfRule>
  </conditionalFormatting>
  <conditionalFormatting sqref="T26:V26">
    <cfRule type="expression" dxfId="2826" priority="138" stopIfTrue="1">
      <formula>IF($AK8&lt;7,1,IF($AK7&lt;2,1,0))</formula>
    </cfRule>
  </conditionalFormatting>
  <conditionalFormatting sqref="W26:Y26">
    <cfRule type="expression" dxfId="2825" priority="139" stopIfTrue="1">
      <formula>IF($AK8&lt;8,1,IF($AK7&lt;2,1,0))</formula>
    </cfRule>
  </conditionalFormatting>
  <conditionalFormatting sqref="Z26:AB26">
    <cfRule type="expression" dxfId="2824" priority="140" stopIfTrue="1">
      <formula>IF($AK8&lt;9,1,IF($AK7&lt;2,1,0))</formula>
    </cfRule>
  </conditionalFormatting>
  <conditionalFormatting sqref="AC26:AE26">
    <cfRule type="expression" dxfId="2823" priority="141" stopIfTrue="1">
      <formula>IF($AK8&lt;10,1,IF($AK7&lt;2,1,0))</formula>
    </cfRule>
  </conditionalFormatting>
  <conditionalFormatting sqref="H27:J27">
    <cfRule type="expression" dxfId="2822" priority="142" stopIfTrue="1">
      <formula>IF($AK8&lt;3,1,IF($AK7&lt;3,1,0))</formula>
    </cfRule>
  </conditionalFormatting>
  <conditionalFormatting sqref="K27:M27">
    <cfRule type="expression" dxfId="2821" priority="143" stopIfTrue="1">
      <formula>IF($AK8&lt;4,1,IF($AK7&lt;3,1,0))</formula>
    </cfRule>
  </conditionalFormatting>
  <conditionalFormatting sqref="N27:P27">
    <cfRule type="expression" dxfId="2820" priority="144" stopIfTrue="1">
      <formula>IF($AK8&lt;5,1,IF($AK7&lt;3,1,0))</formula>
    </cfRule>
  </conditionalFormatting>
  <conditionalFormatting sqref="Q27:S27">
    <cfRule type="expression" dxfId="2819" priority="145" stopIfTrue="1">
      <formula>IF($AK8&lt;6,1,IF($AK7&lt;3,1,0))</formula>
    </cfRule>
  </conditionalFormatting>
  <conditionalFormatting sqref="T27:V27">
    <cfRule type="expression" dxfId="2818" priority="146" stopIfTrue="1">
      <formula>IF($AK8&lt;7,1,IF($AK7&lt;3,1,0))</formula>
    </cfRule>
  </conditionalFormatting>
  <conditionalFormatting sqref="W27:Y27">
    <cfRule type="expression" dxfId="2817" priority="147" stopIfTrue="1">
      <formula>IF($AK8&lt;8,1,IF($AK7&lt;3,1,0))</formula>
    </cfRule>
  </conditionalFormatting>
  <conditionalFormatting sqref="Z27:AB27">
    <cfRule type="expression" dxfId="2816" priority="148" stopIfTrue="1">
      <formula>IF($AK8&lt;9,1,IF($AK7&lt;3,1,0))</formula>
    </cfRule>
  </conditionalFormatting>
  <conditionalFormatting sqref="AC27:AE27">
    <cfRule type="expression" dxfId="2815" priority="149" stopIfTrue="1">
      <formula>IF($AK8&lt;10,1,IF($AK7&lt;3,1,0))</formula>
    </cfRule>
  </conditionalFormatting>
  <conditionalFormatting sqref="H28:J28">
    <cfRule type="expression" dxfId="2814" priority="150" stopIfTrue="1">
      <formula>IF($AK8&lt;3,1,IF($AK7&lt;4,1,0))</formula>
    </cfRule>
  </conditionalFormatting>
  <conditionalFormatting sqref="K28:M28">
    <cfRule type="expression" dxfId="2813" priority="151" stopIfTrue="1">
      <formula>IF($AK8&lt;4,1,IF($AK7&lt;4,1,0))</formula>
    </cfRule>
  </conditionalFormatting>
  <conditionalFormatting sqref="N28:P28">
    <cfRule type="expression" dxfId="2812" priority="152" stopIfTrue="1">
      <formula>IF($AK8&lt;5,1,IF($AK7&lt;4,1,0))</formula>
    </cfRule>
  </conditionalFormatting>
  <conditionalFormatting sqref="Q28:S28">
    <cfRule type="expression" dxfId="2811" priority="153" stopIfTrue="1">
      <formula>IF($AK8&lt;6,1,IF($AK7&lt;4,1,0))</formula>
    </cfRule>
  </conditionalFormatting>
  <conditionalFormatting sqref="T28:V28">
    <cfRule type="expression" dxfId="2810" priority="154" stopIfTrue="1">
      <formula>IF($AK8&lt;7,1,IF($AK7&lt;4,1,0))</formula>
    </cfRule>
  </conditionalFormatting>
  <conditionalFormatting sqref="W28:Y28">
    <cfRule type="expression" dxfId="2809" priority="155" stopIfTrue="1">
      <formula>IF($AK8&lt;8,1,IF($AK7&lt;4,1,0))</formula>
    </cfRule>
  </conditionalFormatting>
  <conditionalFormatting sqref="Z28:AB28">
    <cfRule type="expression" dxfId="2808" priority="156" stopIfTrue="1">
      <formula>IF($AK8&lt;9,1,IF($AK7&lt;4,1,0))</formula>
    </cfRule>
  </conditionalFormatting>
  <conditionalFormatting sqref="AC28:AE28">
    <cfRule type="expression" dxfId="2807" priority="157" stopIfTrue="1">
      <formula>IF($AK8&lt;10,1,IF($AK7&lt;4,1,0))</formula>
    </cfRule>
  </conditionalFormatting>
  <conditionalFormatting sqref="H29:J29">
    <cfRule type="expression" dxfId="2806" priority="158" stopIfTrue="1">
      <formula>IF($AK8&lt;3,1,IF($AK7&lt;5,1,0))</formula>
    </cfRule>
  </conditionalFormatting>
  <conditionalFormatting sqref="K29:M29">
    <cfRule type="expression" dxfId="2805" priority="159" stopIfTrue="1">
      <formula>IF($AK8&lt;4,1,IF($AK7&lt;5,1,0))</formula>
    </cfRule>
  </conditionalFormatting>
  <conditionalFormatting sqref="N29:P29">
    <cfRule type="expression" dxfId="2804" priority="160" stopIfTrue="1">
      <formula>IF($AK8&lt;5,1,IF($AK7&lt;5,1,0))</formula>
    </cfRule>
  </conditionalFormatting>
  <conditionalFormatting sqref="Q29:S29">
    <cfRule type="expression" dxfId="2803" priority="161" stopIfTrue="1">
      <formula>IF($AK8&lt;6,1,IF($AK7&lt;5,1,0))</formula>
    </cfRule>
  </conditionalFormatting>
  <conditionalFormatting sqref="T29:V29">
    <cfRule type="expression" dxfId="2802" priority="162" stopIfTrue="1">
      <formula>IF($AK8&lt;7,1,IF($AK7&lt;5,1,0))</formula>
    </cfRule>
  </conditionalFormatting>
  <conditionalFormatting sqref="W29:Y29">
    <cfRule type="expression" dxfId="2801" priority="163" stopIfTrue="1">
      <formula>IF($AK8&lt;8,1,IF($AK7&lt;5,1,0))</formula>
    </cfRule>
  </conditionalFormatting>
  <conditionalFormatting sqref="Z29:AB29">
    <cfRule type="expression" dxfId="2800" priority="164" stopIfTrue="1">
      <formula>IF($AK8&lt;9,1,IF($AK7&lt;5,1,0))</formula>
    </cfRule>
  </conditionalFormatting>
  <conditionalFormatting sqref="AC29:AE29">
    <cfRule type="expression" dxfId="2799" priority="165" stopIfTrue="1">
      <formula>IF($AK8&lt;10,1,IF($AK7&lt;5,1,0))</formula>
    </cfRule>
  </conditionalFormatting>
  <conditionalFormatting sqref="R8:AB9 AF8:AF9 L8:P9 AG8">
    <cfRule type="expression" dxfId="2798" priority="166" stopIfTrue="1">
      <formula>IF($AK9&gt;0,0,1)</formula>
    </cfRule>
  </conditionalFormatting>
  <conditionalFormatting sqref="R10:AB11 AF10:AF11 L10:P11 AG10">
    <cfRule type="expression" dxfId="2797" priority="167" stopIfTrue="1">
      <formula>IF($AK9&gt;1,0,1)</formula>
    </cfRule>
  </conditionalFormatting>
  <conditionalFormatting sqref="R12:AB13 AF12:AF13 L12:P13 AG12">
    <cfRule type="expression" dxfId="2796" priority="168" stopIfTrue="1">
      <formula>IF($AK9&gt;2,0,1)</formula>
    </cfRule>
  </conditionalFormatting>
  <conditionalFormatting sqref="R14:AB15 AF14:AF15 L14:P15 AG14">
    <cfRule type="expression" dxfId="2795" priority="169" stopIfTrue="1">
      <formula>IF($AK9&gt;3,0,1)</formula>
    </cfRule>
  </conditionalFormatting>
  <conditionalFormatting sqref="R16:AB17 AF16:AF17 L16:P17 AG16">
    <cfRule type="expression" dxfId="2794" priority="170" stopIfTrue="1">
      <formula>IF($AK9&gt;4,0,1)</formula>
    </cfRule>
  </conditionalFormatting>
  <conditionalFormatting sqref="E8">
    <cfRule type="expression" dxfId="2793" priority="171" stopIfTrue="1">
      <formula>IF(AK9&gt;0,0,1)</formula>
    </cfRule>
  </conditionalFormatting>
  <conditionalFormatting sqref="E9">
    <cfRule type="expression" dxfId="2792" priority="172" stopIfTrue="1">
      <formula>IF(AK9&gt;0,0,1)</formula>
    </cfRule>
  </conditionalFormatting>
  <conditionalFormatting sqref="E10">
    <cfRule type="expression" dxfId="2791" priority="173" stopIfTrue="1">
      <formula>IF(AK9&gt;1,0,1)</formula>
    </cfRule>
  </conditionalFormatting>
  <conditionalFormatting sqref="E11">
    <cfRule type="expression" dxfId="2790" priority="174" stopIfTrue="1">
      <formula>IF(AK9&gt;1,0,1)</formula>
    </cfRule>
  </conditionalFormatting>
  <conditionalFormatting sqref="E12">
    <cfRule type="expression" dxfId="2789" priority="175" stopIfTrue="1">
      <formula>IF(AK9&gt;2,0,1)</formula>
    </cfRule>
  </conditionalFormatting>
  <conditionalFormatting sqref="E13">
    <cfRule type="expression" dxfId="2788" priority="176" stopIfTrue="1">
      <formula>IF(AK9&gt;2,0,1)</formula>
    </cfRule>
  </conditionalFormatting>
  <conditionalFormatting sqref="E14">
    <cfRule type="expression" dxfId="2787" priority="177" stopIfTrue="1">
      <formula>IF(AK9&gt;3,0,1)</formula>
    </cfRule>
  </conditionalFormatting>
  <conditionalFormatting sqref="E15">
    <cfRule type="expression" dxfId="2786" priority="178" stopIfTrue="1">
      <formula>IF(AK9&gt;3,0,1)</formula>
    </cfRule>
  </conditionalFormatting>
  <conditionalFormatting sqref="E16">
    <cfRule type="expression" dxfId="2785" priority="179" stopIfTrue="1">
      <formula>IF(AK9&gt;4,0,1)</formula>
    </cfRule>
  </conditionalFormatting>
  <conditionalFormatting sqref="E17">
    <cfRule type="expression" dxfId="2784" priority="180" stopIfTrue="1">
      <formula>IF(AK9&gt;4,0,1)</formula>
    </cfRule>
  </conditionalFormatting>
  <conditionalFormatting sqref="B21:D21">
    <cfRule type="expression" dxfId="2783" priority="181" stopIfTrue="1">
      <formula>IF(AK8&gt;0,0,1)</formula>
    </cfRule>
  </conditionalFormatting>
  <conditionalFormatting sqref="E21:G21">
    <cfRule type="expression" dxfId="2782" priority="182" stopIfTrue="1">
      <formula>IF(AK8&gt;1,0,1)</formula>
    </cfRule>
  </conditionalFormatting>
  <conditionalFormatting sqref="H21:J21">
    <cfRule type="expression" dxfId="2781" priority="183" stopIfTrue="1">
      <formula>IF(AK8&gt;2,0,1)</formula>
    </cfRule>
  </conditionalFormatting>
  <conditionalFormatting sqref="K21:M21">
    <cfRule type="expression" dxfId="2780" priority="184" stopIfTrue="1">
      <formula>IF(AK8&gt;3,0,1)</formula>
    </cfRule>
  </conditionalFormatting>
  <conditionalFormatting sqref="N21:P21">
    <cfRule type="expression" dxfId="2779" priority="185" stopIfTrue="1">
      <formula>IF(AK8&gt;4,0,1)</formula>
    </cfRule>
  </conditionalFormatting>
  <conditionalFormatting sqref="Q21:S21">
    <cfRule type="expression" dxfId="2778" priority="186" stopIfTrue="1">
      <formula>IF(AK8&gt;5,0,1)</formula>
    </cfRule>
  </conditionalFormatting>
  <conditionalFormatting sqref="T21:V21">
    <cfRule type="expression" dxfId="2777" priority="187" stopIfTrue="1">
      <formula>IF(AK8&gt;6,0,1)</formula>
    </cfRule>
  </conditionalFormatting>
  <conditionalFormatting sqref="W21:Y21">
    <cfRule type="expression" dxfId="2776" priority="188" stopIfTrue="1">
      <formula>IF(AK8&gt;7,0,1)</formula>
    </cfRule>
  </conditionalFormatting>
  <conditionalFormatting sqref="Z21:AB21">
    <cfRule type="expression" dxfId="2775" priority="189" stopIfTrue="1">
      <formula>IF(AK8&gt;8,0,1)</formula>
    </cfRule>
  </conditionalFormatting>
  <conditionalFormatting sqref="AC21:AE21">
    <cfRule type="expression" dxfId="2774" priority="190" stopIfTrue="1">
      <formula>IF(AK8&gt;9,0,1)</formula>
    </cfRule>
  </conditionalFormatting>
  <conditionalFormatting sqref="X138:X139 W129:W130 X129:Y129 W132:Y137 Z133:AE136 AA137:AA139 I137:I139 C138:C139 B129:B130 C129:D129 B132:D137 E133:J136 F137:F139 AD137:AD139">
    <cfRule type="expression" dxfId="2773" priority="191" stopIfTrue="1">
      <formula>IF(#REF!&gt;0,0,1)</formula>
    </cfRule>
  </conditionalFormatting>
  <conditionalFormatting sqref="AA129:AB129 AB137 AA132:AB132 Z137 Z129:Z132 F129:G129 G137 F132:G132 E137 E129:E132 T140:AE147">
    <cfRule type="expression" dxfId="2772" priority="192" stopIfTrue="1">
      <formula>IF(#REF!&gt;1,0,1)</formula>
    </cfRule>
  </conditionalFormatting>
  <conditionalFormatting sqref="AC129:AC132 AD129:AE129 AE137 AD132:AE132 AC137 H137 H129:H132 I129:J129 J137 I132:J132">
    <cfRule type="expression" dxfId="2771" priority="193" stopIfTrue="1">
      <formula>IF(#REF!&gt;2,0,1)</formula>
    </cfRule>
  </conditionalFormatting>
  <conditionalFormatting sqref="W138 Y138 B138 D138">
    <cfRule type="expression" dxfId="2770" priority="194" stopIfTrue="1">
      <formula>IF(#REF!&lt;1,1,IF(#REF!&lt;2,1,0))</formula>
    </cfRule>
  </conditionalFormatting>
  <conditionalFormatting sqref="Z138 AB138 E138 G138">
    <cfRule type="expression" dxfId="2769" priority="195" stopIfTrue="1">
      <formula>IF(#REF!&lt;2,1,IF(#REF!&lt;2,1,0))</formula>
    </cfRule>
  </conditionalFormatting>
  <conditionalFormatting sqref="AC138 AE138 H138 J138">
    <cfRule type="expression" dxfId="2768" priority="196" stopIfTrue="1">
      <formula>IF(#REF!&lt;3,1,IF(#REF!&lt;2,1,0))</formula>
    </cfRule>
  </conditionalFormatting>
  <conditionalFormatting sqref="Y139 B139 D139 W139">
    <cfRule type="expression" dxfId="2767" priority="197" stopIfTrue="1">
      <formula>IF(#REF!&lt;1,1,IF(#REF!&lt;3,1,0))</formula>
    </cfRule>
  </conditionalFormatting>
  <conditionalFormatting sqref="AB139 E139 G139 Z139">
    <cfRule type="expression" dxfId="2766" priority="198" stopIfTrue="1">
      <formula>IF(#REF!&lt;2,1,IF(#REF!&lt;3,1,0))</formula>
    </cfRule>
  </conditionalFormatting>
  <conditionalFormatting sqref="AE139 H139 J139 AC139">
    <cfRule type="expression" dxfId="2765" priority="199" stopIfTrue="1">
      <formula>IF(#REF!&lt;3,1,IF(#REF!&lt;3,1,0))</formula>
    </cfRule>
  </conditionalFormatting>
  <conditionalFormatting sqref="AG24:AP28">
    <cfRule type="cellIs" dxfId="2764" priority="200" stopIfTrue="1" operator="notBetween">
      <formula>-9999</formula>
      <formula>9999</formula>
    </cfRule>
  </conditionalFormatting>
  <conditionalFormatting sqref="AC7">
    <cfRule type="expression" dxfId="2763" priority="201" stopIfTrue="1">
      <formula>IF($AK$11=0,1,0)</formula>
    </cfRule>
  </conditionalFormatting>
  <conditionalFormatting sqref="B18">
    <cfRule type="expression" dxfId="2762" priority="202" stopIfTrue="1">
      <formula>IF($AK$9&gt;0,0,1)</formula>
    </cfRule>
  </conditionalFormatting>
  <conditionalFormatting sqref="B22:D23">
    <cfRule type="cellIs" dxfId="2761" priority="203" stopIfTrue="1" operator="equal">
      <formula>99</formula>
    </cfRule>
  </conditionalFormatting>
  <conditionalFormatting sqref="C140 F140">
    <cfRule type="expression" dxfId="2760" priority="204" stopIfTrue="1">
      <formula>IF(#REF!&gt;0,0,1)</formula>
    </cfRule>
  </conditionalFormatting>
  <conditionalFormatting sqref="K129">
    <cfRule type="expression" dxfId="2759" priority="4" stopIfTrue="1">
      <formula>IF(#REF!&gt;2,0,1)</formula>
    </cfRule>
  </conditionalFormatting>
  <conditionalFormatting sqref="K129">
    <cfRule type="expression" dxfId="2758" priority="3" stopIfTrue="1">
      <formula>IF(#REF!&gt;2,0,1)</formula>
    </cfRule>
  </conditionalFormatting>
  <conditionalFormatting sqref="K129">
    <cfRule type="expression" dxfId="2757" priority="2" stopIfTrue="1">
      <formula>IF(#REF!&gt;2,0,1)</formula>
    </cfRule>
  </conditionalFormatting>
  <conditionalFormatting sqref="K129">
    <cfRule type="expression" dxfId="2756" priority="1" stopIfTrue="1">
      <formula>IF(ISNUMBER(K137),0,1)</formula>
    </cfRule>
  </conditionalFormatting>
  <pageMargins left="0.25" right="0.25" top="0.25" bottom="0.25" header="0" footer="0"/>
  <pageSetup scale="80" fitToHeight="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217" r:id="rId4" name="Pool1RecalcFinish">
          <controlPr defaultSize="0" autoLine="0" r:id="rId5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9217" r:id="rId4" name="Pool1RecalcFinish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>
    <tabColor indexed="11"/>
  </sheetPr>
  <dimension ref="A1:BY430"/>
  <sheetViews>
    <sheetView topLeftCell="AF1" zoomScale="85" zoomScaleNormal="85" workbookViewId="0">
      <selection activeCell="AU22" sqref="AU22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6" width="13.5703125" style="4" customWidth="1"/>
    <col min="47" max="47" width="24.42578125" style="4" customWidth="1"/>
    <col min="48" max="48" width="16.28515625" style="4" customWidth="1"/>
    <col min="49" max="49" width="14.28515625" style="4" customWidth="1"/>
    <col min="50" max="51" width="10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1" width="8.85546875" style="4"/>
    <col min="302" max="302" width="13.5703125" style="4" customWidth="1"/>
    <col min="303" max="303" width="24.42578125" style="4" customWidth="1"/>
    <col min="304" max="304" width="16.28515625" style="4" customWidth="1"/>
    <col min="305" max="305" width="14.28515625" style="4" customWidth="1"/>
    <col min="306" max="307" width="10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7" width="8.85546875" style="4"/>
    <col min="558" max="558" width="13.5703125" style="4" customWidth="1"/>
    <col min="559" max="559" width="24.42578125" style="4" customWidth="1"/>
    <col min="560" max="560" width="16.28515625" style="4" customWidth="1"/>
    <col min="561" max="561" width="14.28515625" style="4" customWidth="1"/>
    <col min="562" max="563" width="10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3" width="8.85546875" style="4"/>
    <col min="814" max="814" width="13.5703125" style="4" customWidth="1"/>
    <col min="815" max="815" width="24.42578125" style="4" customWidth="1"/>
    <col min="816" max="816" width="16.28515625" style="4" customWidth="1"/>
    <col min="817" max="817" width="14.28515625" style="4" customWidth="1"/>
    <col min="818" max="819" width="10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69" width="8.85546875" style="4"/>
    <col min="1070" max="1070" width="13.5703125" style="4" customWidth="1"/>
    <col min="1071" max="1071" width="24.42578125" style="4" customWidth="1"/>
    <col min="1072" max="1072" width="16.28515625" style="4" customWidth="1"/>
    <col min="1073" max="1073" width="14.28515625" style="4" customWidth="1"/>
    <col min="1074" max="1075" width="10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5" width="8.85546875" style="4"/>
    <col min="1326" max="1326" width="13.5703125" style="4" customWidth="1"/>
    <col min="1327" max="1327" width="24.42578125" style="4" customWidth="1"/>
    <col min="1328" max="1328" width="16.28515625" style="4" customWidth="1"/>
    <col min="1329" max="1329" width="14.28515625" style="4" customWidth="1"/>
    <col min="1330" max="1331" width="10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1" width="8.85546875" style="4"/>
    <col min="1582" max="1582" width="13.5703125" style="4" customWidth="1"/>
    <col min="1583" max="1583" width="24.42578125" style="4" customWidth="1"/>
    <col min="1584" max="1584" width="16.28515625" style="4" customWidth="1"/>
    <col min="1585" max="1585" width="14.28515625" style="4" customWidth="1"/>
    <col min="1586" max="1587" width="10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7" width="8.85546875" style="4"/>
    <col min="1838" max="1838" width="13.5703125" style="4" customWidth="1"/>
    <col min="1839" max="1839" width="24.42578125" style="4" customWidth="1"/>
    <col min="1840" max="1840" width="16.28515625" style="4" customWidth="1"/>
    <col min="1841" max="1841" width="14.28515625" style="4" customWidth="1"/>
    <col min="1842" max="1843" width="10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3" width="8.85546875" style="4"/>
    <col min="2094" max="2094" width="13.5703125" style="4" customWidth="1"/>
    <col min="2095" max="2095" width="24.42578125" style="4" customWidth="1"/>
    <col min="2096" max="2096" width="16.28515625" style="4" customWidth="1"/>
    <col min="2097" max="2097" width="14.28515625" style="4" customWidth="1"/>
    <col min="2098" max="2099" width="10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49" width="8.85546875" style="4"/>
    <col min="2350" max="2350" width="13.5703125" style="4" customWidth="1"/>
    <col min="2351" max="2351" width="24.42578125" style="4" customWidth="1"/>
    <col min="2352" max="2352" width="16.28515625" style="4" customWidth="1"/>
    <col min="2353" max="2353" width="14.28515625" style="4" customWidth="1"/>
    <col min="2354" max="2355" width="10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5" width="8.85546875" style="4"/>
    <col min="2606" max="2606" width="13.5703125" style="4" customWidth="1"/>
    <col min="2607" max="2607" width="24.42578125" style="4" customWidth="1"/>
    <col min="2608" max="2608" width="16.28515625" style="4" customWidth="1"/>
    <col min="2609" max="2609" width="14.28515625" style="4" customWidth="1"/>
    <col min="2610" max="2611" width="10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1" width="8.85546875" style="4"/>
    <col min="2862" max="2862" width="13.5703125" style="4" customWidth="1"/>
    <col min="2863" max="2863" width="24.42578125" style="4" customWidth="1"/>
    <col min="2864" max="2864" width="16.28515625" style="4" customWidth="1"/>
    <col min="2865" max="2865" width="14.28515625" style="4" customWidth="1"/>
    <col min="2866" max="2867" width="10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7" width="8.85546875" style="4"/>
    <col min="3118" max="3118" width="13.5703125" style="4" customWidth="1"/>
    <col min="3119" max="3119" width="24.42578125" style="4" customWidth="1"/>
    <col min="3120" max="3120" width="16.28515625" style="4" customWidth="1"/>
    <col min="3121" max="3121" width="14.28515625" style="4" customWidth="1"/>
    <col min="3122" max="3123" width="10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3" width="8.85546875" style="4"/>
    <col min="3374" max="3374" width="13.5703125" style="4" customWidth="1"/>
    <col min="3375" max="3375" width="24.42578125" style="4" customWidth="1"/>
    <col min="3376" max="3376" width="16.28515625" style="4" customWidth="1"/>
    <col min="3377" max="3377" width="14.28515625" style="4" customWidth="1"/>
    <col min="3378" max="3379" width="10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29" width="8.85546875" style="4"/>
    <col min="3630" max="3630" width="13.5703125" style="4" customWidth="1"/>
    <col min="3631" max="3631" width="24.42578125" style="4" customWidth="1"/>
    <col min="3632" max="3632" width="16.28515625" style="4" customWidth="1"/>
    <col min="3633" max="3633" width="14.28515625" style="4" customWidth="1"/>
    <col min="3634" max="3635" width="10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5" width="8.85546875" style="4"/>
    <col min="3886" max="3886" width="13.5703125" style="4" customWidth="1"/>
    <col min="3887" max="3887" width="24.42578125" style="4" customWidth="1"/>
    <col min="3888" max="3888" width="16.28515625" style="4" customWidth="1"/>
    <col min="3889" max="3889" width="14.28515625" style="4" customWidth="1"/>
    <col min="3890" max="3891" width="10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1" width="8.85546875" style="4"/>
    <col min="4142" max="4142" width="13.5703125" style="4" customWidth="1"/>
    <col min="4143" max="4143" width="24.42578125" style="4" customWidth="1"/>
    <col min="4144" max="4144" width="16.28515625" style="4" customWidth="1"/>
    <col min="4145" max="4145" width="14.28515625" style="4" customWidth="1"/>
    <col min="4146" max="4147" width="10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7" width="8.85546875" style="4"/>
    <col min="4398" max="4398" width="13.5703125" style="4" customWidth="1"/>
    <col min="4399" max="4399" width="24.42578125" style="4" customWidth="1"/>
    <col min="4400" max="4400" width="16.28515625" style="4" customWidth="1"/>
    <col min="4401" max="4401" width="14.28515625" style="4" customWidth="1"/>
    <col min="4402" max="4403" width="10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3" width="8.85546875" style="4"/>
    <col min="4654" max="4654" width="13.5703125" style="4" customWidth="1"/>
    <col min="4655" max="4655" width="24.42578125" style="4" customWidth="1"/>
    <col min="4656" max="4656" width="16.28515625" style="4" customWidth="1"/>
    <col min="4657" max="4657" width="14.28515625" style="4" customWidth="1"/>
    <col min="4658" max="4659" width="10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09" width="8.85546875" style="4"/>
    <col min="4910" max="4910" width="13.5703125" style="4" customWidth="1"/>
    <col min="4911" max="4911" width="24.42578125" style="4" customWidth="1"/>
    <col min="4912" max="4912" width="16.28515625" style="4" customWidth="1"/>
    <col min="4913" max="4913" width="14.28515625" style="4" customWidth="1"/>
    <col min="4914" max="4915" width="10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5" width="8.85546875" style="4"/>
    <col min="5166" max="5166" width="13.5703125" style="4" customWidth="1"/>
    <col min="5167" max="5167" width="24.42578125" style="4" customWidth="1"/>
    <col min="5168" max="5168" width="16.28515625" style="4" customWidth="1"/>
    <col min="5169" max="5169" width="14.28515625" style="4" customWidth="1"/>
    <col min="5170" max="5171" width="10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1" width="8.85546875" style="4"/>
    <col min="5422" max="5422" width="13.5703125" style="4" customWidth="1"/>
    <col min="5423" max="5423" width="24.42578125" style="4" customWidth="1"/>
    <col min="5424" max="5424" width="16.28515625" style="4" customWidth="1"/>
    <col min="5425" max="5425" width="14.28515625" style="4" customWidth="1"/>
    <col min="5426" max="5427" width="10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7" width="8.85546875" style="4"/>
    <col min="5678" max="5678" width="13.5703125" style="4" customWidth="1"/>
    <col min="5679" max="5679" width="24.42578125" style="4" customWidth="1"/>
    <col min="5680" max="5680" width="16.28515625" style="4" customWidth="1"/>
    <col min="5681" max="5681" width="14.28515625" style="4" customWidth="1"/>
    <col min="5682" max="5683" width="10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3" width="8.85546875" style="4"/>
    <col min="5934" max="5934" width="13.5703125" style="4" customWidth="1"/>
    <col min="5935" max="5935" width="24.42578125" style="4" customWidth="1"/>
    <col min="5936" max="5936" width="16.28515625" style="4" customWidth="1"/>
    <col min="5937" max="5937" width="14.28515625" style="4" customWidth="1"/>
    <col min="5938" max="5939" width="10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89" width="8.85546875" style="4"/>
    <col min="6190" max="6190" width="13.5703125" style="4" customWidth="1"/>
    <col min="6191" max="6191" width="24.42578125" style="4" customWidth="1"/>
    <col min="6192" max="6192" width="16.28515625" style="4" customWidth="1"/>
    <col min="6193" max="6193" width="14.28515625" style="4" customWidth="1"/>
    <col min="6194" max="6195" width="10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5" width="8.85546875" style="4"/>
    <col min="6446" max="6446" width="13.5703125" style="4" customWidth="1"/>
    <col min="6447" max="6447" width="24.42578125" style="4" customWidth="1"/>
    <col min="6448" max="6448" width="16.28515625" style="4" customWidth="1"/>
    <col min="6449" max="6449" width="14.28515625" style="4" customWidth="1"/>
    <col min="6450" max="6451" width="10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1" width="8.85546875" style="4"/>
    <col min="6702" max="6702" width="13.5703125" style="4" customWidth="1"/>
    <col min="6703" max="6703" width="24.42578125" style="4" customWidth="1"/>
    <col min="6704" max="6704" width="16.28515625" style="4" customWidth="1"/>
    <col min="6705" max="6705" width="14.28515625" style="4" customWidth="1"/>
    <col min="6706" max="6707" width="10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7" width="8.85546875" style="4"/>
    <col min="6958" max="6958" width="13.5703125" style="4" customWidth="1"/>
    <col min="6959" max="6959" width="24.42578125" style="4" customWidth="1"/>
    <col min="6960" max="6960" width="16.28515625" style="4" customWidth="1"/>
    <col min="6961" max="6961" width="14.28515625" style="4" customWidth="1"/>
    <col min="6962" max="6963" width="10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3" width="8.85546875" style="4"/>
    <col min="7214" max="7214" width="13.5703125" style="4" customWidth="1"/>
    <col min="7215" max="7215" width="24.42578125" style="4" customWidth="1"/>
    <col min="7216" max="7216" width="16.28515625" style="4" customWidth="1"/>
    <col min="7217" max="7217" width="14.28515625" style="4" customWidth="1"/>
    <col min="7218" max="7219" width="10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69" width="8.85546875" style="4"/>
    <col min="7470" max="7470" width="13.5703125" style="4" customWidth="1"/>
    <col min="7471" max="7471" width="24.42578125" style="4" customWidth="1"/>
    <col min="7472" max="7472" width="16.28515625" style="4" customWidth="1"/>
    <col min="7473" max="7473" width="14.28515625" style="4" customWidth="1"/>
    <col min="7474" max="7475" width="10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5" width="8.85546875" style="4"/>
    <col min="7726" max="7726" width="13.5703125" style="4" customWidth="1"/>
    <col min="7727" max="7727" width="24.42578125" style="4" customWidth="1"/>
    <col min="7728" max="7728" width="16.28515625" style="4" customWidth="1"/>
    <col min="7729" max="7729" width="14.28515625" style="4" customWidth="1"/>
    <col min="7730" max="7731" width="10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1" width="8.85546875" style="4"/>
    <col min="7982" max="7982" width="13.5703125" style="4" customWidth="1"/>
    <col min="7983" max="7983" width="24.42578125" style="4" customWidth="1"/>
    <col min="7984" max="7984" width="16.28515625" style="4" customWidth="1"/>
    <col min="7985" max="7985" width="14.28515625" style="4" customWidth="1"/>
    <col min="7986" max="7987" width="10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7" width="8.85546875" style="4"/>
    <col min="8238" max="8238" width="13.5703125" style="4" customWidth="1"/>
    <col min="8239" max="8239" width="24.42578125" style="4" customWidth="1"/>
    <col min="8240" max="8240" width="16.28515625" style="4" customWidth="1"/>
    <col min="8241" max="8241" width="14.28515625" style="4" customWidth="1"/>
    <col min="8242" max="8243" width="10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3" width="8.85546875" style="4"/>
    <col min="8494" max="8494" width="13.5703125" style="4" customWidth="1"/>
    <col min="8495" max="8495" width="24.42578125" style="4" customWidth="1"/>
    <col min="8496" max="8496" width="16.28515625" style="4" customWidth="1"/>
    <col min="8497" max="8497" width="14.28515625" style="4" customWidth="1"/>
    <col min="8498" max="8499" width="10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49" width="8.85546875" style="4"/>
    <col min="8750" max="8750" width="13.5703125" style="4" customWidth="1"/>
    <col min="8751" max="8751" width="24.42578125" style="4" customWidth="1"/>
    <col min="8752" max="8752" width="16.28515625" style="4" customWidth="1"/>
    <col min="8753" max="8753" width="14.28515625" style="4" customWidth="1"/>
    <col min="8754" max="8755" width="10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5" width="8.85546875" style="4"/>
    <col min="9006" max="9006" width="13.5703125" style="4" customWidth="1"/>
    <col min="9007" max="9007" width="24.42578125" style="4" customWidth="1"/>
    <col min="9008" max="9008" width="16.28515625" style="4" customWidth="1"/>
    <col min="9009" max="9009" width="14.28515625" style="4" customWidth="1"/>
    <col min="9010" max="9011" width="10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1" width="8.85546875" style="4"/>
    <col min="9262" max="9262" width="13.5703125" style="4" customWidth="1"/>
    <col min="9263" max="9263" width="24.42578125" style="4" customWidth="1"/>
    <col min="9264" max="9264" width="16.28515625" style="4" customWidth="1"/>
    <col min="9265" max="9265" width="14.28515625" style="4" customWidth="1"/>
    <col min="9266" max="9267" width="10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7" width="8.85546875" style="4"/>
    <col min="9518" max="9518" width="13.5703125" style="4" customWidth="1"/>
    <col min="9519" max="9519" width="24.42578125" style="4" customWidth="1"/>
    <col min="9520" max="9520" width="16.28515625" style="4" customWidth="1"/>
    <col min="9521" max="9521" width="14.28515625" style="4" customWidth="1"/>
    <col min="9522" max="9523" width="10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3" width="8.85546875" style="4"/>
    <col min="9774" max="9774" width="13.5703125" style="4" customWidth="1"/>
    <col min="9775" max="9775" width="24.42578125" style="4" customWidth="1"/>
    <col min="9776" max="9776" width="16.28515625" style="4" customWidth="1"/>
    <col min="9777" max="9777" width="14.28515625" style="4" customWidth="1"/>
    <col min="9778" max="9779" width="10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29" width="8.85546875" style="4"/>
    <col min="10030" max="10030" width="13.5703125" style="4" customWidth="1"/>
    <col min="10031" max="10031" width="24.42578125" style="4" customWidth="1"/>
    <col min="10032" max="10032" width="16.28515625" style="4" customWidth="1"/>
    <col min="10033" max="10033" width="14.28515625" style="4" customWidth="1"/>
    <col min="10034" max="10035" width="10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5" width="8.85546875" style="4"/>
    <col min="10286" max="10286" width="13.5703125" style="4" customWidth="1"/>
    <col min="10287" max="10287" width="24.42578125" style="4" customWidth="1"/>
    <col min="10288" max="10288" width="16.28515625" style="4" customWidth="1"/>
    <col min="10289" max="10289" width="14.28515625" style="4" customWidth="1"/>
    <col min="10290" max="10291" width="10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1" width="8.85546875" style="4"/>
    <col min="10542" max="10542" width="13.5703125" style="4" customWidth="1"/>
    <col min="10543" max="10543" width="24.42578125" style="4" customWidth="1"/>
    <col min="10544" max="10544" width="16.28515625" style="4" customWidth="1"/>
    <col min="10545" max="10545" width="14.28515625" style="4" customWidth="1"/>
    <col min="10546" max="10547" width="10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7" width="8.85546875" style="4"/>
    <col min="10798" max="10798" width="13.5703125" style="4" customWidth="1"/>
    <col min="10799" max="10799" width="24.42578125" style="4" customWidth="1"/>
    <col min="10800" max="10800" width="16.28515625" style="4" customWidth="1"/>
    <col min="10801" max="10801" width="14.28515625" style="4" customWidth="1"/>
    <col min="10802" max="10803" width="10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3" width="8.85546875" style="4"/>
    <col min="11054" max="11054" width="13.5703125" style="4" customWidth="1"/>
    <col min="11055" max="11055" width="24.42578125" style="4" customWidth="1"/>
    <col min="11056" max="11056" width="16.28515625" style="4" customWidth="1"/>
    <col min="11057" max="11057" width="14.28515625" style="4" customWidth="1"/>
    <col min="11058" max="11059" width="10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09" width="8.85546875" style="4"/>
    <col min="11310" max="11310" width="13.5703125" style="4" customWidth="1"/>
    <col min="11311" max="11311" width="24.42578125" style="4" customWidth="1"/>
    <col min="11312" max="11312" width="16.28515625" style="4" customWidth="1"/>
    <col min="11313" max="11313" width="14.28515625" style="4" customWidth="1"/>
    <col min="11314" max="11315" width="10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5" width="8.85546875" style="4"/>
    <col min="11566" max="11566" width="13.5703125" style="4" customWidth="1"/>
    <col min="11567" max="11567" width="24.42578125" style="4" customWidth="1"/>
    <col min="11568" max="11568" width="16.28515625" style="4" customWidth="1"/>
    <col min="11569" max="11569" width="14.28515625" style="4" customWidth="1"/>
    <col min="11570" max="11571" width="10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1" width="8.85546875" style="4"/>
    <col min="11822" max="11822" width="13.5703125" style="4" customWidth="1"/>
    <col min="11823" max="11823" width="24.42578125" style="4" customWidth="1"/>
    <col min="11824" max="11824" width="16.28515625" style="4" customWidth="1"/>
    <col min="11825" max="11825" width="14.28515625" style="4" customWidth="1"/>
    <col min="11826" max="11827" width="10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7" width="8.85546875" style="4"/>
    <col min="12078" max="12078" width="13.5703125" style="4" customWidth="1"/>
    <col min="12079" max="12079" width="24.42578125" style="4" customWidth="1"/>
    <col min="12080" max="12080" width="16.28515625" style="4" customWidth="1"/>
    <col min="12081" max="12081" width="14.28515625" style="4" customWidth="1"/>
    <col min="12082" max="12083" width="10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3" width="8.85546875" style="4"/>
    <col min="12334" max="12334" width="13.5703125" style="4" customWidth="1"/>
    <col min="12335" max="12335" width="24.42578125" style="4" customWidth="1"/>
    <col min="12336" max="12336" width="16.28515625" style="4" customWidth="1"/>
    <col min="12337" max="12337" width="14.28515625" style="4" customWidth="1"/>
    <col min="12338" max="12339" width="10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89" width="8.85546875" style="4"/>
    <col min="12590" max="12590" width="13.5703125" style="4" customWidth="1"/>
    <col min="12591" max="12591" width="24.42578125" style="4" customWidth="1"/>
    <col min="12592" max="12592" width="16.28515625" style="4" customWidth="1"/>
    <col min="12593" max="12593" width="14.28515625" style="4" customWidth="1"/>
    <col min="12594" max="12595" width="10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5" width="8.85546875" style="4"/>
    <col min="12846" max="12846" width="13.5703125" style="4" customWidth="1"/>
    <col min="12847" max="12847" width="24.42578125" style="4" customWidth="1"/>
    <col min="12848" max="12848" width="16.28515625" style="4" customWidth="1"/>
    <col min="12849" max="12849" width="14.28515625" style="4" customWidth="1"/>
    <col min="12850" max="12851" width="10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1" width="8.85546875" style="4"/>
    <col min="13102" max="13102" width="13.5703125" style="4" customWidth="1"/>
    <col min="13103" max="13103" width="24.42578125" style="4" customWidth="1"/>
    <col min="13104" max="13104" width="16.28515625" style="4" customWidth="1"/>
    <col min="13105" max="13105" width="14.28515625" style="4" customWidth="1"/>
    <col min="13106" max="13107" width="10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7" width="8.85546875" style="4"/>
    <col min="13358" max="13358" width="13.5703125" style="4" customWidth="1"/>
    <col min="13359" max="13359" width="24.42578125" style="4" customWidth="1"/>
    <col min="13360" max="13360" width="16.28515625" style="4" customWidth="1"/>
    <col min="13361" max="13361" width="14.28515625" style="4" customWidth="1"/>
    <col min="13362" max="13363" width="10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3" width="8.85546875" style="4"/>
    <col min="13614" max="13614" width="13.5703125" style="4" customWidth="1"/>
    <col min="13615" max="13615" width="24.42578125" style="4" customWidth="1"/>
    <col min="13616" max="13616" width="16.28515625" style="4" customWidth="1"/>
    <col min="13617" max="13617" width="14.28515625" style="4" customWidth="1"/>
    <col min="13618" max="13619" width="10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69" width="8.85546875" style="4"/>
    <col min="13870" max="13870" width="13.5703125" style="4" customWidth="1"/>
    <col min="13871" max="13871" width="24.42578125" style="4" customWidth="1"/>
    <col min="13872" max="13872" width="16.28515625" style="4" customWidth="1"/>
    <col min="13873" max="13873" width="14.28515625" style="4" customWidth="1"/>
    <col min="13874" max="13875" width="10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5" width="8.85546875" style="4"/>
    <col min="14126" max="14126" width="13.5703125" style="4" customWidth="1"/>
    <col min="14127" max="14127" width="24.42578125" style="4" customWidth="1"/>
    <col min="14128" max="14128" width="16.28515625" style="4" customWidth="1"/>
    <col min="14129" max="14129" width="14.28515625" style="4" customWidth="1"/>
    <col min="14130" max="14131" width="10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1" width="8.85546875" style="4"/>
    <col min="14382" max="14382" width="13.5703125" style="4" customWidth="1"/>
    <col min="14383" max="14383" width="24.42578125" style="4" customWidth="1"/>
    <col min="14384" max="14384" width="16.28515625" style="4" customWidth="1"/>
    <col min="14385" max="14385" width="14.28515625" style="4" customWidth="1"/>
    <col min="14386" max="14387" width="10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7" width="8.85546875" style="4"/>
    <col min="14638" max="14638" width="13.5703125" style="4" customWidth="1"/>
    <col min="14639" max="14639" width="24.42578125" style="4" customWidth="1"/>
    <col min="14640" max="14640" width="16.28515625" style="4" customWidth="1"/>
    <col min="14641" max="14641" width="14.28515625" style="4" customWidth="1"/>
    <col min="14642" max="14643" width="10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3" width="8.85546875" style="4"/>
    <col min="14894" max="14894" width="13.5703125" style="4" customWidth="1"/>
    <col min="14895" max="14895" width="24.42578125" style="4" customWidth="1"/>
    <col min="14896" max="14896" width="16.28515625" style="4" customWidth="1"/>
    <col min="14897" max="14897" width="14.28515625" style="4" customWidth="1"/>
    <col min="14898" max="14899" width="10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49" width="8.85546875" style="4"/>
    <col min="15150" max="15150" width="13.5703125" style="4" customWidth="1"/>
    <col min="15151" max="15151" width="24.42578125" style="4" customWidth="1"/>
    <col min="15152" max="15152" width="16.28515625" style="4" customWidth="1"/>
    <col min="15153" max="15153" width="14.28515625" style="4" customWidth="1"/>
    <col min="15154" max="15155" width="10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5" width="8.85546875" style="4"/>
    <col min="15406" max="15406" width="13.5703125" style="4" customWidth="1"/>
    <col min="15407" max="15407" width="24.42578125" style="4" customWidth="1"/>
    <col min="15408" max="15408" width="16.28515625" style="4" customWidth="1"/>
    <col min="15409" max="15409" width="14.28515625" style="4" customWidth="1"/>
    <col min="15410" max="15411" width="10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1" width="8.85546875" style="4"/>
    <col min="15662" max="15662" width="13.5703125" style="4" customWidth="1"/>
    <col min="15663" max="15663" width="24.42578125" style="4" customWidth="1"/>
    <col min="15664" max="15664" width="16.28515625" style="4" customWidth="1"/>
    <col min="15665" max="15665" width="14.28515625" style="4" customWidth="1"/>
    <col min="15666" max="15667" width="10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7" width="8.85546875" style="4"/>
    <col min="15918" max="15918" width="13.5703125" style="4" customWidth="1"/>
    <col min="15919" max="15919" width="24.42578125" style="4" customWidth="1"/>
    <col min="15920" max="15920" width="16.28515625" style="4" customWidth="1"/>
    <col min="15921" max="15921" width="14.28515625" style="4" customWidth="1"/>
    <col min="15922" max="15923" width="10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3" width="8.85546875" style="4"/>
    <col min="16174" max="16174" width="13.5703125" style="4" customWidth="1"/>
    <col min="16175" max="16175" width="24.42578125" style="4" customWidth="1"/>
    <col min="16176" max="16176" width="16.28515625" style="4" customWidth="1"/>
    <col min="16177" max="16177" width="14.28515625" style="4" customWidth="1"/>
    <col min="16178" max="16179" width="10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3"/>
      <c r="AW1" s="194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985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>
        <v>18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907</v>
      </c>
      <c r="AV3" s="15" t="s">
        <v>906</v>
      </c>
      <c r="AW3" s="16">
        <f>VLOOKUP(AV3,Initial!G:K,5,FALSE)</f>
        <v>2920</v>
      </c>
      <c r="AX3" s="17">
        <f t="shared" ref="AX3:AX10" si="0">VLOOKUP(AU3,AT$79:AU$174,2,FALSE)</f>
        <v>2878.7634046932203</v>
      </c>
      <c r="AY3" s="18">
        <f t="shared" ref="AY3:AY10" si="1">IF(ISNA(VLOOKUP(AU3,AT$182:AU$234,2,FALSE)),AX3,VLOOKUP(AU3,AT$182:AU$234,2,FALSE))</f>
        <v>2856.7353094689088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174</v>
      </c>
      <c r="F4" s="210"/>
      <c r="G4" s="210"/>
      <c r="H4" s="210"/>
      <c r="I4" s="210"/>
      <c r="J4" s="210"/>
      <c r="K4" s="210"/>
      <c r="L4" s="210"/>
      <c r="M4" s="211"/>
      <c r="N4" s="206" t="s">
        <v>175</v>
      </c>
      <c r="O4" s="207"/>
      <c r="P4" s="207"/>
      <c r="Q4" s="208"/>
      <c r="R4" s="212" t="s">
        <v>176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177</v>
      </c>
      <c r="AC4" s="207"/>
      <c r="AD4" s="207"/>
      <c r="AE4" s="208"/>
      <c r="AF4" s="407">
        <v>42759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80" t="s">
        <v>986</v>
      </c>
      <c r="AV4" s="181" t="s">
        <v>987</v>
      </c>
      <c r="AW4" s="16">
        <f>VLOOKUP(AV4,Initial!G:K,5,FALSE)</f>
        <v>2400</v>
      </c>
      <c r="AX4" s="20">
        <f t="shared" si="0"/>
        <v>2466.7379300254852</v>
      </c>
      <c r="AY4" s="21">
        <f t="shared" si="1"/>
        <v>2454.1833326686874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864</v>
      </c>
      <c r="AV5" s="15" t="s">
        <v>863</v>
      </c>
      <c r="AW5" s="16">
        <f>VLOOKUP(AV5,Initial!G:K,5,FALSE)</f>
        <v>2700</v>
      </c>
      <c r="AX5" s="20">
        <f t="shared" si="0"/>
        <v>2741.0838756749231</v>
      </c>
      <c r="AY5" s="21">
        <f t="shared" si="1"/>
        <v>2770.5404194699536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915</v>
      </c>
      <c r="AV6" s="15" t="s">
        <v>914</v>
      </c>
      <c r="AW6" s="16">
        <f>VLOOKUP(AV6,Initial!G:K,5,FALSE)</f>
        <v>2596.2496974466353</v>
      </c>
      <c r="AX6" s="20">
        <f t="shared" si="0"/>
        <v>2527.3185722496769</v>
      </c>
      <c r="AY6" s="21">
        <f t="shared" si="1"/>
        <v>2553.4369337621843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Matches Won</v>
      </c>
      <c r="M7" s="255"/>
      <c r="N7" s="255"/>
      <c r="O7" s="255"/>
      <c r="P7" s="255"/>
      <c r="Q7" s="256"/>
      <c r="R7" s="254" t="str">
        <f>IF($AK10=0,"Games Lost","Matches Lost")</f>
        <v>Matches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3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925</v>
      </c>
      <c r="AV7" s="15" t="s">
        <v>924</v>
      </c>
      <c r="AW7" s="16">
        <f>VLOOKUP(AV7,Initial!G:K,5,FALSE)</f>
        <v>2578.5617945802783</v>
      </c>
      <c r="AX7" s="20">
        <f t="shared" si="0"/>
        <v>2545.9859245078783</v>
      </c>
      <c r="AY7" s="21">
        <f t="shared" si="1"/>
        <v>2524.5863454487444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SC Midlands 18 Perf</v>
      </c>
      <c r="F8" s="233"/>
      <c r="G8" s="233"/>
      <c r="H8" s="233"/>
      <c r="I8" s="233"/>
      <c r="J8" s="233"/>
      <c r="K8" s="234"/>
      <c r="L8" s="235">
        <f>IF($AK10=0,AF64,AF46)</f>
        <v>2</v>
      </c>
      <c r="M8" s="236"/>
      <c r="N8" s="236"/>
      <c r="O8" s="236"/>
      <c r="P8" s="236"/>
      <c r="Q8" s="256"/>
      <c r="R8" s="235">
        <f>IF($AK10=0,AG64,AG46)</f>
        <v>1</v>
      </c>
      <c r="S8" s="236"/>
      <c r="T8" s="236"/>
      <c r="U8" s="236"/>
      <c r="V8" s="236"/>
      <c r="W8" s="235">
        <f>AQ24</f>
        <v>4</v>
      </c>
      <c r="X8" s="236"/>
      <c r="Y8" s="236"/>
      <c r="Z8" s="239">
        <f>IF(AF58&gt;0,(AQ24/AF58),0)</f>
        <v>2.6315789473684209E-2</v>
      </c>
      <c r="AA8" s="240"/>
      <c r="AB8" s="240"/>
      <c r="AC8" s="262">
        <f>IF(AF72=0,0,(AF64/AF72))</f>
        <v>0.66666666666666663</v>
      </c>
      <c r="AD8" s="263"/>
      <c r="AE8" s="264"/>
      <c r="AF8" s="268">
        <v>2</v>
      </c>
      <c r="AG8" s="268">
        <v>1</v>
      </c>
      <c r="AH8" s="270">
        <v>3</v>
      </c>
      <c r="AI8" s="271"/>
      <c r="AJ8" s="27"/>
      <c r="AK8" s="28">
        <v>6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961</v>
      </c>
      <c r="AV8" s="15" t="s">
        <v>960</v>
      </c>
      <c r="AW8" s="16">
        <f>VLOOKUP(AV8,Initial!G:K,5,FALSE)</f>
        <v>2515.8622226546854</v>
      </c>
      <c r="AX8" s="20">
        <f t="shared" si="0"/>
        <v>2493.5068950266641</v>
      </c>
      <c r="AY8" s="21">
        <f t="shared" si="1"/>
        <v>2479.0590832625021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fj8scmid1pm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4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919</v>
      </c>
      <c r="AV9" s="15" t="s">
        <v>918</v>
      </c>
      <c r="AW9" s="16">
        <f>VLOOKUP(AV9,Initial!G:K,5,FALSE)</f>
        <v>2509.4195548725629</v>
      </c>
      <c r="AX9" s="20">
        <f t="shared" si="0"/>
        <v>2423.9530768001759</v>
      </c>
      <c r="AY9" s="21">
        <f t="shared" si="1"/>
        <v>2433.6821061109645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Augusta Elite 18 Fury</v>
      </c>
      <c r="F10" s="233"/>
      <c r="G10" s="233"/>
      <c r="H10" s="233"/>
      <c r="I10" s="233"/>
      <c r="J10" s="233"/>
      <c r="K10" s="234"/>
      <c r="L10" s="235">
        <f>IF($AK10=0,AF65,AF47)</f>
        <v>0</v>
      </c>
      <c r="M10" s="236"/>
      <c r="N10" s="236"/>
      <c r="O10" s="236"/>
      <c r="P10" s="236"/>
      <c r="Q10" s="256"/>
      <c r="R10" s="235">
        <f>IF($AK10=0,AG65,AG47)</f>
        <v>3</v>
      </c>
      <c r="S10" s="236"/>
      <c r="T10" s="236"/>
      <c r="U10" s="236"/>
      <c r="V10" s="236"/>
      <c r="W10" s="235">
        <f>AQ25</f>
        <v>-46</v>
      </c>
      <c r="X10" s="236"/>
      <c r="Y10" s="236"/>
      <c r="Z10" s="239">
        <f>IF(AF59&gt;0,(AQ25/AF59),0)</f>
        <v>-0.27878787878787881</v>
      </c>
      <c r="AA10" s="240"/>
      <c r="AB10" s="240"/>
      <c r="AC10" s="262">
        <f>IF(AF73=0,0,(AF65/AF73))</f>
        <v>0.14285714285714285</v>
      </c>
      <c r="AD10" s="263"/>
      <c r="AE10" s="264"/>
      <c r="AF10" s="268">
        <v>4</v>
      </c>
      <c r="AG10" s="268">
        <v>1</v>
      </c>
      <c r="AH10" s="270">
        <v>5</v>
      </c>
      <c r="AI10" s="271"/>
      <c r="AJ10" s="27"/>
      <c r="AK10" s="28">
        <v>1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792</v>
      </c>
      <c r="AV10" s="15" t="s">
        <v>791</v>
      </c>
      <c r="AW10" s="16">
        <f>VLOOKUP(AV10,Initial!G:K,5,FALSE)</f>
        <v>2400</v>
      </c>
      <c r="AX10" s="20">
        <f t="shared" si="0"/>
        <v>2542.7435905761381</v>
      </c>
      <c r="AY10" s="21">
        <f t="shared" si="1"/>
        <v>2547.8697393622169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fj8aelit1pm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32"/>
      <c r="AU11" s="133"/>
      <c r="AV11" s="134"/>
      <c r="AW11" s="135"/>
      <c r="AX11" s="136"/>
      <c r="AY11" s="137"/>
    </row>
    <row r="12" spans="1:53" ht="18.75" customHeight="1" thickBot="1" x14ac:dyDescent="0.25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Sumter VBC 18</v>
      </c>
      <c r="F12" s="233"/>
      <c r="G12" s="233"/>
      <c r="H12" s="233"/>
      <c r="I12" s="233"/>
      <c r="J12" s="233"/>
      <c r="K12" s="234"/>
      <c r="L12" s="235">
        <f>IF($AK10=0,AF66,AF48)</f>
        <v>1</v>
      </c>
      <c r="M12" s="236"/>
      <c r="N12" s="236"/>
      <c r="O12" s="236"/>
      <c r="P12" s="236"/>
      <c r="Q12" s="256"/>
      <c r="R12" s="235">
        <f>IF($AK10=0,AG66,AG48)</f>
        <v>2</v>
      </c>
      <c r="S12" s="236"/>
      <c r="T12" s="236"/>
      <c r="U12" s="236"/>
      <c r="V12" s="236"/>
      <c r="W12" s="235">
        <f>AQ26</f>
        <v>-38</v>
      </c>
      <c r="X12" s="236"/>
      <c r="Y12" s="236"/>
      <c r="Z12" s="239">
        <f>IF(AF60&gt;0,(AQ26/AF60),0)</f>
        <v>-0.22754491017964071</v>
      </c>
      <c r="AA12" s="240"/>
      <c r="AB12" s="240"/>
      <c r="AC12" s="262">
        <f>IF(AF74=0,0,(AF66/AF74))</f>
        <v>0.2857142857142857</v>
      </c>
      <c r="AD12" s="263"/>
      <c r="AE12" s="264"/>
      <c r="AF12" s="268">
        <v>3</v>
      </c>
      <c r="AG12" s="268">
        <v>1</v>
      </c>
      <c r="AH12" s="270">
        <v>7</v>
      </c>
      <c r="AI12" s="271"/>
      <c r="AJ12" s="31"/>
      <c r="AK12" s="28">
        <v>3</v>
      </c>
      <c r="AL12" s="32" t="s">
        <v>61</v>
      </c>
      <c r="AM12" s="29"/>
      <c r="AN12" s="29"/>
      <c r="AO12" s="29"/>
      <c r="AP12" s="29"/>
      <c r="AQ12" s="29"/>
      <c r="AR12" s="30"/>
      <c r="AT12" s="138"/>
      <c r="AU12" s="139"/>
      <c r="AV12" s="140"/>
      <c r="AW12" s="141"/>
      <c r="AX12" s="142"/>
      <c r="AY12" s="143"/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fj8sumtr1pm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39" t="s">
        <v>64</v>
      </c>
      <c r="AU13" s="340"/>
      <c r="AV13" s="340"/>
      <c r="AW13" s="340"/>
      <c r="AX13" s="340"/>
      <c r="AY13" s="341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Upward Stars 16 Taylor</v>
      </c>
      <c r="F14" s="233"/>
      <c r="G14" s="233"/>
      <c r="H14" s="233"/>
      <c r="I14" s="233"/>
      <c r="J14" s="233"/>
      <c r="K14" s="234"/>
      <c r="L14" s="235">
        <f>IF($AK10=0,AF67,AF49)</f>
        <v>3</v>
      </c>
      <c r="M14" s="236"/>
      <c r="N14" s="236"/>
      <c r="O14" s="236"/>
      <c r="P14" s="236"/>
      <c r="Q14" s="256"/>
      <c r="R14" s="235">
        <f>IF($AK10=0,AG67,AG49)</f>
        <v>0</v>
      </c>
      <c r="S14" s="236"/>
      <c r="T14" s="236"/>
      <c r="U14" s="236"/>
      <c r="V14" s="236"/>
      <c r="W14" s="235">
        <f>AQ27</f>
        <v>80</v>
      </c>
      <c r="X14" s="236"/>
      <c r="Y14" s="236"/>
      <c r="Z14" s="239">
        <f>IF(AF61&gt;0,(AQ27/AF61),0)</f>
        <v>0.53333333333333333</v>
      </c>
      <c r="AA14" s="240"/>
      <c r="AB14" s="240"/>
      <c r="AC14" s="262">
        <f>IF(AF75=0,0,(AF67/AF75))</f>
        <v>1</v>
      </c>
      <c r="AD14" s="263"/>
      <c r="AE14" s="264"/>
      <c r="AF14" s="268">
        <v>1</v>
      </c>
      <c r="AG14" s="268">
        <v>1</v>
      </c>
      <c r="AH14" s="270">
        <v>2</v>
      </c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42"/>
      <c r="AU14" s="343"/>
      <c r="AV14" s="343"/>
      <c r="AW14" s="343"/>
      <c r="AX14" s="343"/>
      <c r="AY14" s="344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fj6upwrd3pm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</row>
    <row r="16" spans="1:53" ht="18.75" customHeight="1" x14ac:dyDescent="0.2">
      <c r="A16" s="227" t="str">
        <f>IF($AK9&gt;4,"5","")</f>
        <v/>
      </c>
      <c r="B16" s="286" t="s">
        <v>10</v>
      </c>
      <c r="C16" s="287"/>
      <c r="D16" s="287"/>
      <c r="E16" s="232">
        <f>AU11</f>
        <v>0</v>
      </c>
      <c r="F16" s="233"/>
      <c r="G16" s="233"/>
      <c r="H16" s="233"/>
      <c r="I16" s="233"/>
      <c r="J16" s="233"/>
      <c r="K16" s="234"/>
      <c r="L16" s="235">
        <f>IF($AK10=0,AF68,AF50)</f>
        <v>0</v>
      </c>
      <c r="M16" s="236"/>
      <c r="N16" s="236"/>
      <c r="O16" s="236"/>
      <c r="P16" s="236"/>
      <c r="Q16" s="256"/>
      <c r="R16" s="235">
        <f>IF($AK10=0,AG68,AG50)</f>
        <v>0</v>
      </c>
      <c r="S16" s="236"/>
      <c r="T16" s="236"/>
      <c r="U16" s="236"/>
      <c r="V16" s="236"/>
      <c r="W16" s="235">
        <f>AQ28</f>
        <v>0</v>
      </c>
      <c r="X16" s="236"/>
      <c r="Y16" s="236"/>
      <c r="Z16" s="239">
        <f>IF(AF62&gt;0,(AQ28/AF62),0)</f>
        <v>0</v>
      </c>
      <c r="AA16" s="240"/>
      <c r="AB16" s="240"/>
      <c r="AC16" s="262">
        <f>IF(AF76=0,0,(AF68/AF76))</f>
        <v>0</v>
      </c>
      <c r="AD16" s="263"/>
      <c r="AE16" s="264"/>
      <c r="AF16" s="268"/>
      <c r="AG16" s="268"/>
      <c r="AH16" s="270"/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S16" s="39"/>
      <c r="AT16" s="97"/>
      <c r="AU16" s="97"/>
    </row>
    <row r="17" spans="1:47" ht="18.75" customHeight="1" thickBot="1" x14ac:dyDescent="0.25">
      <c r="A17" s="228"/>
      <c r="B17" s="296" t="s">
        <v>11</v>
      </c>
      <c r="C17" s="297"/>
      <c r="D17" s="297"/>
      <c r="E17" s="410">
        <f>AV11</f>
        <v>0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S17" s="39"/>
      <c r="AT17" s="97"/>
      <c r="AU17" s="97"/>
    </row>
    <row r="18" spans="1:47" ht="21" customHeight="1" thickTop="1" thickBot="1" x14ac:dyDescent="0.25">
      <c r="A18" s="40"/>
      <c r="B18" s="305" t="s">
        <v>192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S18" s="39"/>
      <c r="AT18" s="97"/>
      <c r="AU18" s="97"/>
    </row>
    <row r="19" spans="1:47" ht="13.5" customHeight="1" thickTop="1" x14ac:dyDescent="0.2">
      <c r="A19" s="4" t="s">
        <v>66</v>
      </c>
      <c r="B19" s="308">
        <v>0.35416666666666669</v>
      </c>
      <c r="C19" s="309"/>
      <c r="D19" s="310"/>
      <c r="E19" s="308">
        <v>0.39583333333333331</v>
      </c>
      <c r="F19" s="309"/>
      <c r="G19" s="310"/>
      <c r="H19" s="308">
        <v>0.4375</v>
      </c>
      <c r="I19" s="309"/>
      <c r="J19" s="310"/>
      <c r="K19" s="308">
        <v>0.5</v>
      </c>
      <c r="L19" s="309"/>
      <c r="M19" s="310"/>
      <c r="N19" s="308">
        <v>4.1666666666666664E-2</v>
      </c>
      <c r="O19" s="309"/>
      <c r="P19" s="310"/>
      <c r="Q19" s="308">
        <v>8.3333333333333329E-2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S19" s="39"/>
      <c r="AT19" s="97"/>
      <c r="AU19" s="97"/>
    </row>
    <row r="20" spans="1:47" x14ac:dyDescent="0.2">
      <c r="A20" s="41" t="s">
        <v>68</v>
      </c>
      <c r="B20" s="319"/>
      <c r="C20" s="320"/>
      <c r="D20" s="321"/>
      <c r="E20" s="319"/>
      <c r="F20" s="320"/>
      <c r="G20" s="321"/>
      <c r="H20" s="319"/>
      <c r="I20" s="320"/>
      <c r="J20" s="321"/>
      <c r="K20" s="319"/>
      <c r="L20" s="320"/>
      <c r="M20" s="321"/>
      <c r="N20" s="319"/>
      <c r="O20" s="320"/>
      <c r="P20" s="321"/>
      <c r="Q20" s="319"/>
      <c r="R20" s="320"/>
      <c r="S20" s="321"/>
      <c r="T20" s="319"/>
      <c r="U20" s="320"/>
      <c r="V20" s="321"/>
      <c r="W20" s="319"/>
      <c r="X20" s="320"/>
      <c r="Y20" s="321"/>
      <c r="Z20" s="319"/>
      <c r="AA20" s="320"/>
      <c r="AB20" s="321"/>
      <c r="AC20" s="319"/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S20" s="39"/>
      <c r="AT20" s="97"/>
      <c r="AU20" s="97"/>
    </row>
    <row r="21" spans="1:47" x14ac:dyDescent="0.2">
      <c r="A21" s="41" t="s">
        <v>69</v>
      </c>
      <c r="B21" s="319"/>
      <c r="C21" s="320"/>
      <c r="D21" s="321"/>
      <c r="E21" s="319"/>
      <c r="F21" s="320"/>
      <c r="G21" s="321"/>
      <c r="H21" s="319"/>
      <c r="I21" s="320"/>
      <c r="J21" s="321"/>
      <c r="K21" s="319"/>
      <c r="L21" s="320"/>
      <c r="M21" s="321"/>
      <c r="N21" s="319"/>
      <c r="O21" s="320"/>
      <c r="P21" s="321"/>
      <c r="Q21" s="319"/>
      <c r="R21" s="320"/>
      <c r="S21" s="321"/>
      <c r="T21" s="319"/>
      <c r="U21" s="320"/>
      <c r="V21" s="321"/>
      <c r="W21" s="319"/>
      <c r="X21" s="320"/>
      <c r="Y21" s="321"/>
      <c r="Z21" s="319"/>
      <c r="AA21" s="320"/>
      <c r="AB21" s="321"/>
      <c r="AC21" s="319"/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S21" s="6"/>
      <c r="AT21" s="6"/>
      <c r="AU21" s="6"/>
    </row>
    <row r="22" spans="1:47" ht="13.5" thickBot="1" x14ac:dyDescent="0.25">
      <c r="A22" s="7"/>
      <c r="B22" s="322" t="s">
        <v>70</v>
      </c>
      <c r="C22" s="323"/>
      <c r="D22" s="324"/>
      <c r="E22" s="322" t="str">
        <f>IF(AK8&gt;1,"Match 2","")</f>
        <v>Match 2</v>
      </c>
      <c r="F22" s="323"/>
      <c r="G22" s="324"/>
      <c r="H22" s="322" t="str">
        <f>IF(AK8&gt;2,"Match 3","")</f>
        <v>Match 3</v>
      </c>
      <c r="I22" s="323"/>
      <c r="J22" s="324"/>
      <c r="K22" s="322" t="str">
        <f>IF(AK8&gt;3,"Match 4","")</f>
        <v>Match 4</v>
      </c>
      <c r="L22" s="323"/>
      <c r="M22" s="324"/>
      <c r="N22" s="322" t="str">
        <f>IF(AK8&gt;4,"Match 5","")</f>
        <v>Match 5</v>
      </c>
      <c r="O22" s="323"/>
      <c r="P22" s="324"/>
      <c r="Q22" s="322" t="str">
        <f>IF(AK8&gt;5,"Match 6","")</f>
        <v>Match 6</v>
      </c>
      <c r="R22" s="323"/>
      <c r="S22" s="324"/>
      <c r="T22" s="322" t="str">
        <f>IF(AK8&gt;6,"Match 7","")</f>
        <v/>
      </c>
      <c r="U22" s="323"/>
      <c r="V22" s="324"/>
      <c r="W22" s="322" t="str">
        <f>IF(AK8&gt;7,"Match 8","")</f>
        <v/>
      </c>
      <c r="X22" s="323"/>
      <c r="Y22" s="324"/>
      <c r="Z22" s="322" t="str">
        <f>IF(AK8&gt;8,"Match 9","")</f>
        <v/>
      </c>
      <c r="AA22" s="323"/>
      <c r="AB22" s="324"/>
      <c r="AC22" s="322" t="str">
        <f>IF(AK8&gt;9,"Match 10","")</f>
        <v/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S22" s="39"/>
      <c r="AT22" s="97"/>
      <c r="AU22" s="97"/>
    </row>
    <row r="23" spans="1:47" ht="15.75" x14ac:dyDescent="0.25">
      <c r="A23" s="7"/>
      <c r="B23" s="325" t="s">
        <v>73</v>
      </c>
      <c r="C23" s="326"/>
      <c r="D23" s="327"/>
      <c r="E23" s="325" t="s">
        <v>75</v>
      </c>
      <c r="F23" s="326"/>
      <c r="G23" s="327"/>
      <c r="H23" s="325" t="s">
        <v>72</v>
      </c>
      <c r="I23" s="326"/>
      <c r="J23" s="327"/>
      <c r="K23" s="325" t="s">
        <v>71</v>
      </c>
      <c r="L23" s="326"/>
      <c r="M23" s="327"/>
      <c r="N23" s="325" t="s">
        <v>75</v>
      </c>
      <c r="O23" s="326"/>
      <c r="P23" s="327"/>
      <c r="Q23" s="325" t="s">
        <v>72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197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S23" s="144"/>
      <c r="AT23" s="97"/>
      <c r="AU23" s="97"/>
    </row>
    <row r="24" spans="1:47" ht="15.75" x14ac:dyDescent="0.25">
      <c r="A24" s="7"/>
      <c r="B24" s="45">
        <v>2</v>
      </c>
      <c r="C24" s="46" t="s">
        <v>78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>
        <v>2</v>
      </c>
      <c r="U24" s="46" t="str">
        <f>IF(AK8&gt;6,"v","")</f>
        <v/>
      </c>
      <c r="V24" s="47">
        <v>3</v>
      </c>
      <c r="W24" s="45">
        <v>1</v>
      </c>
      <c r="X24" s="46" t="str">
        <f>IF(AK8&gt;7,"v","")</f>
        <v/>
      </c>
      <c r="Y24" s="47">
        <v>5</v>
      </c>
      <c r="Z24" s="45">
        <v>3</v>
      </c>
      <c r="AA24" s="46" t="str">
        <f>IF(AK8&gt;8,"v","")</f>
        <v/>
      </c>
      <c r="AB24" s="47">
        <v>4</v>
      </c>
      <c r="AC24" s="45">
        <v>1</v>
      </c>
      <c r="AD24" s="46" t="str">
        <f>IF(AK8&gt;9,"v","")</f>
        <v/>
      </c>
      <c r="AE24" s="47">
        <v>2</v>
      </c>
      <c r="AF24" s="42" t="str">
        <f>IF(AK9&gt;0,"Team 1","")</f>
        <v>Team 1</v>
      </c>
      <c r="AG24" s="48" t="str">
        <f>IF(AK9&lt;1,"",IF(AK8&lt;1,"",IF(B24=1,B30-D30,IF(D24=1,D30-B30,""))))</f>
        <v/>
      </c>
      <c r="AH24" s="48">
        <f>IF(AK9&lt;1,"",IF(AK8&lt;2,"",IF(E24=1,E30-G30,IF(G24=1,G30-E30,""))))</f>
        <v>-17</v>
      </c>
      <c r="AI24" s="48" t="str">
        <f>IF(AK9&lt;1,"",IF(AK8&lt;3,"",IF(H24=1,H30-J30,IF(J24=1,J30-H30,""))))</f>
        <v/>
      </c>
      <c r="AJ24" s="48">
        <f>IF(AK9&lt;1,"",IF(AK8&lt;4,"",IF(K24=1,K30-M30,IF(M24=1,M30-K30,""))))</f>
        <v>8</v>
      </c>
      <c r="AK24" s="48" t="str">
        <f>IF(AK9&lt;1,"",IF(AK8&lt;5,"",IF(N24=1,N30-P30,IF(P24=1,P30-N30,""))))</f>
        <v/>
      </c>
      <c r="AL24" s="48">
        <f>IF(AK9&lt;1,"",IF(AK8&lt;6,"",IF(Q24=1,Q30-S30,IF(S24=1,S30-Q30,""))))</f>
        <v>13</v>
      </c>
      <c r="AM24" s="48" t="str">
        <f>IF(AK9&lt;1,"",IF(AK8&lt;7,"",IF(T24=1,T30-V30,IF(V24=1,V30-T30,""))))</f>
        <v/>
      </c>
      <c r="AN24" s="48" t="str">
        <f>IF(AK9&lt;1,"",IF(AK8&lt;8,"",IF(W24=1,W30-Y30,IF(Y24=1,Y30-W30,""))))</f>
        <v/>
      </c>
      <c r="AO24" s="48" t="str">
        <f>IF(AK9&lt;1,"",IF(AK8&lt;9,"",IF(Z24=1,Z30-AB30,IF(AB24=1,AB30-Z30,""))))</f>
        <v/>
      </c>
      <c r="AP24" s="48" t="str">
        <f>IF(AK9&lt;1,"",IF(AK8&lt;10,"",IF(AC24=1,AC30-AE30,IF(AE24=1,AE30-AC30,""))))</f>
        <v/>
      </c>
      <c r="AQ24" s="44">
        <f>SUM(AG24:AP24)</f>
        <v>4</v>
      </c>
      <c r="AS24" s="144"/>
      <c r="AT24" s="97"/>
      <c r="AU24" s="97"/>
    </row>
    <row r="25" spans="1:47" ht="15" x14ac:dyDescent="0.2">
      <c r="A25" s="4" t="s">
        <v>79</v>
      </c>
      <c r="B25" s="49">
        <v>22</v>
      </c>
      <c r="C25" s="50" t="s">
        <v>80</v>
      </c>
      <c r="D25" s="51">
        <v>25</v>
      </c>
      <c r="E25" s="49">
        <v>21</v>
      </c>
      <c r="F25" s="50" t="str">
        <f>IF(AK8&gt;1,"/","")</f>
        <v>/</v>
      </c>
      <c r="G25" s="51">
        <v>25</v>
      </c>
      <c r="H25" s="49">
        <v>14</v>
      </c>
      <c r="I25" s="50" t="str">
        <f>IF(AK8&gt;2,"/","")</f>
        <v>/</v>
      </c>
      <c r="J25" s="51">
        <v>25</v>
      </c>
      <c r="K25" s="49">
        <v>25</v>
      </c>
      <c r="L25" s="50" t="str">
        <f>IF(AK8&gt;3,"/","")</f>
        <v>/</v>
      </c>
      <c r="M25" s="51">
        <v>18</v>
      </c>
      <c r="N25" s="49">
        <v>13</v>
      </c>
      <c r="O25" s="50" t="str">
        <f>IF(AK8&gt;4,"/","")</f>
        <v>/</v>
      </c>
      <c r="P25" s="51">
        <v>25</v>
      </c>
      <c r="Q25" s="49">
        <v>25</v>
      </c>
      <c r="R25" s="50" t="str">
        <f>IF(AK8&gt;5,"/","")</f>
        <v>/</v>
      </c>
      <c r="S25" s="51">
        <v>19</v>
      </c>
      <c r="T25" s="49"/>
      <c r="U25" s="50" t="str">
        <f>IF(AK8&gt;6,"/","")</f>
        <v/>
      </c>
      <c r="V25" s="51"/>
      <c r="W25" s="49"/>
      <c r="X25" s="50" t="str">
        <f>IF(AK8&gt;7,"/","")</f>
        <v/>
      </c>
      <c r="Y25" s="51"/>
      <c r="Z25" s="49"/>
      <c r="AA25" s="50" t="str">
        <f>IF(AK8&gt;8,"/","")</f>
        <v/>
      </c>
      <c r="AB25" s="51"/>
      <c r="AC25" s="49"/>
      <c r="AD25" s="50" t="str">
        <f>IF(AK8&gt;9,"/","")</f>
        <v/>
      </c>
      <c r="AE25" s="51"/>
      <c r="AF25" s="42" t="str">
        <f>IF(AK9&gt;1,"Team 2","")</f>
        <v>Team 2</v>
      </c>
      <c r="AG25" s="48">
        <f>IF(AK9&lt;2,"",IF(AK8&lt;1,"",IF(B24=2,B30-D30,IF(D24=2,D30-B30,""))))</f>
        <v>-6</v>
      </c>
      <c r="AH25" s="48" t="str">
        <f>IF(AK9&lt;2,"",IF(AK8&lt;2,"",IF(E24=2,E30-G30,IF(G24=2,G30-E30,""))))</f>
        <v/>
      </c>
      <c r="AI25" s="48">
        <f>IF(AK9&lt;2,"",IF(AK8&lt;3,"",IF(H24=2,H30-J30,IF(J24=2,J30-H30,""))))</f>
        <v>-27</v>
      </c>
      <c r="AJ25" s="48" t="str">
        <f>IF(AK9&lt;2,"",IF(AK8&lt;4,"",IF(K24=2,K30-M30,IF(M24=2,M30-K30,""))))</f>
        <v/>
      </c>
      <c r="AK25" s="48" t="str">
        <f>IF(AK9&lt;2,"",IF(AK8&lt;5,"",IF(N24=2,N30-P30,IF(P24=2,P30-N30,""))))</f>
        <v/>
      </c>
      <c r="AL25" s="48">
        <f>IF(AK9&lt;2,"",IF(AK8&lt;6,"",IF(Q24=2,Q30-S30,IF(S24=2,S30-Q30,""))))</f>
        <v>-13</v>
      </c>
      <c r="AM25" s="48" t="str">
        <f>IF(AK9&lt;2,"",IF(AK8&lt;7,"",IF(T24=2,T30-V30,IF(V24=2,V30-T30,""))))</f>
        <v/>
      </c>
      <c r="AN25" s="48" t="str">
        <f>IF(AK9&lt;2,"",IF(AK8&lt;8,"",IF(W24=2,W30-Y30,IF(Y24=2,Y30-W30,""))))</f>
        <v/>
      </c>
      <c r="AO25" s="48" t="str">
        <f>IF(AK9&lt;2,"",IF(AK8&lt;9,"",IF(Z24=2,Z30-AB30,IF(AB24=2,AB30-Z30,""))))</f>
        <v/>
      </c>
      <c r="AP25" s="48" t="str">
        <f>IF(AK9&lt;2,"",IF(AK8&lt;10,"",IF(AC24=2,AC30-AE30,IF(AE24=2,AE30-AC30,""))))</f>
        <v/>
      </c>
      <c r="AQ25" s="44">
        <f>SUM(AG25:AP25)</f>
        <v>-46</v>
      </c>
    </row>
    <row r="26" spans="1:47" ht="15" x14ac:dyDescent="0.2">
      <c r="A26" s="3" t="str">
        <f>IF(AK7&gt;1,"Game 2","")</f>
        <v>Game 2</v>
      </c>
      <c r="B26" s="49">
        <v>25</v>
      </c>
      <c r="C26" s="50" t="s">
        <v>80</v>
      </c>
      <c r="D26" s="51">
        <v>23</v>
      </c>
      <c r="E26" s="49">
        <v>12</v>
      </c>
      <c r="F26" s="50" t="str">
        <f>IF(AK8&gt;1,IF(AK7&gt;1,"/",""),"")</f>
        <v>/</v>
      </c>
      <c r="G26" s="51">
        <v>25</v>
      </c>
      <c r="H26" s="49">
        <v>9</v>
      </c>
      <c r="I26" s="50" t="str">
        <f>IF(AK8&gt;2,IF(AK7&gt;1,"/",""),"")</f>
        <v>/</v>
      </c>
      <c r="J26" s="51">
        <v>25</v>
      </c>
      <c r="K26" s="49">
        <v>27</v>
      </c>
      <c r="L26" s="50" t="str">
        <f>IF(AK8&gt;3,IF(AK7&gt;1,"/",""),"")</f>
        <v>/</v>
      </c>
      <c r="M26" s="51">
        <v>26</v>
      </c>
      <c r="N26" s="49">
        <v>1</v>
      </c>
      <c r="O26" s="50" t="str">
        <f>IF(AK8&gt;4,IF(AK7&gt;1,"/",""),"")</f>
        <v>/</v>
      </c>
      <c r="P26" s="51">
        <v>25</v>
      </c>
      <c r="Q26" s="49">
        <v>25</v>
      </c>
      <c r="R26" s="50" t="str">
        <f>IF(AK8&gt;5,IF(AK7&gt;1,"/",""),"")</f>
        <v>/</v>
      </c>
      <c r="S26" s="51">
        <v>18</v>
      </c>
      <c r="T26" s="49"/>
      <c r="U26" s="50" t="str">
        <f>IF(AK8&gt;6,IF(AK7&gt;1,"/",""),"")</f>
        <v/>
      </c>
      <c r="V26" s="51"/>
      <c r="W26" s="49"/>
      <c r="X26" s="50" t="str">
        <f>IF(AK8&gt;7,IF(AK7&gt;1,"/",""),"")</f>
        <v/>
      </c>
      <c r="Y26" s="51"/>
      <c r="Z26" s="49"/>
      <c r="AA26" s="50" t="str">
        <f>IF(AK8&gt;8,IF(AK7&gt;1,"/",""),"")</f>
        <v/>
      </c>
      <c r="AB26" s="51"/>
      <c r="AC26" s="49"/>
      <c r="AD26" s="50" t="str">
        <f>IF(AK8&gt;9,IF(AK7&gt;1,"/",""),"")</f>
        <v/>
      </c>
      <c r="AE26" s="51"/>
      <c r="AF26" s="42" t="str">
        <f>IF(AK9&gt;2,"Team 3","")</f>
        <v>Team 3</v>
      </c>
      <c r="AG26" s="48">
        <f>IF(AK9&lt;3,"",IF(AK8&lt;1,"",IF(B24=3,B30-D30,IF(D24=3,D30-B30,""))))</f>
        <v>6</v>
      </c>
      <c r="AH26" s="48" t="str">
        <f>IF(AK9&lt;3,"",IF(AK8&lt;2,"",IF(E24=3,E30-G30,IF(G24=3,G30-E30,""))))</f>
        <v/>
      </c>
      <c r="AI26" s="48" t="str">
        <f>IF(AK9&lt;3,"",IF(AK8&lt;3,"",IF(H24=3,H30-J30,IF(J24=3,J30-H30,""))))</f>
        <v/>
      </c>
      <c r="AJ26" s="48">
        <f>IF(AK9&lt;3,"",IF(AK8&lt;4,"",IF(K24=3,K30-M30,IF(M24=3,M30-K30,""))))</f>
        <v>-8</v>
      </c>
      <c r="AK26" s="48">
        <f>IF(AK9&lt;3,"",IF(AK8&lt;5,"",IF(N24=3,N30-P30,IF(P24=3,P30-N30,""))))</f>
        <v>-36</v>
      </c>
      <c r="AL26" s="48" t="str">
        <f>IF(AK9&lt;3,"",IF(AK8&lt;6,"",IF(Q24=3,Q30-S30,IF(S24=3,S30-Q30,""))))</f>
        <v/>
      </c>
      <c r="AM26" s="48" t="str">
        <f>IF(AK9&lt;3,"",IF(AK8&lt;7,"",IF(T24=3,T30-V30,IF(V24=3,V30-T30,""))))</f>
        <v/>
      </c>
      <c r="AN26" s="48" t="str">
        <f>IF(AK9&lt;3,"",IF(AK8&lt;8,"",IF(W24=3,W30-Y30,IF(Y24=3,Y30-W30,""))))</f>
        <v/>
      </c>
      <c r="AO26" s="48" t="str">
        <f>IF(AK9&lt;3,"",IF(AK8&lt;9,"",IF(Z24=3,Z30-AB30,IF(AB24=3,AB30-Z30,""))))</f>
        <v/>
      </c>
      <c r="AP26" s="48" t="str">
        <f>IF(AK9&lt;3,"",IF(AK8&lt;9,"",IF(AC24=3,AC30-AE30,IF(AE24=3,AE30-AC30,""))))</f>
        <v/>
      </c>
      <c r="AQ26" s="44">
        <f>SUM(AG26:AP26)</f>
        <v>-38</v>
      </c>
    </row>
    <row r="27" spans="1:47" ht="15" x14ac:dyDescent="0.2">
      <c r="A27" s="3" t="str">
        <f>IF(AK7&gt;2,"Game 3","")</f>
        <v>Game 3</v>
      </c>
      <c r="B27" s="49">
        <v>10</v>
      </c>
      <c r="C27" s="50" t="s">
        <v>80</v>
      </c>
      <c r="D27" s="51">
        <v>15</v>
      </c>
      <c r="E27" s="49"/>
      <c r="F27" s="50" t="str">
        <f>IF(AK8&gt;1,IF(AK7&gt;2,"/",""),"")</f>
        <v>/</v>
      </c>
      <c r="G27" s="51"/>
      <c r="H27" s="49"/>
      <c r="I27" s="50" t="str">
        <f>IF(AK8&gt;2,IF(AK7&gt;2,"/",""),"")</f>
        <v>/</v>
      </c>
      <c r="J27" s="51"/>
      <c r="K27" s="49"/>
      <c r="L27" s="50" t="str">
        <f>IF(AK8&gt;3,IF(AK7&gt;2,"/",""),"")</f>
        <v>/</v>
      </c>
      <c r="M27" s="51"/>
      <c r="N27" s="49"/>
      <c r="O27" s="50" t="str">
        <f>IF(AK8&gt;4,IF(AK7&gt;2,"/",""),"")</f>
        <v>/</v>
      </c>
      <c r="P27" s="51"/>
      <c r="Q27" s="49"/>
      <c r="R27" s="50" t="str">
        <f>IF(AK8&gt;5,IF(AK7&gt;2,"/",""),"")</f>
        <v>/</v>
      </c>
      <c r="S27" s="51"/>
      <c r="T27" s="49"/>
      <c r="U27" s="50" t="str">
        <f>IF(AK8&gt;6,IF(AK7&gt;2,"/",""),"")</f>
        <v/>
      </c>
      <c r="V27" s="51"/>
      <c r="W27" s="49"/>
      <c r="X27" s="50" t="str">
        <f>IF(AK8&gt;7,IF(AK7&gt;2,"/",""),"")</f>
        <v/>
      </c>
      <c r="Y27" s="51"/>
      <c r="Z27" s="49"/>
      <c r="AA27" s="50" t="str">
        <f>IF(AK8&gt;8,IF(AK7&gt;2,"/",""),"")</f>
        <v/>
      </c>
      <c r="AB27" s="51"/>
      <c r="AC27" s="49"/>
      <c r="AD27" s="50" t="str">
        <f>IF(AK8&gt;9,IF(AK7&gt;2,"/",""),"")</f>
        <v/>
      </c>
      <c r="AE27" s="51"/>
      <c r="AF27" s="42" t="str">
        <f>IF(AK9&gt;3,"Team 4","")</f>
        <v>Team 4</v>
      </c>
      <c r="AG27" s="48" t="str">
        <f>IF(AK9&lt;4,"",IF(AK8&lt;1,"",IF(B24=4,B30-D30,IF(D24=4,D30-B30,""))))</f>
        <v/>
      </c>
      <c r="AH27" s="48">
        <f>IF(AK9&lt;4,"",IF(AK8&lt;2,"",IF(E24=4,E30-G30,IF(G24=4,G30-E30,""))))</f>
        <v>17</v>
      </c>
      <c r="AI27" s="48">
        <f>IF(AK9&lt;4,"",IF(AK8&lt;3,"",IF(H24=4,H30-J30,IF(J24=4,J30-H30,""))))</f>
        <v>27</v>
      </c>
      <c r="AJ27" s="48" t="str">
        <f>IF(AK9&lt;4,"",IF(AK8&lt;4,"",IF(K24=4,K30-M30,IF(M24=4,M30-K30,""))))</f>
        <v/>
      </c>
      <c r="AK27" s="48">
        <f>IF(AK9&lt;4,"",IF(AK8&lt;5,"",IF(N24=4,N30-P30,IF(P24=4,P30-N30,""))))</f>
        <v>36</v>
      </c>
      <c r="AL27" s="48" t="str">
        <f>IF(AK9&lt;4,"",IF(AK8&lt;6,"",IF(Q24=4,Q30-S30,IF(S24=4,S30-Q30,""))))</f>
        <v/>
      </c>
      <c r="AM27" s="48" t="str">
        <f>IF(AK9&lt;4,"",IF(AK8&lt;7,"",IF(T24=4,T30-V30,IF(V24=4,V30-T30,""))))</f>
        <v/>
      </c>
      <c r="AN27" s="48" t="str">
        <f>IF(AK9&lt;4,"",IF(AK8&lt;8,"",IF(W24=4,W30-Y30,IF(Y24=4,Y30-W30,""))))</f>
        <v/>
      </c>
      <c r="AO27" s="48" t="str">
        <f>IF(AK9&lt;4,"",IF(AK8&lt;9,"",IF(Z24=4,Z30-AB30,IF(AB24=4,AB30-Z30,""))))</f>
        <v/>
      </c>
      <c r="AP27" s="48" t="str">
        <f>IF(AK9&lt;4,"",IF(AK8&lt;10,"",IF(AC24=4,AC30-AE30,IF(AE24=4,AE30-AC30,""))))</f>
        <v/>
      </c>
      <c r="AQ27" s="44">
        <f>SUM(AG27:AP27)</f>
        <v>80</v>
      </c>
    </row>
    <row r="28" spans="1:47" ht="15" x14ac:dyDescent="0.2">
      <c r="A28" s="3" t="str">
        <f>IF(AK7&gt;3,"Game 4","")</f>
        <v/>
      </c>
      <c r="B28" s="49"/>
      <c r="C28" s="50" t="s">
        <v>80</v>
      </c>
      <c r="D28" s="51"/>
      <c r="E28" s="49"/>
      <c r="F28" s="50" t="str">
        <f>IF(AK8&gt;1,IF(AK7&gt;3,"/",""),"")</f>
        <v/>
      </c>
      <c r="G28" s="51"/>
      <c r="H28" s="49"/>
      <c r="I28" s="50" t="str">
        <f>IF(AK8&gt;2,IF(AK7&gt;3,"/",""),"")</f>
        <v/>
      </c>
      <c r="J28" s="51"/>
      <c r="K28" s="49"/>
      <c r="L28" s="50" t="str">
        <f>IF(AK8&gt;3,IF(AK7&gt;3,"/",""),"")</f>
        <v/>
      </c>
      <c r="M28" s="51"/>
      <c r="N28" s="49"/>
      <c r="O28" s="50" t="str">
        <f>IF(AK8&gt;4,IF(AK7&gt;3,"/",""),"")</f>
        <v/>
      </c>
      <c r="P28" s="51"/>
      <c r="Q28" s="49"/>
      <c r="R28" s="50" t="str">
        <f>IF(AK8&gt;5,IF(AK7&gt;3,"/",""),"")</f>
        <v/>
      </c>
      <c r="S28" s="51"/>
      <c r="T28" s="49"/>
      <c r="U28" s="50" t="str">
        <f>IF(AK8&gt;6,IF(AK7&gt;3,"/",""),"")</f>
        <v/>
      </c>
      <c r="V28" s="51"/>
      <c r="W28" s="49"/>
      <c r="X28" s="50" t="str">
        <f>IF(AK8&gt;7,IF(AK7&gt;3,"/",""),"")</f>
        <v/>
      </c>
      <c r="Y28" s="51"/>
      <c r="Z28" s="49"/>
      <c r="AA28" s="50" t="str">
        <f>IF(AK8&gt;8,IF(AK7&gt;3,"/",""),"")</f>
        <v/>
      </c>
      <c r="AB28" s="51"/>
      <c r="AC28" s="49"/>
      <c r="AD28" s="50" t="str">
        <f>IF(AK8&gt;9,IF(AK7&gt;3,"/",""),"")</f>
        <v/>
      </c>
      <c r="AE28" s="51"/>
      <c r="AF28" s="42" t="str">
        <f>IF(AK9&gt;4,"Team 5","")</f>
        <v/>
      </c>
      <c r="AG28" s="52" t="str">
        <f>IF(AK9&lt;5,"",IF(AK8&lt;1,"",IF(B24=5,B30-D30,IF(D24=5,D30-B30,""))))</f>
        <v/>
      </c>
      <c r="AH28" s="48" t="str">
        <f>IF(AK9&lt;5,"",IF(AK8&lt;2,"",IF(E24=5,E30-G30,IF(G24=5,G30-E30,""))))</f>
        <v/>
      </c>
      <c r="AI28" s="48" t="str">
        <f>IF(AK9&lt;5,"",IF(AK8&lt;3,"",IF(H24=5,H30-J30,IF(J24=5,J30-H30,""))))</f>
        <v/>
      </c>
      <c r="AJ28" s="48" t="str">
        <f>IF(AK9&lt;5,"",IF(AK8&lt;4,"",IF(K24=5,K30-M30,IF(M24=5,M30-K30,""))))</f>
        <v/>
      </c>
      <c r="AK28" s="48" t="str">
        <f>IF(AK9&lt;5,"",IF(AK8&lt;5,"",IF(N24=5,N30-P30,IF(P24=5,P30-N30,""))))</f>
        <v/>
      </c>
      <c r="AL28" s="48" t="str">
        <f>IF(AK9&lt;5,"",IF(AK8&lt;6,"",IF(Q24=5,Q30-S30,IF(S24=5,S30-Q30,""))))</f>
        <v/>
      </c>
      <c r="AM28" s="48" t="str">
        <f>IF(AK9&lt;5,"",IF(AK8&lt;7,"",IF(T24=5,T30-V30,IF(V24=5,V30-T30,""))))</f>
        <v/>
      </c>
      <c r="AN28" s="48" t="str">
        <f>IF(AK9&lt;5,"",IF(AK8&lt;8,"",IF(W24=5,W30-Y30,IF(Y24=5,Y30-W30,""))))</f>
        <v/>
      </c>
      <c r="AO28" s="48" t="str">
        <f>IF(AK9&lt;5,"",IF(AK8&lt;9,"",IF(Z24=5,Z30-AB30,IF(AB24=5,AB30-Z30,""))))</f>
        <v/>
      </c>
      <c r="AP28" s="48" t="str">
        <f>IF(AK9&lt;5,"",IF(AK8&lt;10,"",IF(AC24=5,AC30-AE30,IF(AE24=5,AE30-AC30,""))))</f>
        <v/>
      </c>
      <c r="AQ28" s="44">
        <f>SUM(AG28:AP28)</f>
        <v>0</v>
      </c>
    </row>
    <row r="29" spans="1:47" ht="15" x14ac:dyDescent="0.2">
      <c r="A29" s="3" t="str">
        <f>IF(AK7&gt;4,"Game 5","")</f>
        <v/>
      </c>
      <c r="B29" s="49"/>
      <c r="C29" s="50" t="s">
        <v>80</v>
      </c>
      <c r="D29" s="51"/>
      <c r="E29" s="49"/>
      <c r="F29" s="50" t="str">
        <f>IF(AK8&gt;1,IF(AK7&gt;4,"/",""),"")</f>
        <v/>
      </c>
      <c r="G29" s="51"/>
      <c r="H29" s="49"/>
      <c r="I29" s="50" t="str">
        <f>IF(AK8&gt;2,IF(AK7&gt;4,"/",""),"")</f>
        <v/>
      </c>
      <c r="J29" s="51"/>
      <c r="K29" s="49"/>
      <c r="L29" s="50" t="str">
        <f>IF(AK8&gt;3,IF(AK7&gt;4,"/",""),"")</f>
        <v/>
      </c>
      <c r="M29" s="51"/>
      <c r="N29" s="49"/>
      <c r="O29" s="50" t="str">
        <f>IF(AK8&gt;4,IF(AK7&gt;4,"/",""),"")</f>
        <v/>
      </c>
      <c r="P29" s="51"/>
      <c r="Q29" s="49"/>
      <c r="R29" s="50" t="str">
        <f>IF(AK8&gt;5,IF(AK7&gt;4,"/",""),"")</f>
        <v/>
      </c>
      <c r="S29" s="51"/>
      <c r="T29" s="49"/>
      <c r="U29" s="50" t="str">
        <f>IF(AK8&gt;6,IF(AK7&gt;4,"/",""),"")</f>
        <v/>
      </c>
      <c r="V29" s="51"/>
      <c r="W29" s="49"/>
      <c r="X29" s="50" t="str">
        <f>IF(AK8&gt;7,IF(AK7&gt;4,"/",""),"")</f>
        <v/>
      </c>
      <c r="Y29" s="51"/>
      <c r="Z29" s="49"/>
      <c r="AA29" s="50" t="str">
        <f>IF(AK8&gt;8,IF(AK7&gt;4,"/",""),"")</f>
        <v/>
      </c>
      <c r="AB29" s="51"/>
      <c r="AC29" s="49"/>
      <c r="AD29" s="50" t="str">
        <f>IF(AK8&gt;9,IF(AK7&gt;4,"/",""),"")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7" hidden="1" x14ac:dyDescent="0.2">
      <c r="A30" s="53"/>
      <c r="B30" s="53">
        <f>IF($AK7=5,SUM(B25:B29),IF($AK7=4,SUM(B25:B28),IF($AK7=3,SUM(B25:B27),IF($AK7=2,SUM(B25:B26),B25))))</f>
        <v>57</v>
      </c>
      <c r="C30" s="53"/>
      <c r="D30" s="53">
        <f>IF($AK7=5,SUM(D25:D29),IF($AK7=4,SUM(D25:D28),IF($AK7=3,SUM(D25:D27),IF($AK7=2,SUM(D25:D26),D25))))</f>
        <v>63</v>
      </c>
      <c r="E30" s="53">
        <f>IF($AK7=5,SUM(E25:E29),IF($AK7=4,SUM(E25:E28),IF($AK7=3,SUM(E25:E27),IF($AK7=2,SUM(E25:E26),E25))))</f>
        <v>33</v>
      </c>
      <c r="F30" s="53"/>
      <c r="G30" s="53">
        <f>IF($AK7=5,SUM(G25:G29),IF($AK7=4,SUM(G25:G28),IF($AK7=3,SUM(G25:G27),IF($AK7=2,SUM(G25:G26),G25))))</f>
        <v>50</v>
      </c>
      <c r="H30" s="53">
        <f>IF($AK7=5,SUM(H25:H29),IF($AK7=4,SUM(H25:H28),IF($AK7=3,SUM(H25:H27),IF($AK7=2,SUM(H25:H26),H25))))</f>
        <v>23</v>
      </c>
      <c r="I30" s="53"/>
      <c r="J30" s="53">
        <f>IF($AK7=5,SUM(J25:J29),IF($AK7=4,SUM(J25:J28),IF($AK7=3,SUM(J25:J27),IF($AK7=2,SUM(J25:J26),J25))))</f>
        <v>50</v>
      </c>
      <c r="K30" s="53">
        <f>IF($AK7=5,SUM(K25:K29),IF($AK7=4,SUM(K25:K28),IF($AK7=3,SUM(K25:K27),IF($AK7=2,SUM(K25:K26),K25))))</f>
        <v>52</v>
      </c>
      <c r="L30" s="53"/>
      <c r="M30" s="53">
        <f>IF($AK7=5,SUM(M25:M29),IF($AK7=4,SUM(M25:M28),IF($AK7=3,SUM(M25:M27),IF($AK7=2,SUM(M25:M26),M25))))</f>
        <v>44</v>
      </c>
      <c r="N30" s="53">
        <f>IF($AK7=5,SUM(N25:N29),IF($AK7=4,SUM(N25:N28),IF($AK7=3,SUM(N25:N27),IF($AK7=2,SUM(N25:N26),N25))))</f>
        <v>14</v>
      </c>
      <c r="O30" s="53"/>
      <c r="P30" s="53">
        <f>IF($AK7=5,SUM(P25:P29),IF($AK7=4,SUM(P25:P28),IF($AK7=3,SUM(P25:P27),IF($AK7=2,SUM(P25:P26),P25))))</f>
        <v>50</v>
      </c>
      <c r="Q30" s="53">
        <f>IF($AK7=5,SUM(Q25:Q29),IF($AK7=4,SUM(Q25:Q28),IF($AK7=3,SUM(Q25:Q27),IF($AK7=2,SUM(Q25:Q26),Q25))))</f>
        <v>50</v>
      </c>
      <c r="R30" s="53"/>
      <c r="S30" s="53">
        <f>IF($AK7=5,SUM(S25:S29),IF($AK7=4,SUM(S25:S28),IF($AK7=3,SUM(S25:S27),IF($AK7=2,SUM(S25:S26),S25))))</f>
        <v>37</v>
      </c>
      <c r="T30" s="53">
        <f>IF($AK7=5,SUM(T25:T29),IF($AK7=4,SUM(T25:T28),IF($AK7=3,SUM(T25:T27),IF($AK7=2,SUM(T25:T26),T25))))</f>
        <v>0</v>
      </c>
      <c r="U30" s="53"/>
      <c r="V30" s="53">
        <f>IF($AK7=5,SUM(V25:V29),IF($AK7=4,SUM(V25:V28),IF($AK7=3,SUM(V25:V27),IF($AK7=2,SUM(V25:V26),V25))))</f>
        <v>0</v>
      </c>
      <c r="W30" s="53">
        <f>IF($AK7=5,SUM(W25:W29),IF($AK7=4,SUM(W25:W28),IF($AK7=3,SUM(W25:W27),IF($AK7=2,SUM(W25:W26),W25))))</f>
        <v>0</v>
      </c>
      <c r="X30" s="53"/>
      <c r="Y30" s="53">
        <f>IF($AK7=5,SUM(Y25:Y29),IF($AK7=4,SUM(Y25:Y28),IF($AK7=3,SUM(Y25:Y27),IF($AK7=2,SUM(Y25:Y26),Y25))))</f>
        <v>0</v>
      </c>
      <c r="Z30" s="53">
        <f>IF($AK7=5,SUM(Z25:Z29),IF($AK7=4,SUM(Z25:Z28),IF($AK7=3,SUM(Z25:Z27),IF($AK7=2,SUM(Z25:Z26),Z25))))</f>
        <v>0</v>
      </c>
      <c r="AA30" s="53"/>
      <c r="AB30" s="53">
        <f>IF($AK7=5,SUM(AB25:AB29),IF($AK7=4,SUM(AB25:AB28),IF($AK7=3,SUM(AB25:AB27),IF($AK7=2,SUM(AB25:AB26),AB25))))</f>
        <v>0</v>
      </c>
      <c r="AC30" s="53">
        <f>IF($AK7=5,SUM(AC25:AC29),IF($AK7=4,SUM(AC25:AC28),IF($AK7=3,SUM(AC25:AC27),IF($AK7=2,SUM(AC25:AC26),AC25))))</f>
        <v>0</v>
      </c>
      <c r="AD30" s="53"/>
      <c r="AE30" s="53">
        <f>IF($AK7=5,SUM(AE25:AE29),IF($AK7=4,SUM(AE25:AE28),IF($AK7=3,SUM(AE25:AE27),IF($AK7=2,SUM(AE25:AE26),AE25))))</f>
        <v>0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7" s="55" customFormat="1" ht="12.75" hidden="1" customHeight="1" x14ac:dyDescent="0.2">
      <c r="A31" s="55" t="s">
        <v>81</v>
      </c>
      <c r="B31" s="56">
        <f>IF(AND(B25&gt;D25,$AK8&gt;0,ISNUMBER(B25),ISNUMBER(D25)),1,0)</f>
        <v>0</v>
      </c>
      <c r="C31" s="56"/>
      <c r="D31" s="57">
        <f>IF(AND(D25&gt;B25,$AK8&gt;0,ISNUMBER(B25),ISNUMBER(D25)),1,0)</f>
        <v>1</v>
      </c>
      <c r="E31" s="56">
        <f>IF(AND(E25&gt;G25,$AK8&gt;1,ISNUMBER(E25),ISNUMBER(G25)),1,0)</f>
        <v>0</v>
      </c>
      <c r="F31" s="56"/>
      <c r="G31" s="57">
        <f>IF(AND(G25&gt;E25,$AK8&gt;1,ISNUMBER(E25),ISNUMBER(G25)),1,0)</f>
        <v>1</v>
      </c>
      <c r="H31" s="56">
        <f>IF(AND(H25&gt;J25,$AK8&gt;2,ISNUMBER(H25),ISNUMBER(J25)),1,0)</f>
        <v>0</v>
      </c>
      <c r="I31" s="56"/>
      <c r="J31" s="57">
        <f>IF(AND(J25&gt;H25,$AK8&gt;2,ISNUMBER(H25),ISNUMBER(J25)),1,0)</f>
        <v>1</v>
      </c>
      <c r="K31" s="56">
        <f>IF(AND(K25&gt;M25,$AK8&gt;3,ISNUMBER(K25),ISNUMBER(M25)),1,0)</f>
        <v>1</v>
      </c>
      <c r="L31" s="56"/>
      <c r="M31" s="57">
        <f>IF(AND(M25&gt;K25,$AK8&gt;3,ISNUMBER(K25),ISNUMBER(M25)),1,0)</f>
        <v>0</v>
      </c>
      <c r="N31" s="56">
        <f>IF(AND(N25&gt;P25,$AK8&gt;4,ISNUMBER(N25),ISNUMBER(P25)),1,0)</f>
        <v>0</v>
      </c>
      <c r="O31" s="56"/>
      <c r="P31" s="57">
        <f>IF(AND(P25&gt;N25,$AK8&gt;4,ISNUMBER(N25),ISNUMBER(P25)),1,0)</f>
        <v>1</v>
      </c>
      <c r="Q31" s="56">
        <f>IF(AND(Q25&gt;S25,$AK8&gt;5,ISNUMBER(Q25),ISNUMBER(S25)),1,0)</f>
        <v>1</v>
      </c>
      <c r="R31" s="56"/>
      <c r="S31" s="57">
        <f>IF(AND(S25&gt;Q25,$AK8&gt;5,ISNUMBER(Q25),ISNUMBER(S25)),1,0)</f>
        <v>0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0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0</v>
      </c>
      <c r="AD31" s="56"/>
      <c r="AE31" s="57">
        <f>IF(AND(AE25&gt;AC25,$AK8&gt;9,ISNUMBER(AC25),ISNUMBER(AE25)),1,0)</f>
        <v>0</v>
      </c>
    </row>
    <row r="32" spans="1:47" s="55" customFormat="1" ht="12.75" hidden="1" customHeight="1" x14ac:dyDescent="0.2">
      <c r="A32" s="55" t="s">
        <v>82</v>
      </c>
      <c r="B32" s="56">
        <f>IF(AND(B26&gt;D26,$AK8&gt;0,$AK7&gt;1,ISNUMBER(B26),ISNUMBER(D26)),1,0)</f>
        <v>1</v>
      </c>
      <c r="C32" s="56"/>
      <c r="D32" s="57">
        <f>IF(AND(D26&gt;B26,$AK8&gt;0,$AK7&gt;1,ISNUMBER(B26),ISNUMBER(D26)),1,0)</f>
        <v>0</v>
      </c>
      <c r="E32" s="56">
        <f>IF(AND(E26&gt;G26,$AK8&gt;1,$AK7&gt;1,ISNUMBER(E26),ISNUMBER(G26)),1,0)</f>
        <v>0</v>
      </c>
      <c r="F32" s="56"/>
      <c r="G32" s="57">
        <f>IF(AND(G26&gt;E26,$AK8&gt;1,$AK7&gt;1,ISNUMBER(E26),ISNUMBER(G26)),1,0)</f>
        <v>1</v>
      </c>
      <c r="H32" s="56">
        <f>IF(AND(H26&gt;J26,$AK8&gt;2,$AK7&gt;1,ISNUMBER(H26),ISNUMBER(J26)),1,0)</f>
        <v>0</v>
      </c>
      <c r="I32" s="56"/>
      <c r="J32" s="57">
        <f>IF(AND(J26&gt;H26,$AK8&gt;2,$AK7&gt;1,ISNUMBER(H26),ISNUMBER(J26)),1,0)</f>
        <v>1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1</v>
      </c>
      <c r="Q32" s="56">
        <f>IF(AND(Q26&gt;S26,$AK8&gt;5,$AK7&gt;1,ISNUMBER(Q26),ISNUMBER(S26)),1,0)</f>
        <v>1</v>
      </c>
      <c r="R32" s="56"/>
      <c r="S32" s="57">
        <f>IF(AND(S26&gt;Q26,$AK8&gt;5,$AK7&gt;1,ISNUMBER(Q26),ISNUMBER(S26)),1,0)</f>
        <v>0</v>
      </c>
      <c r="T32" s="56">
        <f>IF(AND(T26&gt;V26,$AK8&gt;6,$AK7&gt;1,ISNUMBER(T26),ISNUMBER(V26)),1,0)</f>
        <v>0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0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0</v>
      </c>
    </row>
    <row r="33" spans="1:33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1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</row>
    <row r="34" spans="1:33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</row>
    <row r="35" spans="1:33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</row>
    <row r="36" spans="1:33" s="55" customFormat="1" ht="38.25" hidden="1" customHeight="1" x14ac:dyDescent="0.2">
      <c r="A36" s="59" t="s">
        <v>86</v>
      </c>
      <c r="B36" s="55">
        <f>SUM(B31:B35)</f>
        <v>1</v>
      </c>
      <c r="D36" s="60">
        <f>SUM(D31:D35)</f>
        <v>2</v>
      </c>
      <c r="E36" s="55">
        <f>SUM(E31:E35)</f>
        <v>0</v>
      </c>
      <c r="G36" s="60">
        <f>SUM(G31:G35)</f>
        <v>2</v>
      </c>
      <c r="H36" s="55">
        <f>SUM(H31:H35)</f>
        <v>0</v>
      </c>
      <c r="J36" s="60">
        <f>SUM(J31:J35)</f>
        <v>2</v>
      </c>
      <c r="K36" s="55">
        <f>SUM(K31:K35)</f>
        <v>2</v>
      </c>
      <c r="M36" s="60">
        <f>SUM(M31:M35)</f>
        <v>0</v>
      </c>
      <c r="N36" s="55">
        <f>SUM(N31:N35)</f>
        <v>0</v>
      </c>
      <c r="P36" s="60">
        <f>SUM(P31:P35)</f>
        <v>2</v>
      </c>
      <c r="Q36" s="55">
        <f>SUM(Q31:Q35)</f>
        <v>2</v>
      </c>
      <c r="S36" s="60">
        <f>SUM(S31:S35)</f>
        <v>0</v>
      </c>
      <c r="T36" s="55">
        <f>SUM(T31:T35)</f>
        <v>0</v>
      </c>
      <c r="V36" s="60">
        <f>SUM(V31:V35)</f>
        <v>0</v>
      </c>
      <c r="W36" s="55">
        <f>SUM(W31:W35)</f>
        <v>0</v>
      </c>
      <c r="Y36" s="60">
        <f>SUM(Y31:Y35)</f>
        <v>0</v>
      </c>
      <c r="Z36" s="55">
        <f>SUM(Z31:Z35)</f>
        <v>0</v>
      </c>
      <c r="AB36" s="60">
        <f>SUM(AB31:AB35)</f>
        <v>0</v>
      </c>
      <c r="AC36" s="55">
        <f>SUM(AC31:AC35)</f>
        <v>0</v>
      </c>
      <c r="AE36" s="60">
        <f>SUM(AE31:AE35)</f>
        <v>0</v>
      </c>
    </row>
    <row r="37" spans="1:33" s="55" customFormat="1" ht="25.5" hidden="1" customHeight="1" x14ac:dyDescent="0.2">
      <c r="A37" s="59" t="s">
        <v>87</v>
      </c>
      <c r="B37" s="55">
        <f>IF(B36&gt;D36,IF(C71=AK7,1,IF(C71=AK7-1,1,0)),0)</f>
        <v>0</v>
      </c>
      <c r="C37" s="55">
        <f>B37+D37</f>
        <v>1</v>
      </c>
      <c r="D37" s="60">
        <f>IF(D36&gt;B36,IF(C71=AK7,1,IF(C71=AK7-1,1,0)),0)</f>
        <v>1</v>
      </c>
      <c r="E37" s="55">
        <f>IF(E36&gt;G36,IF(F71=AK7,1,IF(F71=AK7-1,1,0)),0)</f>
        <v>0</v>
      </c>
      <c r="F37" s="55">
        <f>E37+G37</f>
        <v>1</v>
      </c>
      <c r="G37" s="60">
        <f>IF(G36&gt;E36,IF(F71=AK7,1,IF(F71=AK7-1,1,0)),0)</f>
        <v>1</v>
      </c>
      <c r="H37" s="55">
        <f>IF(H36&gt;J36,IF(I71=AK7,1,IF(I71=AK7-1,1,0)),0)</f>
        <v>0</v>
      </c>
      <c r="I37" s="55">
        <f>H37+J37</f>
        <v>1</v>
      </c>
      <c r="J37" s="60">
        <f>IF(J36&gt;H36,IF(I71=AK7,1,IF(I71=AK7-1,1,0)),0)</f>
        <v>1</v>
      </c>
      <c r="K37" s="55">
        <f>IF(K36&gt;M36,IF(L71=AK7,1,IF(L71=AK7-1,1,0)),0)</f>
        <v>1</v>
      </c>
      <c r="L37" s="55">
        <f>K37+M37</f>
        <v>1</v>
      </c>
      <c r="M37" s="60">
        <f>IF(M36&gt;K36,IF(L71=AK7,1,IF(L71=AK7-1,1,0)),0)</f>
        <v>0</v>
      </c>
      <c r="N37" s="55">
        <f>IF(N36&gt;P36,IF(O71=AK7,1,IF(O71=AK7-1,1,0)),0)</f>
        <v>0</v>
      </c>
      <c r="O37" s="55">
        <f>N37+P37</f>
        <v>1</v>
      </c>
      <c r="P37" s="60">
        <f>IF(P36&gt;N36,IF(O71=AK7,1,IF(O71=AK7-1,1,0)),0)</f>
        <v>1</v>
      </c>
      <c r="Q37" s="55">
        <f>IF(Q36&gt;S36,IF(R71=AK7,1,IF(R71=AK7-1,1,0)),0)</f>
        <v>1</v>
      </c>
      <c r="R37" s="55">
        <f>Q37+S37</f>
        <v>1</v>
      </c>
      <c r="S37" s="60">
        <f>IF(S36&gt;Q36,IF(R71=AK7,1,IF(R71=AK7-1,1,0)),0)</f>
        <v>0</v>
      </c>
      <c r="T37" s="55">
        <f>IF(T36&gt;V36,IF(U71=AK7,1,IF(U71=AK7-1,1,0)),0)</f>
        <v>0</v>
      </c>
      <c r="U37" s="55">
        <f>T37+V37</f>
        <v>0</v>
      </c>
      <c r="V37" s="60">
        <f>IF(V36&gt;T36,IF(U71=AK7,1,IF(U71=AK7-1,1,0)),0)</f>
        <v>0</v>
      </c>
      <c r="W37" s="55">
        <f>IF(W36&gt;Y36,IF(X71=AK7,1,IF(X71=AK7-1,1,0)),0)</f>
        <v>0</v>
      </c>
      <c r="X37" s="55">
        <f>W37+Y37</f>
        <v>0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0</v>
      </c>
      <c r="AB37" s="60">
        <f>IF(AB36&gt;Z36,IF(AA71=AK7,1,IF(AA71=AK7-1,1,0)),0)</f>
        <v>0</v>
      </c>
      <c r="AC37" s="55">
        <f>IF(AC36&gt;AE36,IF(AD71=AK7,1,IF(AD71=AK7-1,1,0)),0)</f>
        <v>0</v>
      </c>
      <c r="AD37" s="55">
        <f>AC37+AE37</f>
        <v>0</v>
      </c>
      <c r="AE37" s="60">
        <f>IF(AE36&gt;AC36,IF(AD71=AK7,1,IF(AD71=AK7-1,1,0)),0)</f>
        <v>0</v>
      </c>
    </row>
    <row r="38" spans="1:33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</row>
    <row r="39" spans="1:33" s="55" customFormat="1" ht="12.75" hidden="1" customHeight="1" x14ac:dyDescent="0.2">
      <c r="A39" s="55" t="s">
        <v>88</v>
      </c>
      <c r="B39" s="55">
        <f>IF(B31=1,B25,0)</f>
        <v>0</v>
      </c>
      <c r="D39" s="60">
        <f t="shared" ref="D39:E43" si="2">IF(D31=1,D25,0)</f>
        <v>25</v>
      </c>
      <c r="E39" s="55">
        <f t="shared" si="2"/>
        <v>0</v>
      </c>
      <c r="G39" s="60">
        <f t="shared" ref="G39:H43" si="3">IF(G31=1,G25,0)</f>
        <v>25</v>
      </c>
      <c r="H39" s="55">
        <f t="shared" si="3"/>
        <v>0</v>
      </c>
      <c r="J39" s="60">
        <f t="shared" ref="J39:K43" si="4">IF(J31=1,J25,0)</f>
        <v>25</v>
      </c>
      <c r="K39" s="55">
        <f t="shared" si="4"/>
        <v>25</v>
      </c>
      <c r="M39" s="60">
        <f t="shared" ref="M39:N43" si="5">IF(M31=1,M25,0)</f>
        <v>0</v>
      </c>
      <c r="N39" s="55">
        <f t="shared" si="5"/>
        <v>0</v>
      </c>
      <c r="P39" s="60">
        <f t="shared" ref="P39:Q43" si="6">IF(P31=1,P25,0)</f>
        <v>25</v>
      </c>
      <c r="Q39" s="55">
        <f t="shared" si="6"/>
        <v>25</v>
      </c>
      <c r="S39" s="60">
        <f t="shared" ref="S39:T43" si="7">IF(S31=1,S25,0)</f>
        <v>0</v>
      </c>
      <c r="T39" s="55">
        <f t="shared" si="7"/>
        <v>0</v>
      </c>
      <c r="V39" s="60">
        <f t="shared" ref="V39:W43" si="8">IF(V31=1,V25,0)</f>
        <v>0</v>
      </c>
      <c r="W39" s="55">
        <f t="shared" si="8"/>
        <v>0</v>
      </c>
      <c r="Y39" s="60">
        <f t="shared" ref="Y39:Z43" si="9">IF(Y31=1,Y25,0)</f>
        <v>0</v>
      </c>
      <c r="Z39" s="55">
        <f t="shared" si="9"/>
        <v>0</v>
      </c>
      <c r="AB39" s="60">
        <f t="shared" ref="AB39:AC43" si="10">IF(AB31=1,AB25,0)</f>
        <v>0</v>
      </c>
      <c r="AC39" s="55">
        <f t="shared" si="10"/>
        <v>0</v>
      </c>
      <c r="AE39" s="60">
        <f>IF(AE31=1,AE25,0)</f>
        <v>0</v>
      </c>
    </row>
    <row r="40" spans="1:33" s="55" customFormat="1" ht="12.75" hidden="1" customHeight="1" x14ac:dyDescent="0.2">
      <c r="A40" s="55" t="s">
        <v>89</v>
      </c>
      <c r="B40" s="55">
        <f>IF(B32=1,B26,0)</f>
        <v>25</v>
      </c>
      <c r="D40" s="60">
        <f t="shared" si="2"/>
        <v>0</v>
      </c>
      <c r="E40" s="55">
        <f t="shared" si="2"/>
        <v>0</v>
      </c>
      <c r="G40" s="60">
        <f t="shared" si="3"/>
        <v>25</v>
      </c>
      <c r="H40" s="55">
        <f t="shared" si="3"/>
        <v>0</v>
      </c>
      <c r="J40" s="60">
        <f t="shared" si="4"/>
        <v>25</v>
      </c>
      <c r="K40" s="55">
        <f t="shared" si="4"/>
        <v>27</v>
      </c>
      <c r="M40" s="60">
        <f t="shared" si="5"/>
        <v>0</v>
      </c>
      <c r="N40" s="55">
        <f t="shared" si="5"/>
        <v>0</v>
      </c>
      <c r="P40" s="60">
        <f t="shared" si="6"/>
        <v>25</v>
      </c>
      <c r="Q40" s="55">
        <f t="shared" si="6"/>
        <v>25</v>
      </c>
      <c r="S40" s="60">
        <f t="shared" si="7"/>
        <v>0</v>
      </c>
      <c r="T40" s="55">
        <f t="shared" si="7"/>
        <v>0</v>
      </c>
      <c r="V40" s="60">
        <f t="shared" si="8"/>
        <v>0</v>
      </c>
      <c r="W40" s="55">
        <f t="shared" si="8"/>
        <v>0</v>
      </c>
      <c r="Y40" s="60">
        <f t="shared" si="9"/>
        <v>0</v>
      </c>
      <c r="Z40" s="55">
        <f t="shared" si="9"/>
        <v>0</v>
      </c>
      <c r="AB40" s="60">
        <f t="shared" si="10"/>
        <v>0</v>
      </c>
      <c r="AC40" s="55">
        <f t="shared" si="10"/>
        <v>0</v>
      </c>
      <c r="AE40" s="60">
        <f>IF(AE32=1,AE26,0)</f>
        <v>0</v>
      </c>
    </row>
    <row r="41" spans="1:33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15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</row>
    <row r="42" spans="1:33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</row>
    <row r="43" spans="1:33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</row>
    <row r="44" spans="1:33" s="55" customFormat="1" ht="38.25" hidden="1" customHeight="1" x14ac:dyDescent="0.2">
      <c r="A44" s="59" t="s">
        <v>93</v>
      </c>
      <c r="B44" s="55">
        <f>SUM(B39:D43)</f>
        <v>65</v>
      </c>
      <c r="D44" s="60"/>
      <c r="E44" s="55">
        <f>SUM(E39:G43)</f>
        <v>50</v>
      </c>
      <c r="G44" s="60"/>
      <c r="H44" s="55">
        <f>SUM(H39:J43)</f>
        <v>50</v>
      </c>
      <c r="J44" s="60"/>
      <c r="K44" s="55">
        <f>SUM(K39:M43)</f>
        <v>52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0</v>
      </c>
      <c r="V44" s="60"/>
      <c r="W44" s="55">
        <f>SUM(W39:Y43)</f>
        <v>0</v>
      </c>
      <c r="Y44" s="60"/>
      <c r="Z44" s="55">
        <f>SUM(Z39:AB43)</f>
        <v>0</v>
      </c>
      <c r="AB44" s="60"/>
      <c r="AC44" s="55">
        <f>SUM(AC39:AE43)</f>
        <v>0</v>
      </c>
      <c r="AE44" s="60"/>
    </row>
    <row r="45" spans="1:33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</row>
    <row r="46" spans="1:33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0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1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1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0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2</v>
      </c>
      <c r="AG46" s="55">
        <f>AF52-AF46</f>
        <v>1</v>
      </c>
    </row>
    <row r="47" spans="1:33" s="55" customFormat="1" ht="12.75" hidden="1" customHeight="1" x14ac:dyDescent="0.2">
      <c r="A47" s="55" t="s">
        <v>98</v>
      </c>
      <c r="B47" s="55">
        <f>IF(B24=2,IF(B37=1,1,0),0)</f>
        <v>0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0</v>
      </c>
      <c r="AG47" s="55">
        <f>AF53-AF47</f>
        <v>3</v>
      </c>
    </row>
    <row r="48" spans="1:33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1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1</v>
      </c>
      <c r="AG48" s="55">
        <f>AF54-AF48</f>
        <v>2</v>
      </c>
    </row>
    <row r="49" spans="1:37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1</v>
      </c>
      <c r="H49" s="55">
        <f>IF(H24=4,IF(H37=1,1,0),0)</f>
        <v>0</v>
      </c>
      <c r="J49" s="60">
        <f>IF(J24=4,IF(J37=1,1,0),0)</f>
        <v>1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1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3</v>
      </c>
      <c r="AG49" s="55">
        <f>AF55-AF49</f>
        <v>0</v>
      </c>
    </row>
    <row r="50" spans="1:37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0</v>
      </c>
      <c r="AG50" s="55">
        <f>AF56-AF50</f>
        <v>0</v>
      </c>
    </row>
    <row r="51" spans="1:37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</row>
    <row r="52" spans="1:37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1</v>
      </c>
      <c r="M52" s="60">
        <f>IF(M24=1,IF(L37=1,1,0),0)</f>
        <v>0</v>
      </c>
      <c r="N52" s="55">
        <f>IF(N24=1,IF(O37=1,1,0),0)</f>
        <v>0</v>
      </c>
      <c r="P52" s="60">
        <f>IF(P24=1,IF(O37=1,1,0),0)</f>
        <v>0</v>
      </c>
      <c r="Q52" s="55">
        <f>IF(Q24=1,IF(R37=1,1,0),0)</f>
        <v>1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0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0</v>
      </c>
      <c r="AE52" s="60">
        <f>IF(AE24=1,IF(AD37=1,1,0),0)</f>
        <v>0</v>
      </c>
      <c r="AF52" s="55">
        <f>SUM(B52:AE52)</f>
        <v>3</v>
      </c>
    </row>
    <row r="53" spans="1:37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1</v>
      </c>
      <c r="J53" s="60">
        <f>IF(J24=2,IF(I37=1,1,0),0)</f>
        <v>0</v>
      </c>
      <c r="K53" s="55">
        <f>IF(K24=2,IF(L37=1,1,0),0)</f>
        <v>0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1</v>
      </c>
      <c r="T53" s="55">
        <f>IF(T24=2,IF(U37=1,1,0),0)</f>
        <v>0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0</v>
      </c>
      <c r="AF53" s="55">
        <f>SUM(B53:AE53)</f>
        <v>3</v>
      </c>
    </row>
    <row r="54" spans="1:37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1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0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1</v>
      </c>
      <c r="N54" s="55">
        <f>IF(N24=3,IF(O37=1,1,0),0)</f>
        <v>1</v>
      </c>
      <c r="P54" s="60">
        <f>IF(P24=3,IF(O37=1,1,0),0)</f>
        <v>0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0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0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3</v>
      </c>
    </row>
    <row r="55" spans="1:37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1</v>
      </c>
      <c r="K55" s="55">
        <f>IF(K24=4,IF(L37=1,1,0),0)</f>
        <v>0</v>
      </c>
      <c r="M55" s="60">
        <f>IF(M24=4,IF(L37=1,1,0),0)</f>
        <v>0</v>
      </c>
      <c r="N55" s="55">
        <f>IF(N24=4,IF(O37=1,1,0),0)</f>
        <v>0</v>
      </c>
      <c r="P55" s="60">
        <f>IF(P24=4,IF(O37=1,1,0),0)</f>
        <v>1</v>
      </c>
      <c r="Q55" s="55">
        <f>IF(Q24=4,IF(R37=1,1,0),0)</f>
        <v>0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0</v>
      </c>
      <c r="AC55" s="55">
        <f>IF(AC24=4,IF(AD37=1,1,0),0)</f>
        <v>0</v>
      </c>
      <c r="AE55" s="60">
        <f>IF(AE24=4,IF(AD37=1,1,0),0)</f>
        <v>0</v>
      </c>
      <c r="AF55" s="55">
        <f>SUM(B55:AE55)</f>
        <v>3</v>
      </c>
    </row>
    <row r="56" spans="1:37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0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0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0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0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0</v>
      </c>
    </row>
    <row r="57" spans="1:37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</row>
    <row r="58" spans="1:37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50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52</v>
      </c>
      <c r="M58" s="60">
        <f>IF(M24=1,K44,0)</f>
        <v>0</v>
      </c>
      <c r="N58" s="55">
        <f>IF(N24=1,N44,0)</f>
        <v>0</v>
      </c>
      <c r="P58" s="60">
        <f>IF(P24=1,N44,0)</f>
        <v>0</v>
      </c>
      <c r="Q58" s="55">
        <f>IF(Q24=1,Q44,0)</f>
        <v>50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0</v>
      </c>
      <c r="AE58" s="60">
        <f>IF(AE24=1,AC44,0)</f>
        <v>0</v>
      </c>
      <c r="AF58" s="55">
        <f>SUM(B58:AE58)</f>
        <v>152</v>
      </c>
    </row>
    <row r="59" spans="1:37" s="55" customFormat="1" ht="12.75" hidden="1" customHeight="1" x14ac:dyDescent="0.2">
      <c r="A59" s="55" t="s">
        <v>104</v>
      </c>
      <c r="B59" s="55">
        <f>IF(B24=2,B44,0)</f>
        <v>65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50</v>
      </c>
      <c r="J59" s="60">
        <f>IF(J24=2,H44,0)</f>
        <v>0</v>
      </c>
      <c r="K59" s="55">
        <f>IF(K24=2,K44,0)</f>
        <v>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50</v>
      </c>
      <c r="T59" s="55">
        <f>IF(T24=2,T44,0)</f>
        <v>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0</v>
      </c>
      <c r="AF59" s="55">
        <f>SUM(B59:AE59)</f>
        <v>165</v>
      </c>
    </row>
    <row r="60" spans="1:37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65</v>
      </c>
      <c r="E60" s="55">
        <f>IF(E24=3,E44,0)</f>
        <v>0</v>
      </c>
      <c r="G60" s="60">
        <f>IF(G24=3,E44,0)</f>
        <v>0</v>
      </c>
      <c r="H60" s="55">
        <f>IF(H24=3,H44,0)</f>
        <v>0</v>
      </c>
      <c r="J60" s="60">
        <f>IF(J24=3,H44,0)</f>
        <v>0</v>
      </c>
      <c r="K60" s="55">
        <f>IF(K24=3,K44,0)</f>
        <v>0</v>
      </c>
      <c r="M60" s="60">
        <f>IF(M24=3,K44,0)</f>
        <v>52</v>
      </c>
      <c r="N60" s="55">
        <f>IF(N24=3,N44,0)</f>
        <v>50</v>
      </c>
      <c r="P60" s="60">
        <f>IF(P24=3,N44,0)</f>
        <v>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0</v>
      </c>
      <c r="W60" s="55">
        <f>IF(W24=3,W44,0)</f>
        <v>0</v>
      </c>
      <c r="Y60" s="60">
        <f>IF(Y24=3,W44,0)</f>
        <v>0</v>
      </c>
      <c r="Z60" s="55">
        <f>IF(Z24=3,Z44,0)</f>
        <v>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167</v>
      </c>
    </row>
    <row r="61" spans="1:37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50</v>
      </c>
      <c r="H61" s="55">
        <f>IF(H24=4,H44,0)</f>
        <v>0</v>
      </c>
      <c r="J61" s="60">
        <f>IF(J24=4,H44,0)</f>
        <v>50</v>
      </c>
      <c r="K61" s="55">
        <f>IF(K24=4,K44,0)</f>
        <v>0</v>
      </c>
      <c r="M61" s="60">
        <f>IF(M24=4,K44,0)</f>
        <v>0</v>
      </c>
      <c r="N61" s="55">
        <f>IF(N24=4,N44,0)</f>
        <v>0</v>
      </c>
      <c r="P61" s="60">
        <f>IF(P24=4,N44,0)</f>
        <v>50</v>
      </c>
      <c r="Q61" s="55">
        <f>IF(Q24=4,Q44,0)</f>
        <v>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0</v>
      </c>
      <c r="AC61" s="55">
        <f>IF(AC24=4,AC44,0)</f>
        <v>0</v>
      </c>
      <c r="AE61" s="60">
        <f>IF(AE24=4,AC44,0)</f>
        <v>0</v>
      </c>
      <c r="AF61" s="55">
        <f>SUM(B61:AE61)</f>
        <v>150</v>
      </c>
    </row>
    <row r="62" spans="1:37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0</v>
      </c>
    </row>
    <row r="63" spans="1:37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</row>
    <row r="64" spans="1:37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0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2</v>
      </c>
      <c r="M64" s="60">
        <f>IF(M24=1,SUMIF(M31:M35,"&gt;0"),0)</f>
        <v>0</v>
      </c>
      <c r="N64" s="55">
        <f>IF(N24=1,SUMIF(N31:N35,"&gt;0"),0)</f>
        <v>0</v>
      </c>
      <c r="P64" s="60">
        <f>IF(P24=1,SUMIF(P31:P35,"&gt;0"),0)</f>
        <v>0</v>
      </c>
      <c r="Q64" s="55">
        <f>IF(Q24=1,SUMIF(Q31:Q35,"&gt;0"),0)</f>
        <v>2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0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0</v>
      </c>
      <c r="AE64" s="60">
        <f>IF(AE24=1,SUMIF(AE31:AE35,"&gt;0"),0)</f>
        <v>0</v>
      </c>
      <c r="AF64" s="55">
        <f>SUM(B64:AE64)</f>
        <v>4</v>
      </c>
      <c r="AG64" s="55">
        <f>AF72-AF64</f>
        <v>2</v>
      </c>
    </row>
    <row r="65" spans="1:54" s="55" customFormat="1" ht="12.75" hidden="1" customHeight="1" x14ac:dyDescent="0.2">
      <c r="A65" s="55" t="s">
        <v>98</v>
      </c>
      <c r="B65" s="55">
        <f>IF(B24=2,SUMIF(B31:B35,"&gt;0"),0)</f>
        <v>1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0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0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1</v>
      </c>
      <c r="AG65" s="55">
        <f>AF73-AF65</f>
        <v>6</v>
      </c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2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0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0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2</v>
      </c>
      <c r="AG66" s="55">
        <f>AF74-AF66</f>
        <v>5</v>
      </c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2</v>
      </c>
      <c r="H67" s="55">
        <f>IF(H24=4,SUMIF(H31:H35,"&gt;0"),0)</f>
        <v>0</v>
      </c>
      <c r="J67" s="60">
        <f>IF(J24=4,SUMIF(J31:J35,"&gt;0"),0)</f>
        <v>2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2</v>
      </c>
      <c r="Q67" s="55">
        <f>IF(Q24=4,SUMIF(Q31:Q35,"&gt;0"),0)</f>
        <v>0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0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6</v>
      </c>
      <c r="AG67" s="55">
        <f>AF75-AF67</f>
        <v>0</v>
      </c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0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0</v>
      </c>
      <c r="AG68" s="55">
        <f>AF76-AF68</f>
        <v>0</v>
      </c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</row>
    <row r="71" spans="1:54" s="55" customFormat="1" ht="51" hidden="1" customHeight="1" x14ac:dyDescent="0.2">
      <c r="A71" s="59" t="s">
        <v>112</v>
      </c>
      <c r="C71" s="55">
        <f>SUMIF(B64:D68,"&gt;0")</f>
        <v>3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0</v>
      </c>
      <c r="V71" s="60"/>
      <c r="X71" s="55">
        <f>SUMIF(W64:Y68,"&gt;0")</f>
        <v>0</v>
      </c>
      <c r="Y71" s="60"/>
      <c r="AA71" s="55">
        <f>SUMIF(Z64:AB68,"&gt;0")</f>
        <v>0</v>
      </c>
      <c r="AB71" s="60"/>
      <c r="AD71" s="55">
        <f>SUMIF(AC64:AE68,"&gt;0")</f>
        <v>0</v>
      </c>
      <c r="AE71" s="60"/>
      <c r="AF71" s="59" t="s">
        <v>113</v>
      </c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2</v>
      </c>
      <c r="M72" s="60">
        <f>IF(M24=1,L71,0)</f>
        <v>0</v>
      </c>
      <c r="N72" s="55">
        <f>IF(N24=1,O71,0)</f>
        <v>0</v>
      </c>
      <c r="P72" s="60">
        <f>IF(P24=1,O71,0)</f>
        <v>0</v>
      </c>
      <c r="Q72" s="55">
        <f>IF(Q24=1,R71,0)</f>
        <v>2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0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0</v>
      </c>
      <c r="AE72" s="60">
        <f>IF(AE24=1,AD71,0)</f>
        <v>0</v>
      </c>
      <c r="AF72" s="55">
        <f>SUM(B72:AE72)</f>
        <v>6</v>
      </c>
    </row>
    <row r="73" spans="1:54" s="55" customFormat="1" ht="12.75" hidden="1" customHeight="1" x14ac:dyDescent="0.2">
      <c r="A73" s="55" t="s">
        <v>104</v>
      </c>
      <c r="B73" s="55">
        <f>IF(B24=2,C71,0)</f>
        <v>3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2</v>
      </c>
      <c r="J73" s="60">
        <f>IF(J24=2,I71,0)</f>
        <v>0</v>
      </c>
      <c r="K73" s="55">
        <f>IF(K24=2,L71,0)</f>
        <v>0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2</v>
      </c>
      <c r="T73" s="55">
        <f>IF(T24=2,U71,0)</f>
        <v>0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0</v>
      </c>
      <c r="AF73" s="55">
        <f>SUM(B73:AE73)</f>
        <v>7</v>
      </c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3</v>
      </c>
      <c r="E74" s="55">
        <f>IF(E24=3,F71,0)</f>
        <v>0</v>
      </c>
      <c r="G74" s="60">
        <f>IF(G24=3,F71,0)</f>
        <v>0</v>
      </c>
      <c r="H74" s="55">
        <f>IF(H24=3,I71,0)</f>
        <v>0</v>
      </c>
      <c r="J74" s="60">
        <f>IF(J24=3,I71,0)</f>
        <v>0</v>
      </c>
      <c r="K74" s="55">
        <f>IF(K24=3,L71,0)</f>
        <v>0</v>
      </c>
      <c r="M74" s="60">
        <f>IF(M24=3,L71,0)</f>
        <v>2</v>
      </c>
      <c r="N74" s="55">
        <f>IF(N24=3,O71,0)</f>
        <v>2</v>
      </c>
      <c r="P74" s="60">
        <f>IF(P24=3,O71,0)</f>
        <v>0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0</v>
      </c>
      <c r="W74" s="55">
        <f>IF(W24=3,X71,0)</f>
        <v>0</v>
      </c>
      <c r="Y74" s="60">
        <f>IF(Y24=3,X71,0)</f>
        <v>0</v>
      </c>
      <c r="Z74" s="55">
        <f>IF(Z24=3,AA71,0)</f>
        <v>0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7</v>
      </c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2</v>
      </c>
      <c r="K75" s="55">
        <f>IF(K24=4,L71,0)</f>
        <v>0</v>
      </c>
      <c r="M75" s="60">
        <f>IF(M24=4,L71,0)</f>
        <v>0</v>
      </c>
      <c r="N75" s="55">
        <f>IF(N24=4,O71,0)</f>
        <v>0</v>
      </c>
      <c r="P75" s="60">
        <f>IF(P24=4,O71,0)</f>
        <v>2</v>
      </c>
      <c r="Q75" s="55">
        <f>IF(Q24=4,R71,0)</f>
        <v>0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0</v>
      </c>
      <c r="AC75" s="55">
        <f>IF(AC24=4,AD71,0)</f>
        <v>0</v>
      </c>
      <c r="AE75" s="60">
        <f>IF(AE24=4,AD71,0)</f>
        <v>0</v>
      </c>
      <c r="AF75" s="55">
        <f>SUM(B75:AE75)</f>
        <v>6</v>
      </c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0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0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0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0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0</v>
      </c>
    </row>
    <row r="77" spans="1:54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AW77" s="130"/>
      <c r="BB77" s="130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SC Midlands 18 Perf</v>
      </c>
      <c r="C79" s="67">
        <f>VLOOKUP(B79,AU$3:AY$12,3,FALSE)</f>
        <v>2920</v>
      </c>
      <c r="D79" s="67">
        <f>IF(B72,B87,IF(D72,D87,C79))</f>
        <v>2920</v>
      </c>
      <c r="E79" s="67"/>
      <c r="F79" s="67"/>
      <c r="G79" s="67">
        <f>IF(E72,E87,IF(G72,G87,D79))</f>
        <v>2859.0545101461889</v>
      </c>
      <c r="H79" s="67"/>
      <c r="I79" s="67"/>
      <c r="J79" s="67">
        <f>IF(H72,H87,IF(J72,J87,G79))</f>
        <v>2859.0545101461889</v>
      </c>
      <c r="K79" s="67"/>
      <c r="L79" s="67"/>
      <c r="M79" s="67">
        <f>IF(K72,K87,IF(M72,M87,J79))</f>
        <v>2870.6489438610843</v>
      </c>
      <c r="N79" s="67"/>
      <c r="O79" s="67"/>
      <c r="P79" s="67">
        <f>IF(N72,N87,IF(P72,P87,M79))</f>
        <v>2870.6489438610843</v>
      </c>
      <c r="Q79" s="67"/>
      <c r="R79" s="67"/>
      <c r="S79" s="67">
        <f>IF(Q72,Q87,IF(S72,S87,P79))</f>
        <v>2878.7634046932203</v>
      </c>
      <c r="T79" s="67"/>
      <c r="U79" s="67"/>
      <c r="V79" s="67">
        <f>IF(T72,T87,IF(V72,V87,S79))</f>
        <v>2878.7634046932203</v>
      </c>
      <c r="W79" s="67"/>
      <c r="X79" s="67"/>
      <c r="Y79" s="67">
        <f>IF(W72,W87,IF(Y72,Y87,V79))</f>
        <v>2878.7634046932203</v>
      </c>
      <c r="Z79" s="67"/>
      <c r="AA79" s="67"/>
      <c r="AB79" s="67">
        <f>IF(Z72,Z87,IF(AB72,AB87,Y79))</f>
        <v>2878.7634046932203</v>
      </c>
      <c r="AC79" s="67"/>
      <c r="AD79" s="67"/>
      <c r="AE79" s="67">
        <f>IF(AC72,AC87,IF(AE72,AE87,AB79))</f>
        <v>2878.7634046932203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SC Midlands 18 Perf</v>
      </c>
      <c r="AU79" s="63">
        <f>AE79</f>
        <v>2878.7634046932203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Augusta Elite 18 Fury</v>
      </c>
      <c r="C80" s="67">
        <f>VLOOKUP(B80,AU$3:AY$12,3,FALSE)</f>
        <v>2596.2496974466353</v>
      </c>
      <c r="D80" s="67">
        <f>IF(B73,B87,IF(D73,D87,C80))</f>
        <v>2577.8081323563993</v>
      </c>
      <c r="E80" s="67"/>
      <c r="F80" s="67"/>
      <c r="G80" s="67">
        <f>IF(E73,E87,IF(G73,G87,D80))</f>
        <v>2577.8081323563993</v>
      </c>
      <c r="H80" s="67"/>
      <c r="I80" s="67"/>
      <c r="J80" s="67">
        <f>IF(H73,H87,IF(J73,J87,G80))</f>
        <v>2535.4330330818129</v>
      </c>
      <c r="K80" s="67"/>
      <c r="L80" s="67"/>
      <c r="M80" s="67">
        <f>IF(K73,K87,IF(M73,M87,J80))</f>
        <v>2535.4330330818129</v>
      </c>
      <c r="N80" s="67"/>
      <c r="O80" s="67"/>
      <c r="P80" s="67">
        <f>IF(N73,N87,IF(P73,P87,M80))</f>
        <v>2535.4330330818129</v>
      </c>
      <c r="Q80" s="67"/>
      <c r="R80" s="67"/>
      <c r="S80" s="67">
        <f>IF(Q73,Q87,IF(S73,S87,P80))</f>
        <v>2527.3185722496769</v>
      </c>
      <c r="T80" s="67"/>
      <c r="U80" s="67"/>
      <c r="V80" s="67">
        <f>IF(T73,T87,IF(V73,V87,S80))</f>
        <v>2527.3185722496769</v>
      </c>
      <c r="W80" s="67"/>
      <c r="X80" s="67"/>
      <c r="Y80" s="67">
        <f>IF(W73,W87,IF(Y73,Y87,V80))</f>
        <v>2527.3185722496769</v>
      </c>
      <c r="Z80" s="67"/>
      <c r="AA80" s="67"/>
      <c r="AB80" s="67">
        <f>IF(Z73,Z87,IF(AB73,AB87,Y80))</f>
        <v>2527.3185722496769</v>
      </c>
      <c r="AC80" s="67"/>
      <c r="AD80" s="67"/>
      <c r="AE80" s="67">
        <f>IF(AC73,AC87,IF(AE73,AE87,AB80))</f>
        <v>2527.3185722496769</v>
      </c>
      <c r="AF80" s="4"/>
      <c r="AG80" s="4"/>
      <c r="AJ80" s="4"/>
      <c r="AL80" s="4"/>
      <c r="AM80" s="4"/>
      <c r="AN80" s="4"/>
      <c r="AO80" s="4"/>
      <c r="AT80" s="63" t="str">
        <f>B80</f>
        <v>Augusta Elite 18 Fury</v>
      </c>
      <c r="AU80" s="63">
        <f>AE80</f>
        <v>2527.3185722496769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Sumter VBC 18</v>
      </c>
      <c r="C81" s="67">
        <f>VLOOKUP(B81,AU$3:AY$12,3,FALSE)</f>
        <v>2578.5617945802783</v>
      </c>
      <c r="D81" s="67">
        <f>IF(B74,B87,IF(D74,D87,C81))</f>
        <v>2597.0033596705143</v>
      </c>
      <c r="E81" s="67"/>
      <c r="F81" s="67"/>
      <c r="G81" s="67">
        <f>IF(E74,E87,IF(G74,G87,D81))</f>
        <v>2597.0033596705143</v>
      </c>
      <c r="H81" s="67"/>
      <c r="I81" s="67"/>
      <c r="J81" s="67">
        <f>IF(H74,H87,IF(J74,J87,G81))</f>
        <v>2597.0033596705143</v>
      </c>
      <c r="K81" s="67"/>
      <c r="L81" s="67"/>
      <c r="M81" s="67">
        <f>IF(K74,K87,IF(M74,M87,J81))</f>
        <v>2585.408925955619</v>
      </c>
      <c r="N81" s="67"/>
      <c r="O81" s="67"/>
      <c r="P81" s="67">
        <f>IF(N74,N87,IF(P74,P87,M81))</f>
        <v>2545.9859245078783</v>
      </c>
      <c r="Q81" s="67"/>
      <c r="R81" s="67"/>
      <c r="S81" s="67">
        <f>IF(Q74,Q87,IF(S74,S87,P81))</f>
        <v>2545.9859245078783</v>
      </c>
      <c r="T81" s="67"/>
      <c r="U81" s="67"/>
      <c r="V81" s="67">
        <f>IF(T74,T87,IF(V74,V87,S81))</f>
        <v>2545.9859245078783</v>
      </c>
      <c r="W81" s="67"/>
      <c r="X81" s="67"/>
      <c r="Y81" s="67">
        <f>IF(W74,W87,IF(Y74,Y87,V81))</f>
        <v>2545.9859245078783</v>
      </c>
      <c r="Z81" s="67"/>
      <c r="AA81" s="67"/>
      <c r="AB81" s="67">
        <f>IF(Z74,Z87,IF(AB74,AB87,Y81))</f>
        <v>2545.9859245078783</v>
      </c>
      <c r="AC81" s="67"/>
      <c r="AD81" s="67"/>
      <c r="AE81" s="67">
        <f>IF(AC74,AC87,IF(AE74,AE87,AB81))</f>
        <v>2545.9859245078783</v>
      </c>
      <c r="AF81" s="4"/>
      <c r="AG81" s="4"/>
      <c r="AJ81" s="4"/>
      <c r="AL81" s="4"/>
      <c r="AM81" s="4"/>
      <c r="AN81" s="4"/>
      <c r="AO81" s="4"/>
      <c r="AT81" s="63" t="str">
        <f>B81</f>
        <v>Sumter VBC 18</v>
      </c>
      <c r="AU81" s="63">
        <f>AE81</f>
        <v>2545.9859245078783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Upward Stars 16 Taylor</v>
      </c>
      <c r="C82" s="67">
        <f>VLOOKUP(B82,AU$3:AY$12,3,FALSE)</f>
        <v>2400</v>
      </c>
      <c r="D82" s="67">
        <f>IF(B75,B87,IF(D75,D87,C82))</f>
        <v>2400</v>
      </c>
      <c r="E82" s="67"/>
      <c r="F82" s="67"/>
      <c r="G82" s="67">
        <f>IF(E75,E87,IF(G75,G87,D82))</f>
        <v>2460.9454898538111</v>
      </c>
      <c r="H82" s="67"/>
      <c r="I82" s="67"/>
      <c r="J82" s="67">
        <f>IF(H75,H87,IF(J75,J87,G82))</f>
        <v>2503.3205891283974</v>
      </c>
      <c r="K82" s="67"/>
      <c r="L82" s="67"/>
      <c r="M82" s="67">
        <f>IF(K75,K87,IF(M75,M87,J82))</f>
        <v>2503.3205891283974</v>
      </c>
      <c r="N82" s="67"/>
      <c r="O82" s="67"/>
      <c r="P82" s="67">
        <f>IF(N75,N87,IF(P75,P87,M82))</f>
        <v>2542.7435905761381</v>
      </c>
      <c r="Q82" s="67"/>
      <c r="R82" s="67"/>
      <c r="S82" s="67">
        <f>IF(Q75,Q87,IF(S75,S87,P82))</f>
        <v>2542.7435905761381</v>
      </c>
      <c r="T82" s="67"/>
      <c r="U82" s="67"/>
      <c r="V82" s="67">
        <f>IF(T75,T87,IF(V75,V87,S82))</f>
        <v>2542.7435905761381</v>
      </c>
      <c r="W82" s="67"/>
      <c r="X82" s="67"/>
      <c r="Y82" s="67">
        <f>IF(W75,W87,IF(Y75,Y87,V82))</f>
        <v>2542.7435905761381</v>
      </c>
      <c r="Z82" s="67"/>
      <c r="AA82" s="67"/>
      <c r="AB82" s="67">
        <f>IF(Z75,Z87,IF(AB75,AB87,Y82))</f>
        <v>2542.7435905761381</v>
      </c>
      <c r="AC82" s="67"/>
      <c r="AD82" s="67"/>
      <c r="AE82" s="67">
        <f>IF(AC75,AC87,IF(AE75,AE87,AB82))</f>
        <v>2542.7435905761381</v>
      </c>
      <c r="AF82" s="4"/>
      <c r="AG82" s="4"/>
      <c r="AJ82" s="4"/>
      <c r="AL82" s="4"/>
      <c r="AM82" s="4"/>
      <c r="AN82" s="4"/>
      <c r="AO82" s="4"/>
      <c r="AT82" s="63" t="str">
        <f>B82</f>
        <v>Upward Stars 16 Taylor</v>
      </c>
      <c r="AU82" s="63">
        <f>AE82</f>
        <v>2542.7435905761381</v>
      </c>
      <c r="AW82" s="66"/>
      <c r="BB82" s="66"/>
    </row>
    <row r="83" spans="1:54" s="63" customFormat="1" hidden="1" x14ac:dyDescent="0.2">
      <c r="A83" s="67">
        <v>5</v>
      </c>
      <c r="B83" s="67">
        <f>E16</f>
        <v>0</v>
      </c>
      <c r="C83" s="67" t="e">
        <f>VLOOKUP(B83,AU$3:AY$12,3,FALSE)</f>
        <v>#N/A</v>
      </c>
      <c r="D83" s="67" t="e">
        <f>IF(B76,B87,IF(D76,D87,C83))</f>
        <v>#N/A</v>
      </c>
      <c r="E83" s="67"/>
      <c r="F83" s="67"/>
      <c r="G83" s="67" t="e">
        <f>IF(E76,E87,IF(G76,G87,D83))</f>
        <v>#N/A</v>
      </c>
      <c r="H83" s="67"/>
      <c r="I83" s="67"/>
      <c r="J83" s="67" t="e">
        <f>IF(H76,H87,IF(J76,J87,G83))</f>
        <v>#N/A</v>
      </c>
      <c r="K83" s="67"/>
      <c r="L83" s="67"/>
      <c r="M83" s="67" t="e">
        <f>IF(K76,K87,IF(M76,M87,J83))</f>
        <v>#N/A</v>
      </c>
      <c r="N83" s="67"/>
      <c r="O83" s="67"/>
      <c r="P83" s="67" t="e">
        <f>IF(N76,N87,IF(P76,P87,M83))</f>
        <v>#N/A</v>
      </c>
      <c r="Q83" s="67"/>
      <c r="R83" s="67"/>
      <c r="S83" s="67" t="e">
        <f>IF(Q76,Q87,IF(S76,S87,P83))</f>
        <v>#N/A</v>
      </c>
      <c r="T83" s="67"/>
      <c r="U83" s="67"/>
      <c r="V83" s="67" t="e">
        <f>IF(T76,T87,IF(V76,V87,S83))</f>
        <v>#N/A</v>
      </c>
      <c r="W83" s="67"/>
      <c r="X83" s="67"/>
      <c r="Y83" s="67" t="e">
        <f>IF(W76,W87,IF(Y76,Y87,V83))</f>
        <v>#N/A</v>
      </c>
      <c r="Z83" s="67"/>
      <c r="AA83" s="67"/>
      <c r="AB83" s="67" t="e">
        <f>IF(Z76,Z87,IF(AB76,AB87,Y83))</f>
        <v>#N/A</v>
      </c>
      <c r="AC83" s="67"/>
      <c r="AD83" s="67"/>
      <c r="AE83" s="67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63">
        <f>B83</f>
        <v>0</v>
      </c>
      <c r="AU83" s="63" t="e">
        <f>AE83</f>
        <v>#N/A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2596.2496974466353</v>
      </c>
      <c r="C85" s="67">
        <v>1</v>
      </c>
      <c r="D85" s="67">
        <f>VLOOKUP(D24,$A79:$AE83,3,FALSE)</f>
        <v>2578.5617945802783</v>
      </c>
      <c r="E85" s="67">
        <f>VLOOKUP(E24,$A79:$AE83,4,FALSE)</f>
        <v>2920</v>
      </c>
      <c r="F85" s="67">
        <v>2</v>
      </c>
      <c r="G85" s="67">
        <f>VLOOKUP(G24,$A79:$AE83,4,FALSE)</f>
        <v>2400</v>
      </c>
      <c r="H85" s="67">
        <f>VLOOKUP(H24,$A79:$AE83,7,FALSE)</f>
        <v>2577.8081323563993</v>
      </c>
      <c r="I85" s="67">
        <v>3</v>
      </c>
      <c r="J85" s="67">
        <f>VLOOKUP(J24,$A79:$AE83,7,FALSE)</f>
        <v>2460.9454898538111</v>
      </c>
      <c r="K85" s="67">
        <f>VLOOKUP(K24,$A79:$AE83,10,FALSE)</f>
        <v>2859.0545101461889</v>
      </c>
      <c r="L85" s="67">
        <v>4</v>
      </c>
      <c r="M85" s="67">
        <f>VLOOKUP(M24,$A79:$AE83,10,FALSE)</f>
        <v>2597.0033596705143</v>
      </c>
      <c r="N85" s="67">
        <f>VLOOKUP(N24,$A79:$AE83,13,FALSE)</f>
        <v>2585.408925955619</v>
      </c>
      <c r="O85" s="67">
        <v>5</v>
      </c>
      <c r="P85" s="67">
        <f>VLOOKUP(P24,$A79:$AE83,13,FALSE)</f>
        <v>2503.3205891283974</v>
      </c>
      <c r="Q85" s="67">
        <f>VLOOKUP(Q24,$A79:$AE83,16,FALSE)</f>
        <v>2870.6489438610843</v>
      </c>
      <c r="R85" s="67">
        <v>6</v>
      </c>
      <c r="S85" s="67">
        <f>VLOOKUP(S24,$A79:$AE83,16,FALSE)</f>
        <v>2535.4330330818129</v>
      </c>
      <c r="T85" s="67">
        <f>VLOOKUP(T24,$A79:$AE83,19,FALSE)</f>
        <v>2527.3185722496769</v>
      </c>
      <c r="U85" s="67">
        <v>7</v>
      </c>
      <c r="V85" s="67">
        <f>VLOOKUP(V24,$A79:$AE83,19,FALSE)</f>
        <v>2545.9859245078783</v>
      </c>
      <c r="W85" s="67">
        <f>VLOOKUP(W24,$A79:$AE83,22,FALSE)</f>
        <v>2878.7634046932203</v>
      </c>
      <c r="X85" s="67">
        <v>8</v>
      </c>
      <c r="Y85" s="67" t="e">
        <f>VLOOKUP(Y24,$A79:$AE83,22,FALSE)</f>
        <v>#N/A</v>
      </c>
      <c r="Z85" s="67">
        <f>VLOOKUP(Z24,$A79:$AE83,25,FALSE)</f>
        <v>2545.9859245078783</v>
      </c>
      <c r="AA85" s="67">
        <v>9</v>
      </c>
      <c r="AB85" s="67">
        <f>VLOOKUP(AB24,$A79:$AE83,25,FALSE)</f>
        <v>2542.7435905761381</v>
      </c>
      <c r="AC85" s="67">
        <f>VLOOKUP(AC24,$A79:$AE83,28,FALSE)</f>
        <v>2878.7634046932203</v>
      </c>
      <c r="AD85" s="67">
        <v>10</v>
      </c>
      <c r="AE85" s="67">
        <f>VLOOKUP(AE24,$A79:$AE83,28,FALSE)</f>
        <v>2527.3185722496769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1.5762989090698771</v>
      </c>
      <c r="C86" s="68"/>
      <c r="D86" s="68">
        <f>1/(1+(10^-((D85-B85)/400)))*(B36+D36)</f>
        <v>1.4237010909301231</v>
      </c>
      <c r="E86" s="68">
        <f>1/(1+(10^-((E85-G85)/400)))*(E36+G36)</f>
        <v>1.9045465579315923</v>
      </c>
      <c r="F86" s="68"/>
      <c r="G86" s="68">
        <f>1/(1+(10^-((G85-E85)/400)))*(E36+G36)</f>
        <v>9.5453442068407779E-2</v>
      </c>
      <c r="H86" s="68">
        <f>1/(1+(10^-((H85-J85)/400)))*(H36+J36)</f>
        <v>1.3242218523308229</v>
      </c>
      <c r="I86" s="68"/>
      <c r="J86" s="68">
        <f>1/(1+(10^-((J85-H85)/400)))*(H36+J36)</f>
        <v>0.6757781476691771</v>
      </c>
      <c r="K86" s="68">
        <f>1/(1+(10^-((K85-M85)/400)))*(K36+M36)</f>
        <v>1.6376739464095202</v>
      </c>
      <c r="L86" s="68"/>
      <c r="M86" s="68">
        <f>1/(1+(10^-((M85-K85)/400)))*(K36+M36)</f>
        <v>0.3623260535904797</v>
      </c>
      <c r="N86" s="68">
        <f>1/(1+(10^-((N85-P85)/400)))*(N36+P36)</f>
        <v>1.2319687952419016</v>
      </c>
      <c r="O86" s="68"/>
      <c r="P86" s="68">
        <f>1/(1+(10^-((P85-N85)/400)))*(N36+P36)</f>
        <v>0.76803120475809838</v>
      </c>
      <c r="Q86" s="68">
        <f>1/(1+(10^-((Q85-S85)/400)))*(Q36+S36)</f>
        <v>1.7464230989957465</v>
      </c>
      <c r="R86" s="68"/>
      <c r="S86" s="68">
        <f>1/(1+(10^-((S85-Q85)/400)))*(Q36+S36)</f>
        <v>0.25357690100425329</v>
      </c>
      <c r="T86" s="68">
        <f>1/(1+(10^-((T85-V85)/400)))*(T36+V36)</f>
        <v>0</v>
      </c>
      <c r="U86" s="68"/>
      <c r="V86" s="68">
        <f>1/(1+(10^-((V85-T85)/400)))*(T36+V36)</f>
        <v>0</v>
      </c>
      <c r="W86" s="68" t="e">
        <f>1/(1+(10^-((W85-Y85)/400)))*(W36+Y36)</f>
        <v>#N/A</v>
      </c>
      <c r="X86" s="68"/>
      <c r="Y86" s="68" t="e">
        <f>1/(1+(10^-((Y85-W85)/400)))*(W36+Y36)</f>
        <v>#N/A</v>
      </c>
      <c r="Z86" s="68">
        <f>1/(1+(10^-((Z85-AB85)/400)))*(Z36+AB36)</f>
        <v>0</v>
      </c>
      <c r="AA86" s="68"/>
      <c r="AB86" s="68">
        <f>1/(1+(10^-((AB85-Z85)/400)))*(Z36+AB36)</f>
        <v>0</v>
      </c>
      <c r="AC86" s="68">
        <f>1/(1+(10^-((AC85-AE85)/400)))*(AC36+AE36)</f>
        <v>0</v>
      </c>
      <c r="AD86" s="68"/>
      <c r="AE86" s="68">
        <f>1/(1+(10^-((AE85-AC85)/400)))*(AC36+AE36)</f>
        <v>0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2577.8081323563993</v>
      </c>
      <c r="C87" s="74"/>
      <c r="D87" s="74">
        <f>D85+(D36-D86)*$BA$1</f>
        <v>2597.0033596705143</v>
      </c>
      <c r="E87" s="74">
        <f>E85+(E36-E86)*$BA$1</f>
        <v>2859.0545101461889</v>
      </c>
      <c r="F87" s="74"/>
      <c r="G87" s="74">
        <f>G85+(G36-G86)*$BA$1</f>
        <v>2460.9454898538111</v>
      </c>
      <c r="H87" s="74">
        <f>H85+(H36-H86)*$BA$1</f>
        <v>2535.4330330818129</v>
      </c>
      <c r="I87" s="74"/>
      <c r="J87" s="74">
        <f>J85+(J36-J86)*$BA$1</f>
        <v>2503.3205891283974</v>
      </c>
      <c r="K87" s="74">
        <f>K85+(K36-K86)*$BA$1</f>
        <v>2870.6489438610843</v>
      </c>
      <c r="L87" s="74"/>
      <c r="M87" s="74">
        <f>M85+(M36-M86)*$BA$1</f>
        <v>2585.408925955619</v>
      </c>
      <c r="N87" s="74">
        <f>N85+(N36-N86)*$BA$1</f>
        <v>2545.9859245078783</v>
      </c>
      <c r="O87" s="74"/>
      <c r="P87" s="74">
        <f>P85+(P36-P86)*$BA$1</f>
        <v>2542.7435905761381</v>
      </c>
      <c r="Q87" s="74">
        <f>Q85+(Q36-Q86)*$BA$1</f>
        <v>2878.7634046932203</v>
      </c>
      <c r="R87" s="74"/>
      <c r="S87" s="74">
        <f>S85+(S36-S86)*$BA$1</f>
        <v>2527.3185722496769</v>
      </c>
      <c r="T87" s="74">
        <f>T85+(T36-T86)*$BA$1</f>
        <v>2527.3185722496769</v>
      </c>
      <c r="U87" s="74"/>
      <c r="V87" s="74">
        <f>V85+(V36-V86)*$BA$1</f>
        <v>2545.9859245078783</v>
      </c>
      <c r="W87" s="74" t="e">
        <f>W85+(W36-W86)*$BA$1</f>
        <v>#N/A</v>
      </c>
      <c r="X87" s="74"/>
      <c r="Y87" s="74" t="e">
        <f>Y85+(Y36-Y86)*$BA$1</f>
        <v>#N/A</v>
      </c>
      <c r="Z87" s="74">
        <f>Z85+(Z36-Z86)*$BA$1</f>
        <v>2545.9859245078783</v>
      </c>
      <c r="AA87" s="74"/>
      <c r="AB87" s="74">
        <f>AB85+(AB36-AB86)*$BA$1</f>
        <v>2542.7435905761381</v>
      </c>
      <c r="AC87" s="74">
        <f>AC85+(AC36-AC86)*$BA$1</f>
        <v>2878.7634046932203</v>
      </c>
      <c r="AD87" s="74"/>
      <c r="AE87" s="74">
        <f>AE85+(AE36-AE86)*$BA$1</f>
        <v>2527.3185722496769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30"/>
      <c r="AN89" s="330"/>
      <c r="AO89" s="330"/>
      <c r="AP89" s="330"/>
    </row>
    <row r="90" spans="1:54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</row>
    <row r="91" spans="1:54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Matches Won</v>
      </c>
      <c r="M92" s="255"/>
      <c r="N92" s="255"/>
      <c r="O92" s="255"/>
      <c r="P92" s="255"/>
      <c r="Q92" s="256"/>
      <c r="R92" s="254" t="str">
        <f>IF($AK95=0,"Games Lost","Matches Lost")</f>
        <v>Matches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3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USA 17 Purple Joy</v>
      </c>
      <c r="F93" s="233"/>
      <c r="G93" s="233"/>
      <c r="H93" s="233"/>
      <c r="I93" s="233"/>
      <c r="J93" s="233"/>
      <c r="K93" s="234"/>
      <c r="L93" s="235">
        <f>IF($AK95=0,AF149,AF131)</f>
        <v>2</v>
      </c>
      <c r="M93" s="236"/>
      <c r="N93" s="236"/>
      <c r="O93" s="236"/>
      <c r="P93" s="236"/>
      <c r="Q93" s="256"/>
      <c r="R93" s="235">
        <f>IF($AK95=0,AG149,AG131)</f>
        <v>1</v>
      </c>
      <c r="S93" s="236"/>
      <c r="T93" s="236"/>
      <c r="U93" s="236"/>
      <c r="V93" s="236"/>
      <c r="W93" s="235">
        <f>AQ109</f>
        <v>7</v>
      </c>
      <c r="X93" s="236"/>
      <c r="Y93" s="236"/>
      <c r="Z93" s="239">
        <f>IF(AF143&gt;0,(AQ109/AF143),0)</f>
        <v>4.6666666666666669E-2</v>
      </c>
      <c r="AA93" s="240"/>
      <c r="AB93" s="240"/>
      <c r="AC93" s="262">
        <f>IF(AF157=0,0,(AF149/AF157))</f>
        <v>0.66666666666666663</v>
      </c>
      <c r="AD93" s="263"/>
      <c r="AE93" s="264"/>
      <c r="AF93" s="268">
        <v>2</v>
      </c>
      <c r="AG93" s="268">
        <v>1</v>
      </c>
      <c r="AH93" s="270">
        <v>3</v>
      </c>
      <c r="AI93" s="271"/>
      <c r="AJ93" s="27"/>
      <c r="AK93" s="28">
        <v>6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228"/>
      <c r="B94" s="274" t="s">
        <v>11</v>
      </c>
      <c r="C94" s="275"/>
      <c r="D94" s="276"/>
      <c r="E94" s="277" t="str">
        <f>AV4</f>
        <v>fj7unsel1cr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4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Upward Stars 17 Kara</v>
      </c>
      <c r="F95" s="233"/>
      <c r="G95" s="233"/>
      <c r="H95" s="233"/>
      <c r="I95" s="233"/>
      <c r="J95" s="233"/>
      <c r="K95" s="234"/>
      <c r="L95" s="235">
        <f>IF($AK95=0,AF150,AF132)</f>
        <v>3</v>
      </c>
      <c r="M95" s="236"/>
      <c r="N95" s="236"/>
      <c r="O95" s="236"/>
      <c r="P95" s="236"/>
      <c r="Q95" s="256"/>
      <c r="R95" s="235">
        <f>IF($AK95=0,AG150,AG132)</f>
        <v>0</v>
      </c>
      <c r="S95" s="236"/>
      <c r="T95" s="236"/>
      <c r="U95" s="236"/>
      <c r="V95" s="236"/>
      <c r="W95" s="235">
        <f>AQ110</f>
        <v>89</v>
      </c>
      <c r="X95" s="236"/>
      <c r="Y95" s="236"/>
      <c r="Z95" s="239">
        <f>IF(AF144&gt;0,(AQ110/AF144),0)</f>
        <v>0.59333333333333338</v>
      </c>
      <c r="AA95" s="240"/>
      <c r="AB95" s="240"/>
      <c r="AC95" s="262">
        <f>IF(AF158=0,0,(AF150/AF158))</f>
        <v>1</v>
      </c>
      <c r="AD95" s="263"/>
      <c r="AE95" s="264"/>
      <c r="AF95" s="268">
        <v>1</v>
      </c>
      <c r="AG95" s="268">
        <v>1</v>
      </c>
      <c r="AH95" s="270">
        <v>1</v>
      </c>
      <c r="AI95" s="271"/>
      <c r="AJ95" s="27"/>
      <c r="AK95" s="28">
        <v>1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228"/>
      <c r="B96" s="284" t="s">
        <v>11</v>
      </c>
      <c r="C96" s="285"/>
      <c r="D96" s="285"/>
      <c r="E96" s="277" t="str">
        <f>AV5</f>
        <v>fj7upwrd2pm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PEAK 18 Brandi</v>
      </c>
      <c r="F97" s="233"/>
      <c r="G97" s="233"/>
      <c r="H97" s="233"/>
      <c r="I97" s="233"/>
      <c r="J97" s="233"/>
      <c r="K97" s="234"/>
      <c r="L97" s="235">
        <f>IF($AK95=0,AF151,AF133)</f>
        <v>1</v>
      </c>
      <c r="M97" s="236"/>
      <c r="N97" s="236"/>
      <c r="O97" s="236"/>
      <c r="P97" s="236"/>
      <c r="Q97" s="256"/>
      <c r="R97" s="235">
        <f>IF($AK95=0,AG151,AG133)</f>
        <v>2</v>
      </c>
      <c r="S97" s="236"/>
      <c r="T97" s="236"/>
      <c r="U97" s="236"/>
      <c r="V97" s="236"/>
      <c r="W97" s="235">
        <f>AQ111</f>
        <v>-41</v>
      </c>
      <c r="X97" s="236"/>
      <c r="Y97" s="236"/>
      <c r="Z97" s="239">
        <f>IF(AF145&gt;0,(AQ111/AF145),0)</f>
        <v>-0.27333333333333332</v>
      </c>
      <c r="AA97" s="240"/>
      <c r="AB97" s="240"/>
      <c r="AC97" s="262">
        <f>IF(AF159=0,0,(AF151/AF159))</f>
        <v>0.33333333333333331</v>
      </c>
      <c r="AD97" s="263"/>
      <c r="AE97" s="264"/>
      <c r="AF97" s="268">
        <v>3</v>
      </c>
      <c r="AG97" s="268">
        <v>1</v>
      </c>
      <c r="AH97" s="270">
        <v>7</v>
      </c>
      <c r="AI97" s="271"/>
      <c r="AJ97" s="31"/>
      <c r="AK97" s="28">
        <v>3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fj8cpeak1cr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CHSElite 18-1</v>
      </c>
      <c r="F99" s="233"/>
      <c r="G99" s="233"/>
      <c r="H99" s="233"/>
      <c r="I99" s="233"/>
      <c r="J99" s="233"/>
      <c r="K99" s="234"/>
      <c r="L99" s="235">
        <f>IF($AK95=0,AF152,AF134)</f>
        <v>0</v>
      </c>
      <c r="M99" s="236"/>
      <c r="N99" s="236"/>
      <c r="O99" s="236"/>
      <c r="P99" s="236"/>
      <c r="Q99" s="256"/>
      <c r="R99" s="235">
        <f>IF($AK95=0,AG152,AG134)</f>
        <v>3</v>
      </c>
      <c r="S99" s="236"/>
      <c r="T99" s="236"/>
      <c r="U99" s="236"/>
      <c r="V99" s="236"/>
      <c r="W99" s="235">
        <f>AQ112</f>
        <v>-55</v>
      </c>
      <c r="X99" s="236"/>
      <c r="Y99" s="236"/>
      <c r="Z99" s="239">
        <f>IF(AF146&gt;0,(AQ112/AF146),0)</f>
        <v>-0.36666666666666664</v>
      </c>
      <c r="AA99" s="240"/>
      <c r="AB99" s="240"/>
      <c r="AC99" s="262">
        <f>IF(AF160=0,0,(AF152/AF160))</f>
        <v>0</v>
      </c>
      <c r="AD99" s="263"/>
      <c r="AE99" s="264"/>
      <c r="AF99" s="268">
        <v>4</v>
      </c>
      <c r="AG99" s="268">
        <v>1</v>
      </c>
      <c r="AH99" s="270">
        <v>6</v>
      </c>
      <c r="AI99" s="271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fj8celit1pm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227" t="str">
        <f>IF($AK94&gt;4,"5","")</f>
        <v/>
      </c>
      <c r="B101" s="286" t="s">
        <v>10</v>
      </c>
      <c r="C101" s="287"/>
      <c r="D101" s="287"/>
      <c r="E101" s="232">
        <f>AU12</f>
        <v>0</v>
      </c>
      <c r="F101" s="233"/>
      <c r="G101" s="233"/>
      <c r="H101" s="233"/>
      <c r="I101" s="233"/>
      <c r="J101" s="233"/>
      <c r="K101" s="234"/>
      <c r="L101" s="235">
        <f>IF($AK95=0,AF153,AF135)</f>
        <v>0</v>
      </c>
      <c r="M101" s="236"/>
      <c r="N101" s="236"/>
      <c r="O101" s="236"/>
      <c r="P101" s="236"/>
      <c r="Q101" s="256"/>
      <c r="R101" s="235">
        <f>IF($AK95=0,AG153,AG135)</f>
        <v>0</v>
      </c>
      <c r="S101" s="236"/>
      <c r="T101" s="236"/>
      <c r="U101" s="236"/>
      <c r="V101" s="236"/>
      <c r="W101" s="235">
        <f>AQ113</f>
        <v>0</v>
      </c>
      <c r="X101" s="236"/>
      <c r="Y101" s="236"/>
      <c r="Z101" s="239">
        <f>IF(AF147&gt;0,(AQ113/AF147),0)</f>
        <v>0</v>
      </c>
      <c r="AA101" s="240"/>
      <c r="AB101" s="240"/>
      <c r="AC101" s="262">
        <f>IF(AF161=0,0,(AF153/AF161))</f>
        <v>0</v>
      </c>
      <c r="AD101" s="263"/>
      <c r="AE101" s="264"/>
      <c r="AF101" s="268"/>
      <c r="AG101" s="268"/>
      <c r="AH101" s="270"/>
      <c r="AI101" s="271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410">
        <f>AV12</f>
        <v>0</v>
      </c>
      <c r="F102" s="411"/>
      <c r="G102" s="411"/>
      <c r="H102" s="411"/>
      <c r="I102" s="411"/>
      <c r="J102" s="411"/>
      <c r="K102" s="411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305" t="s">
        <v>192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customHeight="1" thickTop="1" x14ac:dyDescent="0.2">
      <c r="A104" s="4" t="s">
        <v>66</v>
      </c>
      <c r="B104" s="308">
        <v>0.35416666666666669</v>
      </c>
      <c r="C104" s="309"/>
      <c r="D104" s="310"/>
      <c r="E104" s="308">
        <v>0.39583333333333331</v>
      </c>
      <c r="F104" s="309"/>
      <c r="G104" s="310"/>
      <c r="H104" s="308">
        <v>0.4375</v>
      </c>
      <c r="I104" s="309"/>
      <c r="J104" s="310"/>
      <c r="K104" s="308">
        <v>0.5</v>
      </c>
      <c r="L104" s="309"/>
      <c r="M104" s="310"/>
      <c r="N104" s="308">
        <v>4.1666666666666664E-2</v>
      </c>
      <c r="O104" s="309"/>
      <c r="P104" s="310"/>
      <c r="Q104" s="308">
        <v>8.3333333333333329E-2</v>
      </c>
      <c r="R104" s="309"/>
      <c r="S104" s="310"/>
      <c r="T104" s="308">
        <v>4.1666666666666664E-2</v>
      </c>
      <c r="U104" s="309"/>
      <c r="V104" s="310"/>
      <c r="W104" s="308">
        <v>7.2916666666666671E-2</v>
      </c>
      <c r="X104" s="309"/>
      <c r="Y104" s="310"/>
      <c r="Z104" s="308">
        <v>0.10416666666666667</v>
      </c>
      <c r="AA104" s="309"/>
      <c r="AB104" s="310"/>
      <c r="AC104" s="308">
        <v>0.13541666666666666</v>
      </c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/>
      <c r="C105" s="320"/>
      <c r="D105" s="321"/>
      <c r="E105" s="319"/>
      <c r="F105" s="320"/>
      <c r="G105" s="321"/>
      <c r="H105" s="319"/>
      <c r="I105" s="320"/>
      <c r="J105" s="321"/>
      <c r="K105" s="319"/>
      <c r="L105" s="320"/>
      <c r="M105" s="321"/>
      <c r="N105" s="319"/>
      <c r="O105" s="320"/>
      <c r="P105" s="321"/>
      <c r="Q105" s="319"/>
      <c r="R105" s="320"/>
      <c r="S105" s="321"/>
      <c r="T105" s="319"/>
      <c r="U105" s="320"/>
      <c r="V105" s="321"/>
      <c r="W105" s="319"/>
      <c r="X105" s="320"/>
      <c r="Y105" s="321"/>
      <c r="Z105" s="319"/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/>
      <c r="C106" s="320"/>
      <c r="D106" s="321"/>
      <c r="E106" s="319"/>
      <c r="F106" s="320"/>
      <c r="G106" s="321"/>
      <c r="H106" s="319"/>
      <c r="I106" s="320"/>
      <c r="J106" s="321"/>
      <c r="K106" s="319"/>
      <c r="L106" s="320"/>
      <c r="M106" s="321"/>
      <c r="N106" s="319"/>
      <c r="O106" s="320"/>
      <c r="P106" s="321"/>
      <c r="Q106" s="319"/>
      <c r="R106" s="320"/>
      <c r="S106" s="321"/>
      <c r="T106" s="319"/>
      <c r="U106" s="320"/>
      <c r="V106" s="321"/>
      <c r="W106" s="319"/>
      <c r="X106" s="320"/>
      <c r="Y106" s="321"/>
      <c r="Z106" s="319"/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7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/>
      </c>
      <c r="U107" s="323"/>
      <c r="V107" s="324"/>
      <c r="W107" s="322" t="str">
        <f>IF(AK93&gt;7,"Match 8","")</f>
        <v/>
      </c>
      <c r="X107" s="323"/>
      <c r="Y107" s="324"/>
      <c r="Z107" s="322" t="str">
        <f>IF(AK93&gt;8,"Match 9","")</f>
        <v/>
      </c>
      <c r="AA107" s="323"/>
      <c r="AB107" s="324"/>
      <c r="AC107" s="322" t="str">
        <f>IF(AK93&gt;9,"Match 10","")</f>
        <v/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7"/>
      <c r="B108" s="325" t="s">
        <v>73</v>
      </c>
      <c r="C108" s="326"/>
      <c r="D108" s="327"/>
      <c r="E108" s="325" t="s">
        <v>75</v>
      </c>
      <c r="F108" s="326"/>
      <c r="G108" s="327"/>
      <c r="H108" s="325" t="s">
        <v>72</v>
      </c>
      <c r="I108" s="326"/>
      <c r="J108" s="327"/>
      <c r="K108" s="325" t="s">
        <v>71</v>
      </c>
      <c r="L108" s="326"/>
      <c r="M108" s="327"/>
      <c r="N108" s="325" t="s">
        <v>75</v>
      </c>
      <c r="O108" s="326"/>
      <c r="P108" s="327"/>
      <c r="Q108" s="325" t="s">
        <v>72</v>
      </c>
      <c r="R108" s="326"/>
      <c r="S108" s="327"/>
      <c r="T108" s="325" t="s">
        <v>71</v>
      </c>
      <c r="U108" s="326"/>
      <c r="V108" s="327"/>
      <c r="W108" s="325" t="s">
        <v>75</v>
      </c>
      <c r="X108" s="326"/>
      <c r="Y108" s="327"/>
      <c r="Z108" s="325" t="s">
        <v>197</v>
      </c>
      <c r="AA108" s="326"/>
      <c r="AB108" s="327"/>
      <c r="AC108" s="325" t="s">
        <v>72</v>
      </c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3</v>
      </c>
      <c r="E109" s="45">
        <v>1</v>
      </c>
      <c r="F109" s="46" t="str">
        <f>IF(AK93&gt;1,"v","")</f>
        <v>v</v>
      </c>
      <c r="G109" s="47">
        <v>4</v>
      </c>
      <c r="H109" s="45">
        <v>2</v>
      </c>
      <c r="I109" s="46" t="str">
        <f>IF(AK93&gt;2,"v","")</f>
        <v>v</v>
      </c>
      <c r="J109" s="47">
        <v>4</v>
      </c>
      <c r="K109" s="45">
        <v>1</v>
      </c>
      <c r="L109" s="46" t="str">
        <f>IF(AK93&gt;3,"v","")</f>
        <v>v</v>
      </c>
      <c r="M109" s="47">
        <v>3</v>
      </c>
      <c r="N109" s="45">
        <v>3</v>
      </c>
      <c r="O109" s="46" t="str">
        <f>IF(AK93&gt;4,"v","")</f>
        <v>v</v>
      </c>
      <c r="P109" s="47">
        <v>4</v>
      </c>
      <c r="Q109" s="45">
        <v>1</v>
      </c>
      <c r="R109" s="46" t="str">
        <f>IF(AK93&gt;5,"v","")</f>
        <v>v</v>
      </c>
      <c r="S109" s="47">
        <v>2</v>
      </c>
      <c r="T109" s="45">
        <v>2</v>
      </c>
      <c r="U109" s="46" t="str">
        <f>IF(AK93&gt;6,"v","")</f>
        <v/>
      </c>
      <c r="V109" s="47">
        <v>3</v>
      </c>
      <c r="W109" s="45">
        <v>1</v>
      </c>
      <c r="X109" s="46" t="str">
        <f>IF(AK93&gt;7,"v","")</f>
        <v/>
      </c>
      <c r="Y109" s="47">
        <v>5</v>
      </c>
      <c r="Z109" s="45">
        <v>3</v>
      </c>
      <c r="AA109" s="46" t="str">
        <f>IF(AK93&gt;8,"v","")</f>
        <v/>
      </c>
      <c r="AB109" s="47">
        <v>4</v>
      </c>
      <c r="AC109" s="45">
        <v>1</v>
      </c>
      <c r="AD109" s="46" t="str">
        <f>IF(AK93&gt;9,"v","")</f>
        <v/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15</v>
      </c>
      <c r="AI109" s="48" t="str">
        <f>IF(AK94&lt;1,"",IF(AK93&lt;3,"",IF(H109=1,H115-J115,IF(J109=1,J115-H115,""))))</f>
        <v/>
      </c>
      <c r="AJ109" s="48">
        <f>IF(AK94&lt;1,"",IF(AK93&lt;4,"",IF(K109=1,K115-M115,IF(M109=1,M115-K115,""))))</f>
        <v>18</v>
      </c>
      <c r="AK109" s="48" t="str">
        <f>IF(AK94&lt;1,"",IF(AK93&lt;5,"",IF(N109=1,N115-P115,IF(P109=1,P115-N115,""))))</f>
        <v/>
      </c>
      <c r="AL109" s="48">
        <f>IF(AK94&lt;1,"",IF(AK93&lt;6,"",IF(Q109=1,Q115-S115,IF(S109=1,S115-Q115,""))))</f>
        <v>-26</v>
      </c>
      <c r="AM109" s="48" t="str">
        <f>IF(AK94&lt;1,"",IF(AK93&lt;7,"",IF(T109=1,T115-V115,IF(V109=1,V115-T115,""))))</f>
        <v/>
      </c>
      <c r="AN109" s="48" t="str">
        <f>IF(AK94&lt;1,"",IF(AK93&lt;8,"",IF(W109=1,W115-Y115,IF(Y109=1,Y115-W115,""))))</f>
        <v/>
      </c>
      <c r="AO109" s="48" t="str">
        <f>IF(AK94&lt;1,"",IF(AK93&lt;9,"",IF(Z109=1,Z115-AB115,IF(AB109=1,AB115-Z115,""))))</f>
        <v/>
      </c>
      <c r="AP109" s="48" t="str">
        <f>IF(AK94&lt;1,"",IF(AK93&lt;10,"",IF(AC109=1,AC115-AE115,IF(AE109=1,AE115-AC115,""))))</f>
        <v/>
      </c>
      <c r="AQ109" s="44">
        <f>SUM(AG109:AP109)</f>
        <v>7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12</v>
      </c>
      <c r="E110" s="49">
        <v>25</v>
      </c>
      <c r="F110" s="50" t="str">
        <f>IF(AK93&gt;1,"/","")</f>
        <v>/</v>
      </c>
      <c r="G110" s="51">
        <v>19</v>
      </c>
      <c r="H110" s="49">
        <v>25</v>
      </c>
      <c r="I110" s="50" t="str">
        <f>IF(AK93&gt;2,"/","")</f>
        <v>/</v>
      </c>
      <c r="J110" s="51">
        <v>8</v>
      </c>
      <c r="K110" s="49">
        <v>25</v>
      </c>
      <c r="L110" s="50" t="str">
        <f>IF(AK93&gt;3,"/","")</f>
        <v>/</v>
      </c>
      <c r="M110" s="51">
        <v>22</v>
      </c>
      <c r="N110" s="49">
        <v>25</v>
      </c>
      <c r="O110" s="50" t="str">
        <f>IF(AK93&gt;4,"/","")</f>
        <v>/</v>
      </c>
      <c r="P110" s="51">
        <v>22</v>
      </c>
      <c r="Q110" s="49">
        <v>15</v>
      </c>
      <c r="R110" s="50" t="str">
        <f>IF(AK93&gt;5,"/","")</f>
        <v>/</v>
      </c>
      <c r="S110" s="51">
        <v>25</v>
      </c>
      <c r="T110" s="49"/>
      <c r="U110" s="50" t="str">
        <f>IF(AK93&gt;6,"/","")</f>
        <v/>
      </c>
      <c r="V110" s="51"/>
      <c r="W110" s="49"/>
      <c r="X110" s="50" t="str">
        <f>IF(AK93&gt;7,"/","")</f>
        <v/>
      </c>
      <c r="Y110" s="51"/>
      <c r="Z110" s="49"/>
      <c r="AA110" s="50" t="str">
        <f>IF(AK93&gt;8,"/","")</f>
        <v/>
      </c>
      <c r="AB110" s="51"/>
      <c r="AC110" s="49"/>
      <c r="AD110" s="50" t="str">
        <f>IF(AK93&gt;9,"/","")</f>
        <v/>
      </c>
      <c r="AE110" s="51"/>
      <c r="AF110" s="42" t="str">
        <f>IF(AK94&gt;1,"Team 2","")</f>
        <v>Team 2</v>
      </c>
      <c r="AG110" s="48">
        <f>IF(AK94&lt;2,"",IF(AK93&lt;1,"",IF(B109=2,B115-D115,IF(D109=2,D115-B115,""))))</f>
        <v>30</v>
      </c>
      <c r="AH110" s="48" t="str">
        <f>IF(AK94&lt;2,"",IF(AK93&lt;2,"",IF(E109=2,E115-G115,IF(G109=2,G115-E115,""))))</f>
        <v/>
      </c>
      <c r="AI110" s="48">
        <f>IF(AK94&lt;2,"",IF(AK93&lt;3,"",IF(H109=2,H115-J115,IF(J109=2,J115-H115,""))))</f>
        <v>33</v>
      </c>
      <c r="AJ110" s="48" t="str">
        <f>IF(AK94&lt;2,"",IF(AK93&lt;4,"",IF(K109=2,K115-M115,IF(M109=2,M115-K115,""))))</f>
        <v/>
      </c>
      <c r="AK110" s="48" t="str">
        <f>IF(AK94&lt;2,"",IF(AK93&lt;5,"",IF(N109=2,N115-P115,IF(P109=2,P115-N115,""))))</f>
        <v/>
      </c>
      <c r="AL110" s="48">
        <f>IF(AK94&lt;2,"",IF(AK93&lt;6,"",IF(Q109=2,Q115-S115,IF(S109=2,S115-Q115,""))))</f>
        <v>26</v>
      </c>
      <c r="AM110" s="48" t="str">
        <f>IF(AK94&lt;2,"",IF(AK93&lt;7,"",IF(T109=2,T115-V115,IF(V109=2,V115-T115,""))))</f>
        <v/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 t="str">
        <f>IF(AK94&lt;2,"",IF(AK93&lt;10,"",IF(AC109=2,AC115-AE115,IF(AE109=2,AE115-AC115,""))))</f>
        <v/>
      </c>
      <c r="AQ110" s="44">
        <f>SUM(AG110:AP110)</f>
        <v>89</v>
      </c>
    </row>
    <row r="111" spans="1:44" ht="15" x14ac:dyDescent="0.2">
      <c r="A111" s="3" t="str">
        <f>IF(AK92&gt;1,"Game 2","")</f>
        <v>Game 2</v>
      </c>
      <c r="B111" s="49">
        <v>25</v>
      </c>
      <c r="C111" s="50" t="s">
        <v>80</v>
      </c>
      <c r="D111" s="51">
        <v>8</v>
      </c>
      <c r="E111" s="49">
        <v>25</v>
      </c>
      <c r="F111" s="50" t="str">
        <f>IF(AK93&gt;1,IF(AK92&gt;1,"/",""),"")</f>
        <v>/</v>
      </c>
      <c r="G111" s="51">
        <v>16</v>
      </c>
      <c r="H111" s="49">
        <v>25</v>
      </c>
      <c r="I111" s="50" t="str">
        <f>IF(AK93&gt;2,IF(AK92&gt;1,"/",""),"")</f>
        <v>/</v>
      </c>
      <c r="J111" s="51">
        <v>9</v>
      </c>
      <c r="K111" s="49">
        <v>25</v>
      </c>
      <c r="L111" s="50" t="str">
        <f>IF(AK93&gt;3,IF(AK92&gt;1,"/",""),"")</f>
        <v>/</v>
      </c>
      <c r="M111" s="51">
        <v>10</v>
      </c>
      <c r="N111" s="49">
        <v>25</v>
      </c>
      <c r="O111" s="50" t="str">
        <f>IF(AK93&gt;4,IF(AK92&gt;1,"/",""),"")</f>
        <v>/</v>
      </c>
      <c r="P111" s="51">
        <v>21</v>
      </c>
      <c r="Q111" s="49">
        <v>9</v>
      </c>
      <c r="R111" s="50" t="str">
        <f>IF(AK93&gt;5,IF(AK92&gt;1,"/",""),"")</f>
        <v>/</v>
      </c>
      <c r="S111" s="51">
        <v>25</v>
      </c>
      <c r="T111" s="49"/>
      <c r="U111" s="50" t="str">
        <f>IF(AK93&gt;6,IF(AK92&gt;1,"/",""),"")</f>
        <v/>
      </c>
      <c r="V111" s="51"/>
      <c r="W111" s="49"/>
      <c r="X111" s="50" t="str">
        <f>IF(AK93&gt;7,IF(AK92&gt;1,"/",""),"")</f>
        <v/>
      </c>
      <c r="Y111" s="51"/>
      <c r="Z111" s="49"/>
      <c r="AA111" s="50" t="str">
        <f>IF(AK93&gt;8,IF(AK92&gt;1,"/",""),"")</f>
        <v/>
      </c>
      <c r="AB111" s="51"/>
      <c r="AC111" s="49"/>
      <c r="AD111" s="50" t="str">
        <f>IF(AK93&gt;9,IF(AK92&gt;1,"/",""),"")</f>
        <v/>
      </c>
      <c r="AE111" s="51"/>
      <c r="AF111" s="42" t="str">
        <f>IF(AK94&gt;2,"Team 3","")</f>
        <v>Team 3</v>
      </c>
      <c r="AG111" s="48">
        <f>IF(AK94&lt;3,"",IF(AK93&lt;1,"",IF(B109=3,B115-D115,IF(D109=3,D115-B115,""))))</f>
        <v>-30</v>
      </c>
      <c r="AH111" s="48" t="str">
        <f>IF(AK94&lt;3,"",IF(AK93&lt;2,"",IF(E109=3,E115-G115,IF(G109=3,G115-E115,""))))</f>
        <v/>
      </c>
      <c r="AI111" s="48" t="str">
        <f>IF(AK94&lt;3,"",IF(AK93&lt;3,"",IF(H109=3,H115-J115,IF(J109=3,J115-H115,""))))</f>
        <v/>
      </c>
      <c r="AJ111" s="48">
        <f>IF(AK94&lt;3,"",IF(AK93&lt;4,"",IF(K109=3,K115-M115,IF(M109=3,M115-K115,""))))</f>
        <v>-18</v>
      </c>
      <c r="AK111" s="48">
        <f>IF(AK94&lt;3,"",IF(AK93&lt;5,"",IF(N109=3,N115-P115,IF(P109=3,P115-N115,""))))</f>
        <v>7</v>
      </c>
      <c r="AL111" s="48" t="str">
        <f>IF(AK94&lt;3,"",IF(AK93&lt;6,"",IF(Q109=3,Q115-S115,IF(S109=3,S115-Q115,""))))</f>
        <v/>
      </c>
      <c r="AM111" s="48" t="str">
        <f>IF(AK94&lt;3,"",IF(AK93&lt;7,"",IF(T109=3,T115-V115,IF(V109=3,V115-T115,""))))</f>
        <v/>
      </c>
      <c r="AN111" s="48" t="str">
        <f>IF(AK94&lt;3,"",IF(AK93&lt;8,"",IF(W109=3,W115-Y115,IF(Y109=3,Y115-W115,""))))</f>
        <v/>
      </c>
      <c r="AO111" s="48" t="str">
        <f>IF(AK94&lt;3,"",IF(AK93&lt;9,"",IF(Z109=3,Z115-AB115,IF(AB109=3,AB115-Z115,""))))</f>
        <v/>
      </c>
      <c r="AP111" s="48" t="str">
        <f>IF(AK94&lt;3,"",IF(AK93&lt;9,"",IF(AC109=3,AC115-AE115,IF(AE109=3,AE115-AC115,""))))</f>
        <v/>
      </c>
      <c r="AQ111" s="44">
        <f>SUM(AG111:AP111)</f>
        <v>-41</v>
      </c>
    </row>
    <row r="112" spans="1:44" ht="15" x14ac:dyDescent="0.2">
      <c r="A112" s="3" t="str">
        <f>IF(AK92&gt;2,"Game 3","")</f>
        <v>Game 3</v>
      </c>
      <c r="B112" s="49"/>
      <c r="C112" s="50" t="s">
        <v>80</v>
      </c>
      <c r="D112" s="51"/>
      <c r="E112" s="49"/>
      <c r="F112" s="50" t="str">
        <f>IF(AK93&gt;1,IF(AK92&gt;2,"/",""),"")</f>
        <v>/</v>
      </c>
      <c r="G112" s="51"/>
      <c r="H112" s="49"/>
      <c r="I112" s="50" t="str">
        <f>IF(AK93&gt;2,IF(AK92&gt;2,"/",""),"")</f>
        <v>/</v>
      </c>
      <c r="J112" s="51"/>
      <c r="K112" s="49"/>
      <c r="L112" s="50" t="str">
        <f>IF(AK93&gt;3,IF(AK92&gt;2,"/",""),"")</f>
        <v>/</v>
      </c>
      <c r="M112" s="51"/>
      <c r="N112" s="49"/>
      <c r="O112" s="50" t="str">
        <f>IF(AK93&gt;4,IF(AK92&gt;2,"/",""),"")</f>
        <v>/</v>
      </c>
      <c r="P112" s="51"/>
      <c r="Q112" s="49"/>
      <c r="R112" s="50" t="str">
        <f>IF(AK93&gt;5,IF(AK92&gt;2,"/",""),"")</f>
        <v>/</v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-15</v>
      </c>
      <c r="AI112" s="48">
        <f>IF(AK94&lt;4,"",IF(AK93&lt;3,"",IF(H109=4,H115-J115,IF(J109=4,J115-H115,""))))</f>
        <v>-33</v>
      </c>
      <c r="AJ112" s="48" t="str">
        <f>IF(AK94&lt;4,"",IF(AK93&lt;4,"",IF(K109=4,K115-M115,IF(M109=4,M115-K115,""))))</f>
        <v/>
      </c>
      <c r="AK112" s="48">
        <f>IF(AK94&lt;4,"",IF(AK93&lt;5,"",IF(N109=4,N115-P115,IF(P109=4,P115-N115,""))))</f>
        <v>-7</v>
      </c>
      <c r="AL112" s="48" t="str">
        <f>IF(AK94&lt;4,"",IF(AK93&lt;6,"",IF(Q109=4,Q115-S115,IF(S109=4,S115-Q115,""))))</f>
        <v/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 t="str">
        <f>IF(AK94&lt;4,"",IF(AK93&lt;9,"",IF(Z109=4,Z115-AB115,IF(AB109=4,AB115-Z115,""))))</f>
        <v/>
      </c>
      <c r="AP112" s="48" t="str">
        <f>IF(AK94&lt;4,"",IF(AK93&lt;10,"",IF(AC109=4,AC115-AE115,IF(AE109=4,AE115-AC115,""))))</f>
        <v/>
      </c>
      <c r="AQ112" s="44">
        <f>SUM(AG112:AP112)</f>
        <v>-55</v>
      </c>
    </row>
    <row r="113" spans="1:43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/>
      </c>
      <c r="AG113" s="52" t="str">
        <f>IF(AK94&lt;5,"",IF(AK93&lt;1,"",IF(B109=5,B115-D115,IF(D109=5,D115-B115,""))))</f>
        <v/>
      </c>
      <c r="AH113" s="48" t="str">
        <f>IF(AK94&lt;5,"",IF(AK93&lt;2,"",IF(E109=5,E115-G115,IF(G109=5,G115-E115,""))))</f>
        <v/>
      </c>
      <c r="AI113" s="48" t="str">
        <f>IF(AK94&lt;5,"",IF(AK93&lt;3,"",IF(H109=5,H115-J115,IF(J109=5,J115-H115,""))))</f>
        <v/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 t="str">
        <f>IF(AK94&lt;5,"",IF(AK93&lt;6,"",IF(Q109=5,Q115-S115,IF(S109=5,S115-Q115,""))))</f>
        <v/>
      </c>
      <c r="AM113" s="48" t="str">
        <f>IF(AK94&lt;5,"",IF(AK93&lt;7,"",IF(T109=5,T115-V115,IF(V109=5,V115-T115,""))))</f>
        <v/>
      </c>
      <c r="AN113" s="48" t="str">
        <f>IF(AK94&lt;5,"",IF(AK93&lt;8,"",IF(W109=5,W115-Y115,IF(Y109=5,Y115-W115,""))))</f>
        <v/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0</v>
      </c>
    </row>
    <row r="114" spans="1:43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3" hidden="1" x14ac:dyDescent="0.2">
      <c r="A115" s="53"/>
      <c r="B115" s="53">
        <f>IF($AK92=5,SUM(B110:B114),IF($AK92=4,SUM(B110:B113),IF($AK92=3,SUM(B110:B112),IF($AK92=2,SUM(B110:B111),B110))))</f>
        <v>50</v>
      </c>
      <c r="C115" s="53"/>
      <c r="D115" s="53">
        <f>IF($AK92=5,SUM(D110:D114),IF($AK92=4,SUM(D110:D113),IF($AK92=3,SUM(D110:D112),IF($AK92=2,SUM(D110:D111),D110))))</f>
        <v>20</v>
      </c>
      <c r="E115" s="53">
        <f>IF($AK92=5,SUM(E110:E114),IF($AK92=4,SUM(E110:E113),IF($AK92=3,SUM(E110:E112),IF($AK92=2,SUM(E110:E111),E110))))</f>
        <v>50</v>
      </c>
      <c r="F115" s="53"/>
      <c r="G115" s="53">
        <f>IF($AK92=5,SUM(G110:G114),IF($AK92=4,SUM(G110:G113),IF($AK92=3,SUM(G110:G112),IF($AK92=2,SUM(G110:G111),G110))))</f>
        <v>35</v>
      </c>
      <c r="H115" s="53">
        <f>IF($AK92=5,SUM(H110:H114),IF($AK92=4,SUM(H110:H113),IF($AK92=3,SUM(H110:H112),IF($AK92=2,SUM(H110:H111),H110))))</f>
        <v>50</v>
      </c>
      <c r="I115" s="53"/>
      <c r="J115" s="53">
        <f>IF($AK92=5,SUM(J110:J114),IF($AK92=4,SUM(J110:J113),IF($AK92=3,SUM(J110:J112),IF($AK92=2,SUM(J110:J111),J110))))</f>
        <v>17</v>
      </c>
      <c r="K115" s="53">
        <f>IF($AK92=5,SUM(K110:K114),IF($AK92=4,SUM(K110:K113),IF($AK92=3,SUM(K110:K112),IF($AK92=2,SUM(K110:K111),K110))))</f>
        <v>50</v>
      </c>
      <c r="L115" s="53"/>
      <c r="M115" s="53">
        <f>IF($AK92=5,SUM(M110:M114),IF($AK92=4,SUM(M110:M113),IF($AK92=3,SUM(M110:M112),IF($AK92=2,SUM(M110:M111),M110))))</f>
        <v>32</v>
      </c>
      <c r="N115" s="53">
        <f>IF($AK92=5,SUM(N110:N114),IF($AK92=4,SUM(N110:N113),IF($AK92=3,SUM(N110:N112),IF($AK92=2,SUM(N110:N111),N110))))</f>
        <v>50</v>
      </c>
      <c r="O115" s="53"/>
      <c r="P115" s="53">
        <f>IF($AK92=5,SUM(P110:P114),IF($AK92=4,SUM(P110:P113),IF($AK92=3,SUM(P110:P112),IF($AK92=2,SUM(P110:P111),P110))))</f>
        <v>43</v>
      </c>
      <c r="Q115" s="53">
        <f>IF($AK92=5,SUM(Q110:Q114),IF($AK92=4,SUM(Q110:Q113),IF($AK92=3,SUM(Q110:Q112),IF($AK92=2,SUM(Q110:Q111),Q110))))</f>
        <v>24</v>
      </c>
      <c r="R115" s="53"/>
      <c r="S115" s="53">
        <f>IF($AK92=5,SUM(S110:S114),IF($AK92=4,SUM(S110:S113),IF($AK92=3,SUM(S110:S112),IF($AK92=2,SUM(S110:S111),S110))))</f>
        <v>50</v>
      </c>
      <c r="T115" s="53">
        <f>IF($AK92=5,SUM(T110:T114),IF($AK92=4,SUM(T110:T113),IF($AK92=3,SUM(T110:T112),IF($AK92=2,SUM(T110:T111),T110))))</f>
        <v>0</v>
      </c>
      <c r="U115" s="53"/>
      <c r="V115" s="53">
        <f>IF($AK92=5,SUM(V110:V114),IF($AK92=4,SUM(V110:V113),IF($AK92=3,SUM(V110:V112),IF($AK92=2,SUM(V110:V111),V110))))</f>
        <v>0</v>
      </c>
      <c r="W115" s="53">
        <f>IF($AK92=5,SUM(W110:W114),IF($AK92=4,SUM(W110:W113),IF($AK92=3,SUM(W110:W112),IF($AK92=2,SUM(W110:W111),W110))))</f>
        <v>0</v>
      </c>
      <c r="X115" s="53"/>
      <c r="Y115" s="53">
        <f>IF($AK92=5,SUM(Y110:Y114),IF($AK92=4,SUM(Y110:Y113),IF($AK92=3,SUM(Y110:Y112),IF($AK92=2,SUM(Y110:Y111),Y110))))</f>
        <v>0</v>
      </c>
      <c r="Z115" s="53">
        <f>IF($AK92=5,SUM(Z110:Z114),IF($AK92=4,SUM(Z110:Z113),IF($AK92=3,SUM(Z110:Z112),IF($AK92=2,SUM(Z110:Z111),Z110))))</f>
        <v>0</v>
      </c>
      <c r="AA115" s="53"/>
      <c r="AB115" s="53">
        <f>IF($AK92=5,SUM(AB110:AB114),IF($AK92=4,SUM(AB110:AB113),IF($AK92=3,SUM(AB110:AB112),IF($AK92=2,SUM(AB110:AB111),AB110))))</f>
        <v>0</v>
      </c>
      <c r="AC115" s="53">
        <f>IF($AK92=5,SUM(AC110:AC114),IF($AK92=4,SUM(AC110:AC113),IF($AK92=3,SUM(AC110:AC112),IF($AK92=2,SUM(AC110:AC111),AC110))))</f>
        <v>0</v>
      </c>
      <c r="AD115" s="53"/>
      <c r="AE115" s="53">
        <f>IF($AK92=5,SUM(AE110:AE114),IF($AK92=4,SUM(AE110:AE113),IF($AK92=3,SUM(AE110:AE112),IF($AK92=2,SUM(AE110:AE111),AE110))))</f>
        <v>0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3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1</v>
      </c>
      <c r="F116" s="56"/>
      <c r="G116" s="57">
        <f>IF(AND(G110&gt;E110,$AK93&gt;1,ISNUMBER(E110),ISNUMBER(G110)),1,0)</f>
        <v>0</v>
      </c>
      <c r="H116" s="56">
        <f>IF(AND(H110&gt;J110,$AK93&gt;2,ISNUMBER(H110),ISNUMBER(J110)),1,0)</f>
        <v>1</v>
      </c>
      <c r="I116" s="56"/>
      <c r="J116" s="57">
        <f>IF(AND(J110&gt;H110,$AK93&gt;2,ISNUMBER(H110),ISNUMBER(J110)),1,0)</f>
        <v>0</v>
      </c>
      <c r="K116" s="56">
        <f>IF(AND(K110&gt;M110,$AK93&gt;3,ISNUMBER(K110),ISNUMBER(M110)),1,0)</f>
        <v>1</v>
      </c>
      <c r="L116" s="56"/>
      <c r="M116" s="57">
        <f>IF(AND(M110&gt;K110,$AK93&gt;3,ISNUMBER(K110),ISNUMBER(M110)),1,0)</f>
        <v>0</v>
      </c>
      <c r="N116" s="56">
        <f>IF(AND(N110&gt;P110,$AK93&gt;4,ISNUMBER(N110),ISNUMBER(P110)),1,0)</f>
        <v>1</v>
      </c>
      <c r="O116" s="56"/>
      <c r="P116" s="57">
        <f>IF(AND(P110&gt;N110,$AK93&gt;4,ISNUMBER(N110),ISNUMBER(P110)),1,0)</f>
        <v>0</v>
      </c>
      <c r="Q116" s="56">
        <f>IF(AND(Q110&gt;S110,$AK93&gt;5,ISNUMBER(Q110),ISNUMBER(S110)),1,0)</f>
        <v>0</v>
      </c>
      <c r="R116" s="56"/>
      <c r="S116" s="57">
        <f>IF(AND(S110&gt;Q110,$AK93&gt;5,ISNUMBER(Q110),ISNUMBER(S110)),1,0)</f>
        <v>1</v>
      </c>
      <c r="T116" s="56">
        <f>IF(AND(T110&gt;V110,$AK93&gt;6,ISNUMBER(T110),ISNUMBER(V110)),1,0)</f>
        <v>0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0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0</v>
      </c>
      <c r="AD116" s="56"/>
      <c r="AE116" s="57">
        <f>IF(AND(AE110&gt;AC110,$AK93&gt;9,ISNUMBER(AC110),ISNUMBER(AE110)),1,0)</f>
        <v>0</v>
      </c>
    </row>
    <row r="117" spans="1:43" s="55" customFormat="1" ht="12.75" hidden="1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1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1</v>
      </c>
      <c r="I117" s="56"/>
      <c r="J117" s="57">
        <f>IF(AND(J111&gt;H111,$AK93&gt;2,$AK92&gt;1,ISNUMBER(H111),ISNUMBER(J111)),1,0)</f>
        <v>0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1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0</v>
      </c>
      <c r="R117" s="56"/>
      <c r="S117" s="57">
        <f>IF(AND(S111&gt;Q111,$AK93&gt;5,$AK92&gt;1,ISNUMBER(Q111),ISNUMBER(S111)),1,0)</f>
        <v>1</v>
      </c>
      <c r="T117" s="56">
        <f>IF(AND(T111&gt;V111,$AK93&gt;6,$AK92&gt;1,ISNUMBER(T111),ISNUMBER(V111)),1,0)</f>
        <v>0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0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0</v>
      </c>
      <c r="AD117" s="56"/>
      <c r="AE117" s="57">
        <f>IF(AND(AE111&gt;AC111,$AK93&gt;9,$AK92&gt;1,ISNUMBER(AC111),ISNUMBER(AE111)),1,0)</f>
        <v>0</v>
      </c>
    </row>
    <row r="118" spans="1:43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</row>
    <row r="119" spans="1:43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</row>
    <row r="120" spans="1:43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</row>
    <row r="121" spans="1:43" s="55" customFormat="1" ht="38.25" hidden="1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2</v>
      </c>
      <c r="G121" s="60">
        <f>SUM(G116:G120)</f>
        <v>0</v>
      </c>
      <c r="H121" s="55">
        <f>SUM(H116:H120)</f>
        <v>2</v>
      </c>
      <c r="J121" s="60">
        <f>SUM(J116:J120)</f>
        <v>0</v>
      </c>
      <c r="K121" s="55">
        <f>SUM(K116:K120)</f>
        <v>2</v>
      </c>
      <c r="M121" s="60">
        <f>SUM(M116:M120)</f>
        <v>0</v>
      </c>
      <c r="N121" s="55">
        <f>SUM(N116:N120)</f>
        <v>2</v>
      </c>
      <c r="P121" s="60">
        <f>SUM(P116:P120)</f>
        <v>0</v>
      </c>
      <c r="Q121" s="55">
        <f>SUM(Q116:Q120)</f>
        <v>0</v>
      </c>
      <c r="S121" s="60">
        <f>SUM(S116:S120)</f>
        <v>2</v>
      </c>
      <c r="T121" s="55">
        <f>SUM(T116:T120)</f>
        <v>0</v>
      </c>
      <c r="V121" s="60">
        <f>SUM(V116:V120)</f>
        <v>0</v>
      </c>
      <c r="W121" s="55">
        <f>SUM(W116:W120)</f>
        <v>0</v>
      </c>
      <c r="Y121" s="60">
        <f>SUM(Y116:Y120)</f>
        <v>0</v>
      </c>
      <c r="Z121" s="55">
        <f>SUM(Z116:Z120)</f>
        <v>0</v>
      </c>
      <c r="AB121" s="60">
        <f>SUM(AB116:AB120)</f>
        <v>0</v>
      </c>
      <c r="AC121" s="55">
        <f>SUM(AC116:AC120)</f>
        <v>0</v>
      </c>
      <c r="AE121" s="60">
        <f>SUM(AE116:AE120)</f>
        <v>0</v>
      </c>
    </row>
    <row r="122" spans="1:43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1</v>
      </c>
      <c r="F122" s="55">
        <f>E122+G122</f>
        <v>1</v>
      </c>
      <c r="G122" s="60">
        <f>IF(G121&gt;E121,IF(F156=AK92,1,IF(F156=AK92-1,1,0)),0)</f>
        <v>0</v>
      </c>
      <c r="H122" s="55">
        <f>IF(H121&gt;J121,IF(I156=AK92,1,IF(I156=AK92-1,1,0)),0)</f>
        <v>1</v>
      </c>
      <c r="I122" s="55">
        <f>H122+J122</f>
        <v>1</v>
      </c>
      <c r="J122" s="60">
        <f>IF(J121&gt;H121,IF(I156=AK92,1,IF(I156=AK92-1,1,0)),0)</f>
        <v>0</v>
      </c>
      <c r="K122" s="55">
        <f>IF(K121&gt;M121,IF(L156=AK92,1,IF(L156=AK92-1,1,0)),0)</f>
        <v>1</v>
      </c>
      <c r="L122" s="55">
        <f>K122+M122</f>
        <v>1</v>
      </c>
      <c r="M122" s="60">
        <f>IF(M121&gt;K121,IF(L156=AK92,1,IF(L156=AK92-1,1,0)),0)</f>
        <v>0</v>
      </c>
      <c r="N122" s="55">
        <f>IF(N121&gt;P121,IF(O156=AK92,1,IF(O156=AK92-1,1,0)),0)</f>
        <v>1</v>
      </c>
      <c r="O122" s="55">
        <f>N122+P122</f>
        <v>1</v>
      </c>
      <c r="P122" s="60">
        <f>IF(P121&gt;N121,IF(O156=AK92,1,IF(O156=AK92-1,1,0)),0)</f>
        <v>0</v>
      </c>
      <c r="Q122" s="55">
        <f>IF(Q121&gt;S121,IF(R156=AK92,1,IF(R156=AK92-1,1,0)),0)</f>
        <v>0</v>
      </c>
      <c r="R122" s="55">
        <f>Q122+S122</f>
        <v>1</v>
      </c>
      <c r="S122" s="60">
        <f>IF(S121&gt;Q121,IF(R156=AK92,1,IF(R156=AK92-1,1,0)),0)</f>
        <v>1</v>
      </c>
      <c r="T122" s="55">
        <f>IF(T121&gt;V121,IF(U156=AK92,1,IF(U156=AK92-1,1,0)),0)</f>
        <v>0</v>
      </c>
      <c r="U122" s="55">
        <f>T122+V122</f>
        <v>0</v>
      </c>
      <c r="V122" s="60">
        <f>IF(V121&gt;T121,IF(U156=AK92,1,IF(U156=AK92-1,1,0)),0)</f>
        <v>0</v>
      </c>
      <c r="W122" s="55">
        <f>IF(W121&gt;Y121,IF(X156=AK92,1,IF(X156=AK92-1,1,0)),0)</f>
        <v>0</v>
      </c>
      <c r="X122" s="55">
        <f>W122+Y122</f>
        <v>0</v>
      </c>
      <c r="Y122" s="60">
        <f>IF(Y121&gt;W121,IF(X156=AK92,1,IF(X156=AK92-1,1,0)),0)</f>
        <v>0</v>
      </c>
      <c r="Z122" s="55">
        <f>IF(Z121&gt;AB121,IF(AA156=AK92,1,IF(AA156=AK92-1,1,0)),0)</f>
        <v>0</v>
      </c>
      <c r="AA122" s="55">
        <f>Z122+AB122</f>
        <v>0</v>
      </c>
      <c r="AB122" s="60">
        <f>IF(AB121&gt;Z121,IF(AA156=AK92,1,IF(AA156=AK92-1,1,0)),0)</f>
        <v>0</v>
      </c>
      <c r="AC122" s="55">
        <f>IF(AC121&gt;AE121,IF(AD156=AK92,1,IF(AD156=AK92-1,1,0)),0)</f>
        <v>0</v>
      </c>
      <c r="AD122" s="55">
        <f>AC122+AE122</f>
        <v>0</v>
      </c>
      <c r="AE122" s="60">
        <f>IF(AE121&gt;AC121,IF(AD156=AK92,1,IF(AD156=AK92-1,1,0)),0)</f>
        <v>0</v>
      </c>
    </row>
    <row r="123" spans="1:43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</row>
    <row r="124" spans="1:43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25</v>
      </c>
      <c r="G124" s="60">
        <f t="shared" ref="G124:H128" si="12">IF(G116=1,G110,0)</f>
        <v>0</v>
      </c>
      <c r="H124" s="55">
        <f t="shared" si="12"/>
        <v>25</v>
      </c>
      <c r="J124" s="60">
        <f t="shared" ref="J124:K128" si="13">IF(J116=1,J110,0)</f>
        <v>0</v>
      </c>
      <c r="K124" s="55">
        <f t="shared" si="13"/>
        <v>25</v>
      </c>
      <c r="M124" s="60">
        <f t="shared" ref="M124:N128" si="14">IF(M116=1,M110,0)</f>
        <v>0</v>
      </c>
      <c r="N124" s="55">
        <f t="shared" si="14"/>
        <v>25</v>
      </c>
      <c r="P124" s="60">
        <f t="shared" ref="P124:Q128" si="15">IF(P116=1,P110,0)</f>
        <v>0</v>
      </c>
      <c r="Q124" s="55">
        <f t="shared" si="15"/>
        <v>0</v>
      </c>
      <c r="S124" s="60">
        <f t="shared" ref="S124:T128" si="16">IF(S116=1,S110,0)</f>
        <v>25</v>
      </c>
      <c r="T124" s="55">
        <f t="shared" si="16"/>
        <v>0</v>
      </c>
      <c r="V124" s="60">
        <f t="shared" ref="V124:W128" si="17">IF(V116=1,V110,0)</f>
        <v>0</v>
      </c>
      <c r="W124" s="55">
        <f t="shared" si="17"/>
        <v>0</v>
      </c>
      <c r="Y124" s="60">
        <f t="shared" ref="Y124:Z128" si="18">IF(Y116=1,Y110,0)</f>
        <v>0</v>
      </c>
      <c r="Z124" s="55">
        <f t="shared" si="18"/>
        <v>0</v>
      </c>
      <c r="AB124" s="60">
        <f t="shared" ref="AB124:AC128" si="19">IF(AB116=1,AB110,0)</f>
        <v>0</v>
      </c>
      <c r="AC124" s="55">
        <f t="shared" si="19"/>
        <v>0</v>
      </c>
      <c r="AE124" s="60">
        <f>IF(AE116=1,AE110,0)</f>
        <v>0</v>
      </c>
    </row>
    <row r="125" spans="1:43" s="55" customFormat="1" ht="12.75" hidden="1" customHeight="1" x14ac:dyDescent="0.2">
      <c r="A125" s="55" t="s">
        <v>89</v>
      </c>
      <c r="B125" s="55">
        <f>IF(B117=1,B111,0)</f>
        <v>25</v>
      </c>
      <c r="D125" s="60">
        <f t="shared" si="11"/>
        <v>0</v>
      </c>
      <c r="E125" s="55">
        <f t="shared" si="11"/>
        <v>25</v>
      </c>
      <c r="G125" s="60">
        <f t="shared" si="12"/>
        <v>0</v>
      </c>
      <c r="H125" s="55">
        <f t="shared" si="12"/>
        <v>25</v>
      </c>
      <c r="J125" s="60">
        <f t="shared" si="13"/>
        <v>0</v>
      </c>
      <c r="K125" s="55">
        <f t="shared" si="13"/>
        <v>25</v>
      </c>
      <c r="M125" s="60">
        <f t="shared" si="14"/>
        <v>0</v>
      </c>
      <c r="N125" s="55">
        <f t="shared" si="14"/>
        <v>25</v>
      </c>
      <c r="P125" s="60">
        <f t="shared" si="15"/>
        <v>0</v>
      </c>
      <c r="Q125" s="55">
        <f t="shared" si="15"/>
        <v>0</v>
      </c>
      <c r="S125" s="60">
        <f t="shared" si="16"/>
        <v>25</v>
      </c>
      <c r="T125" s="55">
        <f t="shared" si="16"/>
        <v>0</v>
      </c>
      <c r="V125" s="60">
        <f t="shared" si="17"/>
        <v>0</v>
      </c>
      <c r="W125" s="55">
        <f t="shared" si="17"/>
        <v>0</v>
      </c>
      <c r="Y125" s="60">
        <f t="shared" si="18"/>
        <v>0</v>
      </c>
      <c r="Z125" s="55">
        <f t="shared" si="18"/>
        <v>0</v>
      </c>
      <c r="AB125" s="60">
        <f t="shared" si="19"/>
        <v>0</v>
      </c>
      <c r="AC125" s="55">
        <f t="shared" si="19"/>
        <v>0</v>
      </c>
      <c r="AE125" s="60">
        <f>IF(AE117=1,AE111,0)</f>
        <v>0</v>
      </c>
    </row>
    <row r="126" spans="1:43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</row>
    <row r="127" spans="1:43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</row>
    <row r="128" spans="1:43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</row>
    <row r="129" spans="1:37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50</v>
      </c>
      <c r="G129" s="60"/>
      <c r="H129" s="55">
        <f>SUM(H124:J128)</f>
        <v>50</v>
      </c>
      <c r="J129" s="60"/>
      <c r="K129" s="55">
        <f>SUM(K124:M128)</f>
        <v>50</v>
      </c>
      <c r="M129" s="60"/>
      <c r="N129" s="55">
        <f>SUM(N124:P128)</f>
        <v>50</v>
      </c>
      <c r="P129" s="60"/>
      <c r="Q129" s="55">
        <f>SUM(Q124:S128)</f>
        <v>50</v>
      </c>
      <c r="S129" s="60"/>
      <c r="T129" s="55">
        <f>SUM(T124:V128)</f>
        <v>0</v>
      </c>
      <c r="V129" s="60"/>
      <c r="W129" s="55">
        <f>SUM(W124:Y128)</f>
        <v>0</v>
      </c>
      <c r="Y129" s="60"/>
      <c r="Z129" s="55">
        <f>SUM(Z124:AB128)</f>
        <v>0</v>
      </c>
      <c r="AB129" s="60"/>
      <c r="AC129" s="55">
        <f>SUM(AC124:AE128)</f>
        <v>0</v>
      </c>
      <c r="AE129" s="60"/>
    </row>
    <row r="130" spans="1:37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</row>
    <row r="131" spans="1:37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1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1</v>
      </c>
      <c r="M131" s="60">
        <f>IF(M109=1,IF(M122=1,1,0),0)</f>
        <v>0</v>
      </c>
      <c r="N131" s="55">
        <f>IF(N109=1,IF(N122=1,1,0),0)</f>
        <v>0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0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2</v>
      </c>
      <c r="AG131" s="55">
        <f>AF137-AF131</f>
        <v>1</v>
      </c>
    </row>
    <row r="132" spans="1:37" s="55" customFormat="1" ht="12.75" hidden="1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1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1</v>
      </c>
      <c r="T132" s="55">
        <f>IF(T109=2,IF(T122=1,1,0),0)</f>
        <v>0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3</v>
      </c>
      <c r="AG132" s="55">
        <f>AF138-AF132</f>
        <v>0</v>
      </c>
    </row>
    <row r="133" spans="1:37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1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1</v>
      </c>
      <c r="AG133" s="55">
        <f>AF139-AF133</f>
        <v>2</v>
      </c>
    </row>
    <row r="134" spans="1:37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0</v>
      </c>
      <c r="AG134" s="55">
        <f>AF140-AF134</f>
        <v>3</v>
      </c>
    </row>
    <row r="135" spans="1:37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0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0</v>
      </c>
      <c r="AG135" s="55">
        <f>AF141-AF135</f>
        <v>0</v>
      </c>
    </row>
    <row r="136" spans="1:37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</row>
    <row r="137" spans="1:37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1</v>
      </c>
      <c r="M137" s="60">
        <f>IF(M109=1,IF(L122=1,1,0),0)</f>
        <v>0</v>
      </c>
      <c r="N137" s="55">
        <f>IF(N109=1,IF(O122=1,1,0),0)</f>
        <v>0</v>
      </c>
      <c r="P137" s="60">
        <f>IF(P109=1,IF(O122=1,1,0),0)</f>
        <v>0</v>
      </c>
      <c r="Q137" s="55">
        <f>IF(Q109=1,IF(R122=1,1,0),0)</f>
        <v>1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0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0</v>
      </c>
      <c r="AE137" s="60">
        <f>IF(AE109=1,IF(AD122=1,1,0),0)</f>
        <v>0</v>
      </c>
      <c r="AF137" s="55">
        <f>SUM(B137:AE137)</f>
        <v>3</v>
      </c>
    </row>
    <row r="138" spans="1:37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1</v>
      </c>
      <c r="J138" s="60">
        <f>IF(J109=2,IF(I122=1,1,0),0)</f>
        <v>0</v>
      </c>
      <c r="K138" s="55">
        <f>IF(K109=2,IF(L122=1,1,0),0)</f>
        <v>0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1</v>
      </c>
      <c r="T138" s="55">
        <f>IF(T109=2,IF(U122=1,1,0),0)</f>
        <v>0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0</v>
      </c>
      <c r="AF138" s="55">
        <f>SUM(B138:AE138)</f>
        <v>3</v>
      </c>
    </row>
    <row r="139" spans="1:37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1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0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1</v>
      </c>
      <c r="N139" s="55">
        <f>IF(N109=3,IF(O122=1,1,0),0)</f>
        <v>1</v>
      </c>
      <c r="P139" s="60">
        <f>IF(P109=3,IF(O122=1,1,0),0)</f>
        <v>0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0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0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3</v>
      </c>
    </row>
    <row r="140" spans="1:37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1</v>
      </c>
      <c r="K140" s="55">
        <f>IF(K109=4,IF(L122=1,1,0),0)</f>
        <v>0</v>
      </c>
      <c r="M140" s="60">
        <f>IF(M109=4,IF(L122=1,1,0),0)</f>
        <v>0</v>
      </c>
      <c r="N140" s="55">
        <f>IF(N109=4,IF(O122=1,1,0),0)</f>
        <v>0</v>
      </c>
      <c r="P140" s="60">
        <f>IF(P109=4,IF(O122=1,1,0),0)</f>
        <v>1</v>
      </c>
      <c r="Q140" s="55">
        <f>IF(Q109=4,IF(R122=1,1,0),0)</f>
        <v>0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0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3</v>
      </c>
    </row>
    <row r="141" spans="1:37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0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0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0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0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0</v>
      </c>
    </row>
    <row r="142" spans="1:37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</row>
    <row r="143" spans="1:37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50</v>
      </c>
      <c r="M143" s="60">
        <f>IF(M109=1,K129,0)</f>
        <v>0</v>
      </c>
      <c r="N143" s="55">
        <f>IF(N109=1,N129,0)</f>
        <v>0</v>
      </c>
      <c r="P143" s="60">
        <f>IF(P109=1,N129,0)</f>
        <v>0</v>
      </c>
      <c r="Q143" s="55">
        <f>IF(Q109=1,Q129,0)</f>
        <v>50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0</v>
      </c>
      <c r="AE143" s="60">
        <f>IF(AE109=1,AC129,0)</f>
        <v>0</v>
      </c>
      <c r="AF143" s="55">
        <f>SUM(B143:AE143)</f>
        <v>150</v>
      </c>
    </row>
    <row r="144" spans="1:37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50</v>
      </c>
      <c r="J144" s="60">
        <f>IF(J109=2,H129,0)</f>
        <v>0</v>
      </c>
      <c r="K144" s="55">
        <f>IF(K109=2,K129,0)</f>
        <v>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50</v>
      </c>
      <c r="T144" s="55">
        <f>IF(T109=2,T129,0)</f>
        <v>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0</v>
      </c>
      <c r="AF144" s="55">
        <f>SUM(B144:AE144)</f>
        <v>150</v>
      </c>
    </row>
    <row r="145" spans="1:33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50</v>
      </c>
      <c r="E145" s="55">
        <f>IF(E109=3,E129,0)</f>
        <v>0</v>
      </c>
      <c r="G145" s="60">
        <f>IF(G109=3,E129,0)</f>
        <v>0</v>
      </c>
      <c r="H145" s="55">
        <f>IF(H109=3,H129,0)</f>
        <v>0</v>
      </c>
      <c r="J145" s="60">
        <f>IF(J109=3,H129,0)</f>
        <v>0</v>
      </c>
      <c r="K145" s="55">
        <f>IF(K109=3,K129,0)</f>
        <v>0</v>
      </c>
      <c r="M145" s="60">
        <f>IF(M109=3,K129,0)</f>
        <v>50</v>
      </c>
      <c r="N145" s="55">
        <f>IF(N109=3,N129,0)</f>
        <v>50</v>
      </c>
      <c r="P145" s="60">
        <f>IF(P109=3,N129,0)</f>
        <v>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0</v>
      </c>
      <c r="W145" s="55">
        <f>IF(W109=3,W129,0)</f>
        <v>0</v>
      </c>
      <c r="Y145" s="60">
        <f>IF(Y109=3,W129,0)</f>
        <v>0</v>
      </c>
      <c r="Z145" s="55">
        <f>IF(Z109=3,Z129,0)</f>
        <v>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150</v>
      </c>
    </row>
    <row r="146" spans="1:33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50</v>
      </c>
      <c r="K146" s="55">
        <f>IF(K109=4,K129,0)</f>
        <v>0</v>
      </c>
      <c r="M146" s="60">
        <f>IF(M109=4,K129,0)</f>
        <v>0</v>
      </c>
      <c r="N146" s="55">
        <f>IF(N109=4,N129,0)</f>
        <v>0</v>
      </c>
      <c r="P146" s="60">
        <f>IF(P109=4,N129,0)</f>
        <v>50</v>
      </c>
      <c r="Q146" s="55">
        <f>IF(Q109=4,Q129,0)</f>
        <v>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0</v>
      </c>
      <c r="AC146" s="55">
        <f>IF(AC109=4,AC129,0)</f>
        <v>0</v>
      </c>
      <c r="AE146" s="60">
        <f>IF(AE109=4,AC129,0)</f>
        <v>0</v>
      </c>
      <c r="AF146" s="55">
        <f>SUM(B146:AE146)</f>
        <v>150</v>
      </c>
    </row>
    <row r="147" spans="1:33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0</v>
      </c>
    </row>
    <row r="148" spans="1:33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</row>
    <row r="149" spans="1:33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2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2</v>
      </c>
      <c r="M149" s="60">
        <f>IF(M109=1,SUMIF(M116:M120,"&gt;0"),0)</f>
        <v>0</v>
      </c>
      <c r="N149" s="55">
        <f>IF(N109=1,SUMIF(N116:N120,"&gt;0"),0)</f>
        <v>0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0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0</v>
      </c>
      <c r="AE149" s="60">
        <f>IF(AE109=1,SUMIF(AE116:AE120,"&gt;0"),0)</f>
        <v>0</v>
      </c>
      <c r="AF149" s="55">
        <f>SUM(B149:AE149)</f>
        <v>4</v>
      </c>
      <c r="AG149" s="55">
        <f>AF157-AF149</f>
        <v>2</v>
      </c>
    </row>
    <row r="150" spans="1:33" s="55" customFormat="1" ht="12.75" hidden="1" customHeight="1" x14ac:dyDescent="0.2">
      <c r="A150" s="55" t="s">
        <v>98</v>
      </c>
      <c r="B150" s="55">
        <f>IF(B109=2,SUMIF(B116:B120,"&gt;0"),0)</f>
        <v>2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2</v>
      </c>
      <c r="J150" s="60">
        <f>IF(J109=2,SUMIF(J116:J120,"&gt;0"),0)</f>
        <v>0</v>
      </c>
      <c r="K150" s="55">
        <f>IF(K109=2,SUMIF(K116:K120,"&gt;0"),0)</f>
        <v>0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2</v>
      </c>
      <c r="T150" s="55">
        <f>IF(T109=2,SUMIF(T116:T120,"&gt;0"),0)</f>
        <v>0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6</v>
      </c>
      <c r="AG150" s="55">
        <f>AF158-AF150</f>
        <v>0</v>
      </c>
    </row>
    <row r="151" spans="1:33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2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0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2</v>
      </c>
      <c r="AG151" s="55">
        <f>AF159-AF151</f>
        <v>4</v>
      </c>
    </row>
    <row r="152" spans="1:33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0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0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0</v>
      </c>
      <c r="AG152" s="55">
        <f>AF160-AF152</f>
        <v>6</v>
      </c>
    </row>
    <row r="153" spans="1:33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0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0</v>
      </c>
      <c r="AG153" s="55">
        <f>AF161-AF153</f>
        <v>0</v>
      </c>
    </row>
    <row r="154" spans="1:33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</row>
    <row r="155" spans="1:33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</row>
    <row r="156" spans="1:33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0</v>
      </c>
      <c r="V156" s="60"/>
      <c r="X156" s="55">
        <f>SUMIF(W149:Y153,"&gt;0")</f>
        <v>0</v>
      </c>
      <c r="Y156" s="60"/>
      <c r="AA156" s="55">
        <f>SUMIF(Z149:AB153,"&gt;0")</f>
        <v>0</v>
      </c>
      <c r="AB156" s="60"/>
      <c r="AD156" s="55">
        <f>SUMIF(AC149:AE153,"&gt;0")</f>
        <v>0</v>
      </c>
      <c r="AE156" s="60"/>
      <c r="AF156" s="59" t="s">
        <v>113</v>
      </c>
    </row>
    <row r="157" spans="1:33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2</v>
      </c>
      <c r="M157" s="60">
        <f>IF(M109=1,L156,0)</f>
        <v>0</v>
      </c>
      <c r="N157" s="55">
        <f>IF(N109=1,O156,0)</f>
        <v>0</v>
      </c>
      <c r="P157" s="60">
        <f>IF(P109=1,O156,0)</f>
        <v>0</v>
      </c>
      <c r="Q157" s="55">
        <f>IF(Q109=1,R156,0)</f>
        <v>2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0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0</v>
      </c>
      <c r="AE157" s="60">
        <f>IF(AE109=1,AD156,0)</f>
        <v>0</v>
      </c>
      <c r="AF157" s="55">
        <f>SUM(B157:AE157)</f>
        <v>6</v>
      </c>
    </row>
    <row r="158" spans="1:33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2</v>
      </c>
      <c r="J158" s="60">
        <f>IF(J109=2,I156,0)</f>
        <v>0</v>
      </c>
      <c r="K158" s="55">
        <f>IF(K109=2,L156,0)</f>
        <v>0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2</v>
      </c>
      <c r="T158" s="55">
        <f>IF(T109=2,U156,0)</f>
        <v>0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0</v>
      </c>
      <c r="AF158" s="55">
        <f>SUM(B158:AE158)</f>
        <v>6</v>
      </c>
    </row>
    <row r="159" spans="1:33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2</v>
      </c>
      <c r="E159" s="55">
        <f>IF(E109=3,F156,0)</f>
        <v>0</v>
      </c>
      <c r="G159" s="60">
        <f>IF(G109=3,F156,0)</f>
        <v>0</v>
      </c>
      <c r="H159" s="55">
        <f>IF(H109=3,I156,0)</f>
        <v>0</v>
      </c>
      <c r="J159" s="60">
        <f>IF(J109=3,I156,0)</f>
        <v>0</v>
      </c>
      <c r="K159" s="55">
        <f>IF(K109=3,L156,0)</f>
        <v>0</v>
      </c>
      <c r="M159" s="60">
        <f>IF(M109=3,L156,0)</f>
        <v>2</v>
      </c>
      <c r="N159" s="55">
        <f>IF(N109=3,O156,0)</f>
        <v>2</v>
      </c>
      <c r="P159" s="60">
        <f>IF(P109=3,O156,0)</f>
        <v>0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0</v>
      </c>
      <c r="W159" s="55">
        <f>IF(W109=3,X156,0)</f>
        <v>0</v>
      </c>
      <c r="Y159" s="60">
        <f>IF(Y109=3,X156,0)</f>
        <v>0</v>
      </c>
      <c r="Z159" s="55">
        <f>IF(Z109=3,AA156,0)</f>
        <v>0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6</v>
      </c>
    </row>
    <row r="160" spans="1:33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2</v>
      </c>
      <c r="K160" s="55">
        <f>IF(K109=4,L156,0)</f>
        <v>0</v>
      </c>
      <c r="M160" s="60">
        <f>IF(M109=4,L156,0)</f>
        <v>0</v>
      </c>
      <c r="N160" s="55">
        <f>IF(N109=4,O156,0)</f>
        <v>0</v>
      </c>
      <c r="P160" s="60">
        <f>IF(P109=4,O156,0)</f>
        <v>2</v>
      </c>
      <c r="Q160" s="55">
        <f>IF(Q109=4,R156,0)</f>
        <v>0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0</v>
      </c>
      <c r="AC160" s="55">
        <f>IF(AC109=4,AD156,0)</f>
        <v>0</v>
      </c>
      <c r="AE160" s="60">
        <f>IF(AE109=4,AD156,0)</f>
        <v>0</v>
      </c>
      <c r="AF160" s="55">
        <f>SUM(B160:AE160)</f>
        <v>6</v>
      </c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0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0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0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0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0</v>
      </c>
    </row>
    <row r="162" spans="1:54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AW162" s="130"/>
      <c r="BB162" s="130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USA 17 Purple Joy</v>
      </c>
      <c r="C164" s="67">
        <f>VLOOKUP(B164,AU$3:AY$12,3,FALSE)</f>
        <v>2400</v>
      </c>
      <c r="D164" s="67">
        <f>IF(B157,B172,IF(D157,D172,C164))</f>
        <v>2400</v>
      </c>
      <c r="E164" s="67"/>
      <c r="F164" s="67"/>
      <c r="G164" s="67">
        <f>IF(E157,E172,IF(G157,G172,D164))</f>
        <v>2441.7574330556417</v>
      </c>
      <c r="H164" s="67"/>
      <c r="I164" s="67"/>
      <c r="J164" s="67">
        <f>IF(H157,H172,IF(J157,J172,G164))</f>
        <v>2441.7574330556417</v>
      </c>
      <c r="K164" s="67"/>
      <c r="L164" s="67"/>
      <c r="M164" s="67">
        <f>IF(K157,K172,IF(M157,M172,J164))</f>
        <v>2479.0178083967048</v>
      </c>
      <c r="N164" s="67"/>
      <c r="O164" s="67"/>
      <c r="P164" s="67">
        <f>IF(N157,N172,IF(P157,P172,M164))</f>
        <v>2479.0178083967048</v>
      </c>
      <c r="Q164" s="67"/>
      <c r="R164" s="67"/>
      <c r="S164" s="67">
        <f>IF(Q157,Q172,IF(S157,S172,P164))</f>
        <v>2466.7379300254852</v>
      </c>
      <c r="T164" s="67"/>
      <c r="U164" s="67"/>
      <c r="V164" s="67">
        <f>IF(T157,T172,IF(V157,V172,S164))</f>
        <v>2466.7379300254852</v>
      </c>
      <c r="W164" s="67"/>
      <c r="X164" s="67"/>
      <c r="Y164" s="67">
        <f>IF(W157,W172,IF(Y157,Y172,V164))</f>
        <v>2466.7379300254852</v>
      </c>
      <c r="Z164" s="67"/>
      <c r="AA164" s="67"/>
      <c r="AB164" s="67">
        <f>IF(Z157,Z172,IF(AB157,AB172,Y164))</f>
        <v>2466.7379300254852</v>
      </c>
      <c r="AC164" s="67"/>
      <c r="AD164" s="67"/>
      <c r="AE164" s="67">
        <f>IF(AC157,AC172,IF(AE157,AE172,AB164))</f>
        <v>2466.7379300254852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USA 17 Purple Joy</v>
      </c>
      <c r="AU164" s="63">
        <f>AE164</f>
        <v>2466.7379300254852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Upward Stars 17 Kara</v>
      </c>
      <c r="C165" s="67">
        <f>VLOOKUP(B165,AU$3:AY$12,3,FALSE)</f>
        <v>2700</v>
      </c>
      <c r="D165" s="67">
        <f>IF(B158,B172,IF(D158,D172,C165))</f>
        <v>2716.4680221567919</v>
      </c>
      <c r="E165" s="67"/>
      <c r="F165" s="67"/>
      <c r="G165" s="67">
        <f>IF(E158,E172,IF(G158,G172,D165))</f>
        <v>2716.4680221567919</v>
      </c>
      <c r="H165" s="67"/>
      <c r="I165" s="67"/>
      <c r="J165" s="67">
        <f>IF(H158,H172,IF(J158,J172,G165))</f>
        <v>2728.8039973037035</v>
      </c>
      <c r="K165" s="67"/>
      <c r="L165" s="67"/>
      <c r="M165" s="67">
        <f>IF(K158,K172,IF(M158,M172,J165))</f>
        <v>2728.8039973037035</v>
      </c>
      <c r="N165" s="67"/>
      <c r="O165" s="67"/>
      <c r="P165" s="67">
        <f>IF(N158,N172,IF(P158,P172,M165))</f>
        <v>2728.8039973037035</v>
      </c>
      <c r="Q165" s="67"/>
      <c r="R165" s="67"/>
      <c r="S165" s="67">
        <f>IF(Q158,Q172,IF(S158,S172,P165))</f>
        <v>2741.0838756749231</v>
      </c>
      <c r="T165" s="67"/>
      <c r="U165" s="67"/>
      <c r="V165" s="67">
        <f>IF(T158,T172,IF(V158,V172,S165))</f>
        <v>2741.0838756749231</v>
      </c>
      <c r="W165" s="67"/>
      <c r="X165" s="67"/>
      <c r="Y165" s="67">
        <f>IF(W158,W172,IF(Y158,Y172,V165))</f>
        <v>2741.0838756749231</v>
      </c>
      <c r="Z165" s="67"/>
      <c r="AA165" s="67"/>
      <c r="AB165" s="67">
        <f>IF(Z158,Z172,IF(AB158,AB172,Y165))</f>
        <v>2741.0838756749231</v>
      </c>
      <c r="AC165" s="67"/>
      <c r="AD165" s="67"/>
      <c r="AE165" s="67">
        <f>IF(AC158,AC172,IF(AE158,AE172,AB165))</f>
        <v>2741.0838756749231</v>
      </c>
      <c r="AF165" s="4"/>
      <c r="AG165" s="4"/>
      <c r="AJ165" s="4"/>
      <c r="AL165" s="4"/>
      <c r="AM165" s="4"/>
      <c r="AN165" s="4"/>
      <c r="AO165" s="4"/>
      <c r="AT165" s="63" t="str">
        <f>B165</f>
        <v>Upward Stars 17 Kara</v>
      </c>
      <c r="AU165" s="63">
        <f>AE165</f>
        <v>2741.0838756749231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PEAK 18 Brandi</v>
      </c>
      <c r="C166" s="67">
        <f>VLOOKUP(B166,AU$3:AY$12,3,FALSE)</f>
        <v>2515.8622226546854</v>
      </c>
      <c r="D166" s="67">
        <f>IF(B159,B172,IF(D159,D172,C166))</f>
        <v>2499.3942004978935</v>
      </c>
      <c r="E166" s="67"/>
      <c r="F166" s="67"/>
      <c r="G166" s="67">
        <f>IF(E159,E172,IF(G159,G172,D166))</f>
        <v>2499.3942004978935</v>
      </c>
      <c r="H166" s="67"/>
      <c r="I166" s="67"/>
      <c r="J166" s="67">
        <f>IF(H159,H172,IF(J159,J172,G166))</f>
        <v>2499.3942004978935</v>
      </c>
      <c r="K166" s="67"/>
      <c r="L166" s="67"/>
      <c r="M166" s="67">
        <f>IF(K159,K172,IF(M159,M172,J166))</f>
        <v>2462.1338251568304</v>
      </c>
      <c r="N166" s="67"/>
      <c r="O166" s="67"/>
      <c r="P166" s="67">
        <f>IF(N159,N172,IF(P159,P172,M166))</f>
        <v>2493.5068950266641</v>
      </c>
      <c r="Q166" s="67"/>
      <c r="R166" s="67"/>
      <c r="S166" s="67">
        <f>IF(Q159,Q172,IF(S159,S172,P166))</f>
        <v>2493.5068950266641</v>
      </c>
      <c r="T166" s="67"/>
      <c r="U166" s="67"/>
      <c r="V166" s="67">
        <f>IF(T159,T172,IF(V159,V172,S166))</f>
        <v>2493.5068950266641</v>
      </c>
      <c r="W166" s="67"/>
      <c r="X166" s="67"/>
      <c r="Y166" s="67">
        <f>IF(W159,W172,IF(Y159,Y172,V166))</f>
        <v>2493.5068950266641</v>
      </c>
      <c r="Z166" s="67"/>
      <c r="AA166" s="67"/>
      <c r="AB166" s="67">
        <f>IF(Z159,Z172,IF(AB159,AB172,Y166))</f>
        <v>2493.5068950266641</v>
      </c>
      <c r="AC166" s="67"/>
      <c r="AD166" s="67"/>
      <c r="AE166" s="67">
        <f>IF(AC159,AC172,IF(AE159,AE172,AB166))</f>
        <v>2493.5068950266641</v>
      </c>
      <c r="AF166" s="4"/>
      <c r="AG166" s="4"/>
      <c r="AJ166" s="4"/>
      <c r="AL166" s="4"/>
      <c r="AM166" s="4"/>
      <c r="AN166" s="4"/>
      <c r="AO166" s="4"/>
      <c r="AT166" s="63" t="str">
        <f>B166</f>
        <v>PEAK 18 Brandi</v>
      </c>
      <c r="AU166" s="63">
        <f>AE166</f>
        <v>2493.5068950266641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CHSElite 18-1</v>
      </c>
      <c r="C167" s="67">
        <f>VLOOKUP(B167,AU$3:AY$12,3,FALSE)</f>
        <v>2509.4195548725629</v>
      </c>
      <c r="D167" s="67">
        <f>IF(B160,B172,IF(D160,D172,C167))</f>
        <v>2509.4195548725629</v>
      </c>
      <c r="E167" s="67"/>
      <c r="F167" s="67"/>
      <c r="G167" s="67">
        <f>IF(E160,E172,IF(G160,G172,D167))</f>
        <v>2467.6621218169212</v>
      </c>
      <c r="H167" s="67"/>
      <c r="I167" s="67"/>
      <c r="J167" s="67">
        <f>IF(H160,H172,IF(J160,J172,G167))</f>
        <v>2455.3261466700096</v>
      </c>
      <c r="K167" s="67"/>
      <c r="L167" s="67"/>
      <c r="M167" s="67">
        <f>IF(K160,K172,IF(M160,M172,J167))</f>
        <v>2455.3261466700096</v>
      </c>
      <c r="N167" s="67"/>
      <c r="O167" s="67"/>
      <c r="P167" s="67">
        <f>IF(N160,N172,IF(P160,P172,M167))</f>
        <v>2423.9530768001759</v>
      </c>
      <c r="Q167" s="67"/>
      <c r="R167" s="67"/>
      <c r="S167" s="67">
        <f>IF(Q160,Q172,IF(S160,S172,P167))</f>
        <v>2423.9530768001759</v>
      </c>
      <c r="T167" s="67"/>
      <c r="U167" s="67"/>
      <c r="V167" s="67">
        <f>IF(T160,T172,IF(V160,V172,S167))</f>
        <v>2423.9530768001759</v>
      </c>
      <c r="W167" s="67"/>
      <c r="X167" s="67"/>
      <c r="Y167" s="67">
        <f>IF(W160,W172,IF(Y160,Y172,V167))</f>
        <v>2423.9530768001759</v>
      </c>
      <c r="Z167" s="67"/>
      <c r="AA167" s="67"/>
      <c r="AB167" s="67">
        <f>IF(Z160,Z172,IF(AB160,AB172,Y167))</f>
        <v>2423.9530768001759</v>
      </c>
      <c r="AC167" s="67"/>
      <c r="AD167" s="67"/>
      <c r="AE167" s="67">
        <f>IF(AC160,AC172,IF(AE160,AE172,AB167))</f>
        <v>2423.9530768001759</v>
      </c>
      <c r="AF167" s="4"/>
      <c r="AG167" s="4"/>
      <c r="AJ167" s="4"/>
      <c r="AL167" s="4"/>
      <c r="AM167" s="4"/>
      <c r="AN167" s="4"/>
      <c r="AO167" s="4"/>
      <c r="AT167" s="63" t="str">
        <f>B167</f>
        <v>CHSElite 18-1</v>
      </c>
      <c r="AU167" s="63">
        <f>AE167</f>
        <v>2423.9530768001759</v>
      </c>
      <c r="AW167" s="66"/>
      <c r="BB167" s="66"/>
    </row>
    <row r="168" spans="1:54" s="63" customFormat="1" hidden="1" x14ac:dyDescent="0.2">
      <c r="A168" s="67">
        <v>5</v>
      </c>
      <c r="B168" s="67">
        <f>E101</f>
        <v>0</v>
      </c>
      <c r="C168" s="67" t="e">
        <f>VLOOKUP(B168,AU$3:AY$12,3,FALSE)</f>
        <v>#N/A</v>
      </c>
      <c r="D168" s="67" t="e">
        <f>IF(B161,B172,IF(D161,D172,C168))</f>
        <v>#N/A</v>
      </c>
      <c r="E168" s="67"/>
      <c r="F168" s="67"/>
      <c r="G168" s="67" t="e">
        <f>IF(E161,E172,IF(G161,G172,D168))</f>
        <v>#N/A</v>
      </c>
      <c r="H168" s="67"/>
      <c r="I168" s="67"/>
      <c r="J168" s="67" t="e">
        <f>IF(H161,H172,IF(J161,J172,G168))</f>
        <v>#N/A</v>
      </c>
      <c r="K168" s="67"/>
      <c r="L168" s="67"/>
      <c r="M168" s="67" t="e">
        <f>IF(K161,K172,IF(M161,M172,J168))</f>
        <v>#N/A</v>
      </c>
      <c r="N168" s="67"/>
      <c r="O168" s="67"/>
      <c r="P168" s="67" t="e">
        <f>IF(N161,N172,IF(P161,P172,M168))</f>
        <v>#N/A</v>
      </c>
      <c r="Q168" s="67"/>
      <c r="R168" s="67"/>
      <c r="S168" s="67" t="e">
        <f>IF(Q161,Q172,IF(S161,S172,P168))</f>
        <v>#N/A</v>
      </c>
      <c r="T168" s="67"/>
      <c r="U168" s="67"/>
      <c r="V168" s="67" t="e">
        <f>IF(T161,T172,IF(V161,V172,S168))</f>
        <v>#N/A</v>
      </c>
      <c r="W168" s="67"/>
      <c r="X168" s="67"/>
      <c r="Y168" s="67" t="e">
        <f>IF(W161,W172,IF(Y161,Y172,V168))</f>
        <v>#N/A</v>
      </c>
      <c r="Z168" s="67"/>
      <c r="AA168" s="67"/>
      <c r="AB168" s="67" t="e">
        <f>IF(Z161,Z172,IF(AB161,AB172,Y168))</f>
        <v>#N/A</v>
      </c>
      <c r="AC168" s="67"/>
      <c r="AD168" s="67"/>
      <c r="AE168" s="67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63">
        <f>B168</f>
        <v>0</v>
      </c>
      <c r="AU168" s="63" t="e">
        <f>AE168</f>
        <v>#N/A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2700</v>
      </c>
      <c r="C170" s="67">
        <v>1</v>
      </c>
      <c r="D170" s="67">
        <f>VLOOKUP(D109,$A164:$AE168,3,FALSE)</f>
        <v>2515.8622226546854</v>
      </c>
      <c r="E170" s="67">
        <f>VLOOKUP(E109,$A164:$AE168,4,FALSE)</f>
        <v>2400</v>
      </c>
      <c r="F170" s="67">
        <v>2</v>
      </c>
      <c r="G170" s="67">
        <f>VLOOKUP(G109,$A164:$AE168,4,FALSE)</f>
        <v>2509.4195548725629</v>
      </c>
      <c r="H170" s="67">
        <f>VLOOKUP(H109,$A164:$AE168,7,FALSE)</f>
        <v>2716.4680221567919</v>
      </c>
      <c r="I170" s="67">
        <v>3</v>
      </c>
      <c r="J170" s="67">
        <f>VLOOKUP(J109,$A164:$AE168,7,FALSE)</f>
        <v>2467.6621218169212</v>
      </c>
      <c r="K170" s="67">
        <f>VLOOKUP(K109,$A164:$AE168,10,FALSE)</f>
        <v>2441.7574330556417</v>
      </c>
      <c r="L170" s="67">
        <v>4</v>
      </c>
      <c r="M170" s="67">
        <f>VLOOKUP(M109,$A164:$AE168,10,FALSE)</f>
        <v>2499.3942004978935</v>
      </c>
      <c r="N170" s="67">
        <f>VLOOKUP(N109,$A164:$AE168,13,FALSE)</f>
        <v>2462.1338251568304</v>
      </c>
      <c r="O170" s="67">
        <v>5</v>
      </c>
      <c r="P170" s="67">
        <f>VLOOKUP(P109,$A164:$AE168,13,FALSE)</f>
        <v>2455.3261466700096</v>
      </c>
      <c r="Q170" s="67">
        <f>VLOOKUP(Q109,$A164:$AE168,16,FALSE)</f>
        <v>2479.0178083967048</v>
      </c>
      <c r="R170" s="67">
        <v>6</v>
      </c>
      <c r="S170" s="67">
        <f>VLOOKUP(S109,$A164:$AE168,16,FALSE)</f>
        <v>2728.8039973037035</v>
      </c>
      <c r="T170" s="67">
        <f>VLOOKUP(T109,$A164:$AE168,19,FALSE)</f>
        <v>2741.0838756749231</v>
      </c>
      <c r="U170" s="67">
        <v>7</v>
      </c>
      <c r="V170" s="67">
        <f>VLOOKUP(V109,$A164:$AE168,19,FALSE)</f>
        <v>2493.5068950266641</v>
      </c>
      <c r="W170" s="67">
        <f>VLOOKUP(W109,$A164:$AE168,22,FALSE)</f>
        <v>2466.7379300254852</v>
      </c>
      <c r="X170" s="67">
        <v>8</v>
      </c>
      <c r="Y170" s="67" t="e">
        <f>VLOOKUP(Y109,$A164:$AE168,22,FALSE)</f>
        <v>#N/A</v>
      </c>
      <c r="Z170" s="67">
        <f>VLOOKUP(Z109,$A164:$AE168,25,FALSE)</f>
        <v>2493.5068950266641</v>
      </c>
      <c r="AA170" s="67">
        <v>9</v>
      </c>
      <c r="AB170" s="67">
        <f>VLOOKUP(AB109,$A164:$AE168,25,FALSE)</f>
        <v>2423.9530768001759</v>
      </c>
      <c r="AC170" s="67">
        <f>VLOOKUP(AC109,$A164:$AE168,28,FALSE)</f>
        <v>2466.7379300254852</v>
      </c>
      <c r="AD170" s="67">
        <v>10</v>
      </c>
      <c r="AE170" s="67">
        <f>VLOOKUP(AE109,$A164:$AE168,28,FALSE)</f>
        <v>2741.0838756749231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1.4853743076002495</v>
      </c>
      <c r="C171" s="68"/>
      <c r="D171" s="68">
        <f>1/(1+(10^-((D170-B170)/400)))*(B121+D121)</f>
        <v>0.51462569239975042</v>
      </c>
      <c r="E171" s="68">
        <f>1/(1+(10^-((E170-G170)/400)))*(E121+G121)</f>
        <v>0.69508021701119216</v>
      </c>
      <c r="F171" s="68"/>
      <c r="G171" s="68">
        <f>1/(1+(10^-((G170-E170)/400)))*(E121+G121)</f>
        <v>1.304919782988808</v>
      </c>
      <c r="H171" s="68">
        <f>1/(1+(10^-((H170-J170)/400)))*(H121+J121)</f>
        <v>1.6145007766590114</v>
      </c>
      <c r="I171" s="68"/>
      <c r="J171" s="68">
        <f>1/(1+(10^-((J170-H170)/400)))*(H121+J121)</f>
        <v>0.38549922334098852</v>
      </c>
      <c r="K171" s="68">
        <f>1/(1+(10^-((K170-M170)/400)))*(K121+M121)</f>
        <v>0.83561327059177704</v>
      </c>
      <c r="L171" s="68"/>
      <c r="M171" s="68">
        <f>1/(1+(10^-((M170-K170)/400)))*(K121+M121)</f>
        <v>1.1643867294082229</v>
      </c>
      <c r="N171" s="68">
        <f>1/(1+(10^-((N170-P170)/400)))*(N121+P121)</f>
        <v>1.0195915665676984</v>
      </c>
      <c r="O171" s="68"/>
      <c r="P171" s="68">
        <f>1/(1+(10^-((P170-N170)/400)))*(N121+P121)</f>
        <v>0.98040843343230144</v>
      </c>
      <c r="Q171" s="68">
        <f>1/(1+(10^-((Q170-S170)/400)))*(Q121+S121)</f>
        <v>0.38374619910061919</v>
      </c>
      <c r="R171" s="68"/>
      <c r="S171" s="68">
        <f>1/(1+(10^-((S170-Q170)/400)))*(Q121+S121)</f>
        <v>1.616253800899381</v>
      </c>
      <c r="T171" s="68">
        <f>1/(1+(10^-((T170-V170)/400)))*(T121+V121)</f>
        <v>0</v>
      </c>
      <c r="U171" s="68"/>
      <c r="V171" s="68">
        <f>1/(1+(10^-((V170-T170)/400)))*(T121+V121)</f>
        <v>0</v>
      </c>
      <c r="W171" s="68" t="e">
        <f>1/(1+(10^-((W170-Y170)/400)))*(W121+Y121)</f>
        <v>#N/A</v>
      </c>
      <c r="X171" s="68"/>
      <c r="Y171" s="68" t="e">
        <f>1/(1+(10^-((Y170-W170)/400)))*(W121+Y121)</f>
        <v>#N/A</v>
      </c>
      <c r="Z171" s="68">
        <f>1/(1+(10^-((Z170-AB170)/400)))*(Z121+AB121)</f>
        <v>0</v>
      </c>
      <c r="AA171" s="68"/>
      <c r="AB171" s="68">
        <f>1/(1+(10^-((AB170-Z170)/400)))*(Z121+AB121)</f>
        <v>0</v>
      </c>
      <c r="AC171" s="68">
        <f>1/(1+(10^-((AC170-AE170)/400)))*(AC121+AE121)</f>
        <v>0</v>
      </c>
      <c r="AD171" s="68"/>
      <c r="AE171" s="68">
        <f>1/(1+(10^-((AE170-AC170)/400)))*(AC121+AE121)</f>
        <v>0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2716.4680221567919</v>
      </c>
      <c r="C172" s="74"/>
      <c r="D172" s="74">
        <f>D170+(D121-D171)*$BA$1</f>
        <v>2499.3942004978935</v>
      </c>
      <c r="E172" s="74">
        <f>E170+(E121-E171)*$BA$1</f>
        <v>2441.7574330556417</v>
      </c>
      <c r="F172" s="74"/>
      <c r="G172" s="74">
        <f>G170+(G121-G171)*$BA$1</f>
        <v>2467.6621218169212</v>
      </c>
      <c r="H172" s="74">
        <f>H170+(H121-H171)*$BA$1</f>
        <v>2728.8039973037035</v>
      </c>
      <c r="I172" s="74"/>
      <c r="J172" s="74">
        <f>J170+(J121-J171)*$BA$1</f>
        <v>2455.3261466700096</v>
      </c>
      <c r="K172" s="74">
        <f>K170+(K121-K171)*$BA$1</f>
        <v>2479.0178083967048</v>
      </c>
      <c r="L172" s="74"/>
      <c r="M172" s="74">
        <f>M170+(M121-M171)*$BA$1</f>
        <v>2462.1338251568304</v>
      </c>
      <c r="N172" s="74">
        <f>N170+(N121-N171)*$BA$1</f>
        <v>2493.5068950266641</v>
      </c>
      <c r="O172" s="74"/>
      <c r="P172" s="74">
        <f>P170+(P121-P171)*$BA$1</f>
        <v>2423.9530768001759</v>
      </c>
      <c r="Q172" s="74">
        <f>Q170+(Q121-Q171)*$BA$1</f>
        <v>2466.7379300254852</v>
      </c>
      <c r="R172" s="74"/>
      <c r="S172" s="74">
        <f>S170+(S121-S171)*$BA$1</f>
        <v>2741.0838756749231</v>
      </c>
      <c r="T172" s="74">
        <f>T170+(T121-T171)*$BA$1</f>
        <v>2741.0838756749231</v>
      </c>
      <c r="U172" s="74"/>
      <c r="V172" s="74">
        <f>V170+(V121-V171)*$BA$1</f>
        <v>2493.5068950266641</v>
      </c>
      <c r="W172" s="74" t="e">
        <f>W170+(W121-W171)*$BA$1</f>
        <v>#N/A</v>
      </c>
      <c r="X172" s="74"/>
      <c r="Y172" s="74" t="e">
        <f>Y170+(Y121-Y171)*$BA$1</f>
        <v>#N/A</v>
      </c>
      <c r="Z172" s="74">
        <f>Z170+(Z121-Z171)*$BA$1</f>
        <v>2493.5068950266641</v>
      </c>
      <c r="AA172" s="74"/>
      <c r="AB172" s="74">
        <f>AB170+(AB121-AB171)*$BA$1</f>
        <v>2423.9530768001759</v>
      </c>
      <c r="AC172" s="74">
        <f>AC170+(AC121-AC171)*$BA$1</f>
        <v>2466.7379300254852</v>
      </c>
      <c r="AD172" s="74"/>
      <c r="AE172" s="74">
        <f>AE170+(AE121-AE171)*$BA$1</f>
        <v>2741.0838756749231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30"/>
      <c r="AN174" s="330"/>
      <c r="AO174" s="330"/>
      <c r="AP174" s="330"/>
    </row>
    <row r="175" spans="1:54" s="63" customFormat="1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</row>
    <row r="176" spans="1:54" ht="21" thickBot="1" x14ac:dyDescent="0.35">
      <c r="A176" s="345" t="s">
        <v>120</v>
      </c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</row>
    <row r="177" spans="1:53" ht="13.5" thickBot="1" x14ac:dyDescent="0.25">
      <c r="A177" s="346" t="s">
        <v>121</v>
      </c>
      <c r="B177" s="348" t="s">
        <v>122</v>
      </c>
      <c r="C177" s="349"/>
      <c r="D177" s="349"/>
      <c r="E177" s="349"/>
      <c r="F177" s="349"/>
      <c r="G177" s="349"/>
      <c r="H177" s="349"/>
      <c r="I177" s="349"/>
      <c r="J177" s="349"/>
      <c r="K177" s="350"/>
      <c r="L177" s="348" t="s">
        <v>123</v>
      </c>
      <c r="M177" s="349"/>
      <c r="N177" s="349"/>
      <c r="O177" s="349"/>
      <c r="P177" s="349"/>
      <c r="Q177" s="349"/>
      <c r="R177" s="349"/>
      <c r="S177" s="349"/>
      <c r="T177" s="349"/>
      <c r="U177" s="350"/>
      <c r="V177" s="348" t="s">
        <v>124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348" t="s">
        <v>125</v>
      </c>
      <c r="AG177" s="349"/>
      <c r="AH177" s="349"/>
      <c r="AI177" s="349"/>
      <c r="AJ177" s="349"/>
      <c r="AK177" s="349"/>
      <c r="AL177" s="349"/>
      <c r="AM177" s="349"/>
      <c r="AN177" s="349"/>
      <c r="AO177" s="350"/>
    </row>
    <row r="178" spans="1:53" ht="13.5" thickBot="1" x14ac:dyDescent="0.25">
      <c r="A178" s="347"/>
      <c r="B178" s="354" t="s">
        <v>10</v>
      </c>
      <c r="C178" s="355"/>
      <c r="D178" s="355"/>
      <c r="E178" s="355"/>
      <c r="F178" s="355"/>
      <c r="G178" s="356"/>
      <c r="H178" s="354" t="s">
        <v>126</v>
      </c>
      <c r="I178" s="355"/>
      <c r="J178" s="355"/>
      <c r="K178" s="356"/>
      <c r="L178" s="354" t="s">
        <v>10</v>
      </c>
      <c r="M178" s="355"/>
      <c r="N178" s="355"/>
      <c r="O178" s="355"/>
      <c r="P178" s="355"/>
      <c r="Q178" s="356"/>
      <c r="R178" s="354" t="s">
        <v>126</v>
      </c>
      <c r="S178" s="355"/>
      <c r="T178" s="355"/>
      <c r="U178" s="356"/>
      <c r="V178" s="354" t="s">
        <v>10</v>
      </c>
      <c r="W178" s="355"/>
      <c r="X178" s="355"/>
      <c r="Y178" s="355"/>
      <c r="Z178" s="355"/>
      <c r="AA178" s="356"/>
      <c r="AB178" s="354" t="s">
        <v>126</v>
      </c>
      <c r="AC178" s="355"/>
      <c r="AD178" s="355"/>
      <c r="AE178" s="356"/>
      <c r="AF178" s="354" t="s">
        <v>10</v>
      </c>
      <c r="AG178" s="355"/>
      <c r="AH178" s="355"/>
      <c r="AI178" s="355"/>
      <c r="AJ178" s="355"/>
      <c r="AK178" s="356"/>
      <c r="AL178" s="354" t="s">
        <v>126</v>
      </c>
      <c r="AM178" s="355"/>
      <c r="AN178" s="355"/>
      <c r="AO178" s="356"/>
    </row>
    <row r="179" spans="1:53" x14ac:dyDescent="0.2">
      <c r="A179" s="82"/>
      <c r="B179" s="412" t="str">
        <f>IF($AF$8=1,$E$8,IF($AF$10=1,$E$10,IF($AF$12=1,$E$12,IF($AF$14=1,$E$14,IF($AF$16=1,$E$16,"1st Place "&amp;$A179)))))</f>
        <v>Upward Stars 16 Taylor</v>
      </c>
      <c r="C179" s="413"/>
      <c r="D179" s="413"/>
      <c r="E179" s="413"/>
      <c r="F179" s="413"/>
      <c r="G179" s="413"/>
      <c r="H179" s="414" t="str">
        <f>IF($AF$8=1,$E$9,IF($AF$10=1,$E$11,IF($AF$12=1,$E$13,IF($AF$14=1,$E$15,IF($AF$16=1,$E$17,"1st Place "&amp;$A179)))))</f>
        <v>fj6upwrd3pm</v>
      </c>
      <c r="I179" s="414"/>
      <c r="J179" s="414"/>
      <c r="K179" s="415"/>
      <c r="L179" s="412" t="str">
        <f>IF($AF$8=2,$E$8,IF($AF$10=2,$E$10,IF($AF$12=2,$E$12,IF($AF$14=2,$E$14,IF($AF$16=2,$E$16,"2nd Place "&amp;$A179)))))</f>
        <v>SC Midlands 18 Perf</v>
      </c>
      <c r="M179" s="413"/>
      <c r="N179" s="413"/>
      <c r="O179" s="413"/>
      <c r="P179" s="413"/>
      <c r="Q179" s="413"/>
      <c r="R179" s="414" t="str">
        <f>IF($AF$8=2,$E$9,IF($AF$10=2,$E$11,IF($AF$12=2,$E$13,IF($AF$14=2,$E$15,IF($AF$16=2,$E$17,"2nd Place "&amp;$A179)))))</f>
        <v>fj8scmid1pm</v>
      </c>
      <c r="S179" s="414"/>
      <c r="T179" s="414"/>
      <c r="U179" s="415"/>
      <c r="V179" s="412" t="str">
        <f>IF($AF$8=3,$E$8,IF($AF$10=3,$E$10,IF($AF$12=3,$E$12,IF($AF$14=3,$E$14,IF($AF$16=3,$E$16,"3rd Place "&amp;$A179)))))</f>
        <v>Sumter VBC 18</v>
      </c>
      <c r="W179" s="413"/>
      <c r="X179" s="413"/>
      <c r="Y179" s="413"/>
      <c r="Z179" s="413"/>
      <c r="AA179" s="413"/>
      <c r="AB179" s="414" t="str">
        <f>IF($AF$8=3,$E$9,IF($AF$10=3,$E$11,IF($AF$12=3,$E$13,IF($AF$14=3,$E$15,IF($AF$16=3,$E$17,"3rd Place "&amp;$A179)))))</f>
        <v>fj8sumtr1pm</v>
      </c>
      <c r="AC179" s="414"/>
      <c r="AD179" s="414"/>
      <c r="AE179" s="415"/>
      <c r="AF179" s="412" t="str">
        <f>IF($AF$8=4,$E$8,IF($AF$10=4,$E$10,IF($AF$12=4,$E$12,IF($AF$14=4,$E$14,IF($AF$16=4,$E$16,"4th Place "&amp;$A179)))))</f>
        <v>Augusta Elite 18 Fury</v>
      </c>
      <c r="AG179" s="413"/>
      <c r="AH179" s="413"/>
      <c r="AI179" s="413"/>
      <c r="AJ179" s="413"/>
      <c r="AK179" s="413"/>
      <c r="AL179" s="414" t="str">
        <f>IF($AF$8=4,$E$9,IF($AF$10=4,$E$11,IF($AF$12=4,$E$13,IF($AF$14=4,$E$15,IF($AF$16=4,$E$17,"4th Place "&amp;$A179)))))</f>
        <v>fj8aelit1pm</v>
      </c>
      <c r="AM179" s="414"/>
      <c r="AN179" s="414"/>
      <c r="AO179" s="415"/>
    </row>
    <row r="180" spans="1:53" ht="13.5" thickBot="1" x14ac:dyDescent="0.25">
      <c r="A180" s="83"/>
      <c r="B180" s="416" t="str">
        <f>IF($AF$93=1,$E$93,IF($AF$95=1,$E$95,IF($AF$97=1,$E$97,IF($AF$99=1,$E$99,IF($AF$101=1,$E$101,"1st Place "&amp;$A180)))))</f>
        <v>Upward Stars 17 Kara</v>
      </c>
      <c r="C180" s="417"/>
      <c r="D180" s="417"/>
      <c r="E180" s="417"/>
      <c r="F180" s="417"/>
      <c r="G180" s="417"/>
      <c r="H180" s="418" t="str">
        <f>IF($AF$93=1,$E$94,IF($AF$95=1,$E$96,IF($AF$97=1,$E$98,IF($AF$99=1,$E$100,IF($AF$101=1,$E$102,"1st Place "&amp;$A180)))))</f>
        <v>fj7upwrd2pm</v>
      </c>
      <c r="I180" s="418"/>
      <c r="J180" s="418"/>
      <c r="K180" s="419"/>
      <c r="L180" s="416" t="str">
        <f>IF($AF$93=2,$E$93,IF($AF$95=2,$E$95,IF($AF$97=2,$E$97,IF($AF$99=2,$E$99,IF($AF$101=2,$E$101,"2nd Place "&amp;$A180)))))</f>
        <v>USA 17 Purple Joy</v>
      </c>
      <c r="M180" s="417"/>
      <c r="N180" s="417"/>
      <c r="O180" s="417"/>
      <c r="P180" s="417"/>
      <c r="Q180" s="417"/>
      <c r="R180" s="418" t="str">
        <f>IF($AF$93=2,$E$94,IF($AF$95=2,$E$96,IF($AF$97=2,$E$98,IF($AF$99=2,$E$100,IF($AF$101=2,$E$102,"2nd Place "&amp;$A180)))))</f>
        <v>fj7unsel1cr</v>
      </c>
      <c r="S180" s="418"/>
      <c r="T180" s="418"/>
      <c r="U180" s="419"/>
      <c r="V180" s="416" t="str">
        <f>IF($AF$93=3,$E$93,IF($AF$95=3,$E$95,IF($AF$97=3,$E$97,IF($AF$99=3,$E$99,IF($AF$101=3,$E$101,"3rd Place "&amp;$A180)))))</f>
        <v>PEAK 18 Brandi</v>
      </c>
      <c r="W180" s="417"/>
      <c r="X180" s="417"/>
      <c r="Y180" s="417"/>
      <c r="Z180" s="417"/>
      <c r="AA180" s="417"/>
      <c r="AB180" s="418" t="str">
        <f>IF($AF$93=3,$E$94,IF($AF$95=3,$E$96,IF($AF$97=3,$E$98,IF($AF$99=3,$E$100,IF($AF$101=3,$E$102,"3rd Place "&amp;$A180)))))</f>
        <v>fj8cpeak1cr</v>
      </c>
      <c r="AC180" s="418"/>
      <c r="AD180" s="418"/>
      <c r="AE180" s="419"/>
      <c r="AF180" s="416" t="str">
        <f>IF($AF$93=4,$E$93,IF($AF$95=4,$E$95,IF($AF$97=4,$E$97,IF($AF$99=4,$E$99,IF($AF$101=4,$E$101,"4th Place "&amp;$A180)))))</f>
        <v>CHSElite 18-1</v>
      </c>
      <c r="AG180" s="417"/>
      <c r="AH180" s="417"/>
      <c r="AI180" s="417"/>
      <c r="AJ180" s="417"/>
      <c r="AK180" s="417"/>
      <c r="AL180" s="418" t="str">
        <f>IF($AF$93=4,$E$94,IF($AF$95=4,$E$96,IF($AF$97=4,$E$98,IF($AF$99=4,$E$100,IF($AF$101=4,$E$102,"4th Place "&amp;$A180)))))</f>
        <v>fj8celit1pm</v>
      </c>
      <c r="AM180" s="418"/>
      <c r="AN180" s="418"/>
      <c r="AO180" s="41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Z181" s="4"/>
      <c r="BA181" s="4"/>
    </row>
    <row r="182" spans="1:53" ht="15.75" x14ac:dyDescent="0.25">
      <c r="A182" s="426" t="s">
        <v>129</v>
      </c>
      <c r="B182" s="426"/>
      <c r="C182" s="426"/>
      <c r="D182" s="426"/>
      <c r="E182" s="426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T182" s="86"/>
      <c r="AU182" s="86"/>
      <c r="AV182" s="86"/>
    </row>
    <row r="183" spans="1:53" ht="14.25" x14ac:dyDescent="0.2">
      <c r="A183" s="427" t="s">
        <v>130</v>
      </c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</row>
    <row r="184" spans="1:53" x14ac:dyDescent="0.2">
      <c r="A184" s="428" t="s">
        <v>198</v>
      </c>
      <c r="B184" s="428"/>
      <c r="C184" s="428"/>
      <c r="D184" s="428"/>
      <c r="E184" s="428"/>
      <c r="F184" s="428"/>
      <c r="G184" s="428"/>
      <c r="H184" s="428"/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53" x14ac:dyDescent="0.2">
      <c r="A185" s="428"/>
      <c r="B185" s="428"/>
      <c r="C185" s="428"/>
      <c r="D185" s="428"/>
      <c r="E185" s="428"/>
      <c r="F185" s="428"/>
      <c r="G185" s="428"/>
      <c r="H185" s="428"/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53" x14ac:dyDescent="0.2">
      <c r="A186" s="429" t="s">
        <v>132</v>
      </c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330" t="s">
        <v>133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130"/>
      <c r="R188" s="330" t="s">
        <v>134</v>
      </c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</row>
    <row r="190" spans="1:53" ht="13.5" thickBot="1" x14ac:dyDescent="0.25">
      <c r="A190" s="420" t="str">
        <f>IF(B218=1,B210,IF(B218=2,B211,IF(B218=3,B212,IF(B218=4,B213,IF(OR(B218="B",B218="b"),"BYE","invalid")))))</f>
        <v>Upward Stars 16 Taylor</v>
      </c>
      <c r="B190" s="420"/>
      <c r="C190" s="420"/>
      <c r="D190" s="420"/>
      <c r="E190" s="420"/>
      <c r="F190" s="88"/>
      <c r="G190" s="88"/>
      <c r="H190" s="88"/>
      <c r="I190" s="88"/>
      <c r="J190" s="88"/>
      <c r="K190" s="88"/>
      <c r="L190" s="88"/>
      <c r="M190" s="88"/>
      <c r="N190" s="88"/>
      <c r="S190" s="131"/>
      <c r="T190" s="131"/>
      <c r="U190" s="420" t="str">
        <f>IF(W218=1,X210,IF(W218=2,X211,IF(W218=3,X212,IF(W218=4,X213,IF(OR(W218="B",W218="b"),"BYE","invalid")))))</f>
        <v>Sumter VBC 18</v>
      </c>
      <c r="V190" s="420"/>
      <c r="W190" s="420"/>
      <c r="X190" s="420"/>
      <c r="Y190" s="420"/>
      <c r="Z190" s="420"/>
      <c r="AA190" s="420"/>
      <c r="AB190" s="88"/>
      <c r="AC190" s="88"/>
      <c r="AD190" s="88"/>
      <c r="AE190" s="88"/>
    </row>
    <row r="191" spans="1:53" x14ac:dyDescent="0.2">
      <c r="A191" s="421" t="s">
        <v>988</v>
      </c>
      <c r="B191" s="421"/>
      <c r="C191" s="421"/>
      <c r="D191" s="421"/>
      <c r="E191" s="421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422" t="s">
        <v>989</v>
      </c>
      <c r="V191" s="422"/>
      <c r="W191" s="422"/>
      <c r="X191" s="422"/>
      <c r="Y191" s="422"/>
      <c r="Z191" s="422"/>
      <c r="AA191" s="423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422" t="s">
        <v>990</v>
      </c>
      <c r="B193" s="422"/>
      <c r="C193" s="422"/>
      <c r="D193" s="422"/>
      <c r="E193" s="423"/>
      <c r="F193" s="424" t="str">
        <f>IF(H218=1,B210,IF(H218=2,B211,IF(H218=3,B212,IF(H218=4,B213,"Winner Match 1"))))</f>
        <v>Upward Stars 16 Taylor</v>
      </c>
      <c r="G193" s="425"/>
      <c r="H193" s="425"/>
      <c r="I193" s="425"/>
      <c r="J193" s="425"/>
      <c r="K193" s="425"/>
      <c r="L193" s="425"/>
      <c r="M193" s="425"/>
      <c r="N193" s="88"/>
      <c r="P193" s="93"/>
      <c r="Q193" s="93"/>
      <c r="R193" s="93"/>
      <c r="S193" s="93"/>
      <c r="T193" s="422" t="s">
        <v>991</v>
      </c>
      <c r="U193" s="422"/>
      <c r="V193" s="422"/>
      <c r="W193" s="422"/>
      <c r="X193" s="422"/>
      <c r="Y193" s="422"/>
      <c r="Z193" s="422"/>
      <c r="AA193" s="423"/>
      <c r="AB193" s="424" t="str">
        <f>IF(AC218=1,X210,IF(AC218=2,X211,IF(AC218=3,X212,IF(AC218=4,X213,"Winner Match 1"))))</f>
        <v>CHSElite 18-1</v>
      </c>
      <c r="AC193" s="425"/>
      <c r="AD193" s="425"/>
      <c r="AE193" s="425"/>
      <c r="AF193" s="425"/>
      <c r="AG193" s="425"/>
      <c r="AH193" s="425"/>
    </row>
    <row r="194" spans="1:53" x14ac:dyDescent="0.2">
      <c r="A194" s="434"/>
      <c r="B194" s="434"/>
      <c r="C194" s="434"/>
      <c r="D194" s="434"/>
      <c r="E194" s="434"/>
      <c r="F194" s="435"/>
      <c r="G194" s="436"/>
      <c r="H194" s="436"/>
      <c r="I194" s="437"/>
      <c r="J194" s="438"/>
      <c r="K194" s="439"/>
      <c r="L194" s="439"/>
      <c r="M194" s="439"/>
      <c r="N194" s="88"/>
      <c r="O194" s="88"/>
      <c r="P194" s="94"/>
      <c r="Q194" s="6"/>
      <c r="R194" s="95"/>
      <c r="S194" s="95"/>
      <c r="T194" s="440" t="s">
        <v>138</v>
      </c>
      <c r="U194" s="440"/>
      <c r="V194" s="440"/>
      <c r="W194" s="440"/>
      <c r="X194" s="440"/>
      <c r="Y194" s="440"/>
      <c r="Z194" s="440"/>
      <c r="AA194" s="92"/>
      <c r="AB194" s="435"/>
      <c r="AC194" s="436"/>
      <c r="AD194" s="436"/>
      <c r="AE194" s="437"/>
      <c r="AF194" s="438"/>
      <c r="AG194" s="439"/>
      <c r="AH194" s="439"/>
    </row>
    <row r="195" spans="1:53" ht="13.5" thickBot="1" x14ac:dyDescent="0.25">
      <c r="A195" s="420" t="str">
        <f>IF(D218=1,B210,IF(D218=2,B211,IF(D218=3,B212,IF(D218=4,B213,IF(OR(D218="B",D218="b"),"BYE","invalid")))))</f>
        <v>USA 17 Purple Joy</v>
      </c>
      <c r="B195" s="420"/>
      <c r="C195" s="420"/>
      <c r="D195" s="420"/>
      <c r="E195" s="430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420" t="str">
        <f>IF(Y218=1,X210,IF(Y218=2,X211,IF(Y218=3,X212,IF(Y218=4,X213,IF(OR(Y218="B",Y218="b"),"BYE","invalid")))))</f>
        <v>CHSElite 18-1</v>
      </c>
      <c r="V195" s="420"/>
      <c r="W195" s="420"/>
      <c r="X195" s="420"/>
      <c r="Y195" s="420"/>
      <c r="Z195" s="420"/>
      <c r="AA195" s="430"/>
      <c r="AB195" s="88"/>
      <c r="AC195" s="88"/>
      <c r="AD195" s="88"/>
      <c r="AE195" s="92"/>
      <c r="AF195" s="88"/>
      <c r="AG195" s="88"/>
    </row>
    <row r="196" spans="1:53" x14ac:dyDescent="0.2">
      <c r="A196" s="421" t="s">
        <v>992</v>
      </c>
      <c r="B196" s="421"/>
      <c r="C196" s="421"/>
      <c r="D196" s="421"/>
      <c r="E196" s="421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431" t="s">
        <v>993</v>
      </c>
      <c r="V196" s="431"/>
      <c r="W196" s="431"/>
      <c r="X196" s="431"/>
      <c r="Y196" s="431"/>
      <c r="Z196" s="431"/>
      <c r="AA196" s="431"/>
      <c r="AB196" s="88"/>
      <c r="AC196" s="88"/>
      <c r="AD196" s="88"/>
      <c r="AE196" s="92"/>
      <c r="AF196" s="88"/>
      <c r="AG196" s="88"/>
      <c r="AQ196" s="96"/>
      <c r="AR196" s="96"/>
      <c r="AV196" s="96"/>
      <c r="AW196" s="96"/>
      <c r="AX196" s="96"/>
    </row>
    <row r="197" spans="1:53" x14ac:dyDescent="0.2">
      <c r="A197" s="88"/>
      <c r="B197" s="88"/>
      <c r="C197" s="88"/>
      <c r="D197" s="88"/>
      <c r="E197" s="88"/>
      <c r="F197" s="432" t="s">
        <v>141</v>
      </c>
      <c r="G197" s="432"/>
      <c r="H197" s="432"/>
      <c r="I197" s="433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432" t="s">
        <v>141</v>
      </c>
      <c r="AC197" s="432"/>
      <c r="AD197" s="432"/>
      <c r="AE197" s="433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445" t="str">
        <f>IF(K223=1,B210,IF(K223=2,B211,IF(K223=3,B212,IF(K223=4,B213,"Division Winner"))))</f>
        <v>Upward Stars 17 Kara</v>
      </c>
      <c r="K198" s="446"/>
      <c r="L198" s="446"/>
      <c r="M198" s="446"/>
      <c r="N198" s="446"/>
      <c r="O198" s="446"/>
      <c r="P198" s="446"/>
      <c r="Q198" s="131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446" t="str">
        <f>IF(AF223=1,X210,IF(AF223=2,X211,IF(AF223=3,X212,IF(AF223=4,X213,"Division Winner"))))</f>
        <v>Augusta Elite 18 Fury</v>
      </c>
      <c r="AG198" s="446"/>
      <c r="AH198" s="446"/>
      <c r="AI198" s="446"/>
      <c r="AJ198" s="446"/>
      <c r="AK198" s="98"/>
    </row>
    <row r="199" spans="1:53" ht="13.5" thickBot="1" x14ac:dyDescent="0.25">
      <c r="A199" s="420" t="str">
        <f>IF(E218=1,B210,IF(E218=2,B211,IF(E218=3,B212,IF(E218=4,B213,IF(OR(E218="B",E218="b"),"BYE","invalid")))))</f>
        <v>Upward Stars 17 Kara</v>
      </c>
      <c r="B199" s="420"/>
      <c r="C199" s="420"/>
      <c r="D199" s="420"/>
      <c r="E199" s="420"/>
      <c r="F199" s="434" t="s">
        <v>142</v>
      </c>
      <c r="G199" s="434"/>
      <c r="H199" s="434"/>
      <c r="I199" s="434"/>
      <c r="J199" s="441" t="s">
        <v>143</v>
      </c>
      <c r="K199" s="432"/>
      <c r="L199" s="432"/>
      <c r="M199" s="432"/>
      <c r="N199" s="432"/>
      <c r="O199" s="432"/>
      <c r="P199" s="432"/>
      <c r="R199" s="98"/>
      <c r="S199" s="98"/>
      <c r="T199" s="98"/>
      <c r="U199" s="420" t="str">
        <f>IF(Z218=1,X210,IF(Z218=2,X211,IF(Z218=3,X212,IF(Z218=4,X213,IF(OR(Z218="B",Z218="b"),"BYE","invalid")))))</f>
        <v>PEAK 18 Brandi</v>
      </c>
      <c r="V199" s="420"/>
      <c r="W199" s="420"/>
      <c r="X199" s="420"/>
      <c r="Y199" s="420"/>
      <c r="Z199" s="420"/>
      <c r="AA199" s="420"/>
      <c r="AB199" s="434" t="s">
        <v>144</v>
      </c>
      <c r="AC199" s="434"/>
      <c r="AD199" s="434"/>
      <c r="AE199" s="447"/>
      <c r="AF199" s="448" t="s">
        <v>145</v>
      </c>
      <c r="AG199" s="449"/>
      <c r="AH199" s="449"/>
      <c r="AI199" s="449"/>
      <c r="AJ199" s="449"/>
    </row>
    <row r="200" spans="1:53" x14ac:dyDescent="0.2">
      <c r="A200" s="421" t="s">
        <v>994</v>
      </c>
      <c r="B200" s="421"/>
      <c r="C200" s="421"/>
      <c r="D200" s="421"/>
      <c r="E200" s="421"/>
      <c r="F200" s="90"/>
      <c r="G200" s="88"/>
      <c r="H200" s="88"/>
      <c r="I200" s="88"/>
      <c r="J200" s="441"/>
      <c r="K200" s="432"/>
      <c r="L200" s="432"/>
      <c r="M200" s="432"/>
      <c r="N200" s="432"/>
      <c r="O200" s="432"/>
      <c r="P200" s="432"/>
      <c r="Q200" s="88"/>
      <c r="R200" s="96"/>
      <c r="S200" s="96"/>
      <c r="T200" s="96"/>
      <c r="U200" s="422" t="s">
        <v>995</v>
      </c>
      <c r="V200" s="422"/>
      <c r="W200" s="422"/>
      <c r="X200" s="422"/>
      <c r="Y200" s="422"/>
      <c r="Z200" s="422"/>
      <c r="AA200" s="423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Z201" s="55"/>
      <c r="BA201" s="55"/>
    </row>
    <row r="202" spans="1:53" ht="13.5" thickBot="1" x14ac:dyDescent="0.25">
      <c r="A202" s="518" t="s">
        <v>148</v>
      </c>
      <c r="B202" s="518"/>
      <c r="C202" s="518"/>
      <c r="D202" s="518"/>
      <c r="E202" s="94"/>
      <c r="F202" s="442"/>
      <c r="G202" s="443"/>
      <c r="H202" s="443"/>
      <c r="I202" s="444"/>
      <c r="J202" s="438"/>
      <c r="K202" s="439"/>
      <c r="L202" s="439"/>
      <c r="M202" s="439"/>
      <c r="N202" s="88"/>
      <c r="Q202" s="93"/>
      <c r="R202" s="93"/>
      <c r="S202" s="93"/>
      <c r="T202" s="518" t="s">
        <v>148</v>
      </c>
      <c r="U202" s="518"/>
      <c r="V202" s="518"/>
      <c r="W202" s="518"/>
      <c r="X202" s="518"/>
      <c r="Y202" s="518"/>
      <c r="Z202" s="518"/>
      <c r="AA202" s="88"/>
      <c r="AB202" s="442"/>
      <c r="AC202" s="443"/>
      <c r="AD202" s="443"/>
      <c r="AE202" s="444"/>
      <c r="AF202" s="438"/>
      <c r="AG202" s="439"/>
      <c r="AH202" s="439"/>
      <c r="AZ202" s="55"/>
      <c r="BA202" s="55"/>
    </row>
    <row r="203" spans="1:53" x14ac:dyDescent="0.2">
      <c r="A203" s="516" t="s">
        <v>137</v>
      </c>
      <c r="B203" s="516"/>
      <c r="C203" s="516"/>
      <c r="D203" s="516"/>
      <c r="E203" s="517"/>
      <c r="F203" s="424" t="str">
        <f>IF(J218=1,B210,IF(J218=2,B211,IF(J218=3,B212,IF(J218=4,B213,"Winner Match 2"))))</f>
        <v>Upward Stars 17 Kara</v>
      </c>
      <c r="G203" s="425"/>
      <c r="H203" s="425"/>
      <c r="I203" s="425"/>
      <c r="J203" s="425"/>
      <c r="K203" s="425"/>
      <c r="L203" s="425"/>
      <c r="M203" s="425"/>
      <c r="N203" s="88"/>
      <c r="P203" s="94"/>
      <c r="Q203" s="94"/>
      <c r="S203" s="95"/>
      <c r="T203" s="434" t="s">
        <v>138</v>
      </c>
      <c r="U203" s="434"/>
      <c r="V203" s="434"/>
      <c r="W203" s="434"/>
      <c r="X203" s="434"/>
      <c r="Y203" s="434"/>
      <c r="Z203" s="434"/>
      <c r="AA203" s="92"/>
      <c r="AB203" s="424" t="str">
        <f>IF(AE218=1,X210,IF(AE218=2,X211,IF(AE218=3,X212,IF(AE218=4,X213,"Winner Match 2"))))</f>
        <v>Augusta Elite 18 Fury</v>
      </c>
      <c r="AC203" s="425"/>
      <c r="AD203" s="425"/>
      <c r="AE203" s="425"/>
      <c r="AF203" s="425"/>
      <c r="AG203" s="425"/>
      <c r="AH203" s="425"/>
      <c r="AZ203" s="55"/>
      <c r="BA203" s="55"/>
    </row>
    <row r="204" spans="1:53" ht="13.5" thickBot="1" x14ac:dyDescent="0.25">
      <c r="A204" s="420" t="str">
        <f>IF(G218=1,B210,IF(G218=2,B211,IF(G218=3,B212,IF(G218=4,B213,IF(OR(G218="B",G218="b"),"BYE","invalid")))))</f>
        <v>SC Midlands 18 Perf</v>
      </c>
      <c r="B204" s="420"/>
      <c r="C204" s="420"/>
      <c r="D204" s="420"/>
      <c r="E204" s="430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420" t="str">
        <f>IF(AB218=1,X210,IF(AB218=2,X211,IF(AB218=3,X212,IF(AB218=4,X213,IF(OR(AB218="B",AB218="b"),"BYE","invalid")))))</f>
        <v>Augusta Elite 18 Fury</v>
      </c>
      <c r="V204" s="420"/>
      <c r="W204" s="420"/>
      <c r="X204" s="420"/>
      <c r="Y204" s="420"/>
      <c r="Z204" s="420"/>
      <c r="AA204" s="430"/>
      <c r="AB204" s="88"/>
      <c r="AC204" s="88"/>
      <c r="AD204" s="88"/>
      <c r="AE204" s="88"/>
      <c r="AZ204" s="55"/>
      <c r="BA204" s="55"/>
    </row>
    <row r="205" spans="1:53" x14ac:dyDescent="0.2">
      <c r="A205" s="421" t="s">
        <v>996</v>
      </c>
      <c r="B205" s="421"/>
      <c r="C205" s="421"/>
      <c r="D205" s="421"/>
      <c r="E205" s="421"/>
      <c r="S205" s="96"/>
      <c r="T205" s="96"/>
      <c r="U205" s="422" t="s">
        <v>997</v>
      </c>
      <c r="V205" s="422"/>
      <c r="W205" s="422"/>
      <c r="X205" s="422"/>
      <c r="Y205" s="422"/>
      <c r="Z205" s="422"/>
      <c r="AA205" s="422"/>
      <c r="AZ205" s="55"/>
      <c r="BA205" s="55"/>
    </row>
    <row r="206" spans="1:53" x14ac:dyDescent="0.2">
      <c r="AS206" s="55"/>
      <c r="AT206" s="55"/>
      <c r="AU206" s="55"/>
      <c r="AZ206" s="55"/>
      <c r="BA206" s="55"/>
    </row>
    <row r="207" spans="1:53" x14ac:dyDescent="0.2">
      <c r="AS207" s="55"/>
      <c r="AT207" s="55"/>
      <c r="AU207" s="55"/>
      <c r="AZ207" s="55"/>
      <c r="BA207" s="55"/>
    </row>
    <row r="208" spans="1:53" ht="16.5" thickBot="1" x14ac:dyDescent="0.3">
      <c r="A208" s="450" t="s">
        <v>151</v>
      </c>
      <c r="B208" s="450"/>
      <c r="C208" s="450"/>
      <c r="D208" s="450"/>
      <c r="E208" s="450"/>
      <c r="F208" s="450"/>
      <c r="G208" s="450"/>
      <c r="H208" s="450"/>
      <c r="I208" s="450"/>
      <c r="J208" s="450"/>
      <c r="Q208" s="100"/>
      <c r="R208" s="100"/>
      <c r="S208" s="100"/>
      <c r="U208" s="450" t="s">
        <v>152</v>
      </c>
      <c r="V208" s="450"/>
      <c r="W208" s="450"/>
      <c r="X208" s="450"/>
      <c r="Y208" s="450"/>
      <c r="Z208" s="450"/>
      <c r="AA208" s="450"/>
      <c r="AB208" s="450"/>
      <c r="AC208" s="450"/>
      <c r="AD208" s="450"/>
      <c r="AE208" s="450"/>
      <c r="AF208" s="450"/>
      <c r="AS208" s="55"/>
      <c r="AT208" s="55"/>
      <c r="AU208" s="55"/>
      <c r="AZ208" s="55"/>
      <c r="BA208" s="55"/>
    </row>
    <row r="209" spans="1:53" ht="13.5" thickBot="1" x14ac:dyDescent="0.25">
      <c r="A209" s="101" t="s">
        <v>153</v>
      </c>
      <c r="B209" s="451" t="s">
        <v>154</v>
      </c>
      <c r="C209" s="452"/>
      <c r="D209" s="452"/>
      <c r="E209" s="452"/>
      <c r="F209" s="452"/>
      <c r="G209" s="452"/>
      <c r="H209" s="452"/>
      <c r="I209" s="452"/>
      <c r="J209" s="453"/>
      <c r="K209" s="454" t="s">
        <v>155</v>
      </c>
      <c r="L209" s="455"/>
      <c r="M209" s="455"/>
      <c r="N209" s="455"/>
      <c r="O209" s="455"/>
      <c r="P209" s="455"/>
      <c r="Q209" s="456"/>
      <c r="U209" s="457" t="s">
        <v>153</v>
      </c>
      <c r="V209" s="458"/>
      <c r="W209" s="459"/>
      <c r="X209" s="451" t="s">
        <v>154</v>
      </c>
      <c r="Y209" s="452"/>
      <c r="Z209" s="452"/>
      <c r="AA209" s="452"/>
      <c r="AB209" s="452"/>
      <c r="AC209" s="452"/>
      <c r="AD209" s="452"/>
      <c r="AE209" s="452"/>
      <c r="AF209" s="453"/>
      <c r="AG209" s="454" t="s">
        <v>155</v>
      </c>
      <c r="AH209" s="455"/>
      <c r="AI209" s="455"/>
      <c r="AJ209" s="455"/>
      <c r="AK209" s="455"/>
      <c r="AL209" s="455"/>
      <c r="AM209" s="456"/>
      <c r="AS209" s="55"/>
      <c r="AT209" s="55"/>
      <c r="AU209" s="55"/>
      <c r="AZ209" s="55"/>
      <c r="BA209" s="55"/>
    </row>
    <row r="210" spans="1:53" ht="13.5" thickBot="1" x14ac:dyDescent="0.25">
      <c r="A210" s="101">
        <v>1</v>
      </c>
      <c r="B210" s="460" t="str">
        <f>B179</f>
        <v>Upward Stars 16 Taylor</v>
      </c>
      <c r="C210" s="461"/>
      <c r="D210" s="461"/>
      <c r="E210" s="461"/>
      <c r="F210" s="461"/>
      <c r="G210" s="461"/>
      <c r="H210" s="461"/>
      <c r="I210" s="461"/>
      <c r="J210" s="462"/>
      <c r="K210" s="463" t="str">
        <f>H179</f>
        <v>fj6upwrd3pm</v>
      </c>
      <c r="L210" s="464"/>
      <c r="M210" s="464"/>
      <c r="N210" s="464"/>
      <c r="O210" s="464"/>
      <c r="P210" s="464"/>
      <c r="Q210" s="465"/>
      <c r="U210" s="457">
        <v>1</v>
      </c>
      <c r="V210" s="458"/>
      <c r="W210" s="459"/>
      <c r="X210" s="460" t="str">
        <f>V179</f>
        <v>Sumter VBC 18</v>
      </c>
      <c r="Y210" s="461"/>
      <c r="Z210" s="461"/>
      <c r="AA210" s="461"/>
      <c r="AB210" s="461"/>
      <c r="AC210" s="461"/>
      <c r="AD210" s="461"/>
      <c r="AE210" s="461"/>
      <c r="AF210" s="462"/>
      <c r="AG210" s="463" t="str">
        <f>AB179</f>
        <v>fj8sumtr1pm</v>
      </c>
      <c r="AH210" s="464"/>
      <c r="AI210" s="464"/>
      <c r="AJ210" s="464"/>
      <c r="AK210" s="464"/>
      <c r="AL210" s="464"/>
      <c r="AM210" s="465"/>
      <c r="AS210" s="55"/>
      <c r="AT210" s="55"/>
      <c r="AU210" s="55"/>
      <c r="AZ210" s="55"/>
      <c r="BA210" s="55"/>
    </row>
    <row r="211" spans="1:53" ht="13.5" thickBot="1" x14ac:dyDescent="0.25">
      <c r="A211" s="101">
        <v>2</v>
      </c>
      <c r="B211" s="460" t="str">
        <f>B180</f>
        <v>Upward Stars 17 Kara</v>
      </c>
      <c r="C211" s="461"/>
      <c r="D211" s="461"/>
      <c r="E211" s="461"/>
      <c r="F211" s="461"/>
      <c r="G211" s="461"/>
      <c r="H211" s="461"/>
      <c r="I211" s="461"/>
      <c r="J211" s="462"/>
      <c r="K211" s="463" t="str">
        <f>H180</f>
        <v>fj7upwrd2pm</v>
      </c>
      <c r="L211" s="464"/>
      <c r="M211" s="464"/>
      <c r="N211" s="464"/>
      <c r="O211" s="464"/>
      <c r="P211" s="464"/>
      <c r="Q211" s="465"/>
      <c r="U211" s="457">
        <v>2</v>
      </c>
      <c r="V211" s="458"/>
      <c r="W211" s="459"/>
      <c r="X211" s="460" t="str">
        <f>V180</f>
        <v>PEAK 18 Brandi</v>
      </c>
      <c r="Y211" s="461"/>
      <c r="Z211" s="461"/>
      <c r="AA211" s="461"/>
      <c r="AB211" s="461"/>
      <c r="AC211" s="461"/>
      <c r="AD211" s="461"/>
      <c r="AE211" s="461"/>
      <c r="AF211" s="462"/>
      <c r="AG211" s="463" t="str">
        <f>AB180</f>
        <v>fj8cpeak1cr</v>
      </c>
      <c r="AH211" s="464"/>
      <c r="AI211" s="464"/>
      <c r="AJ211" s="464"/>
      <c r="AK211" s="464"/>
      <c r="AL211" s="464"/>
      <c r="AM211" s="465"/>
      <c r="AS211" s="55"/>
      <c r="AT211" s="55"/>
      <c r="AU211" s="55"/>
      <c r="AZ211" s="55"/>
      <c r="BA211" s="55"/>
    </row>
    <row r="212" spans="1:53" ht="13.5" thickBot="1" x14ac:dyDescent="0.25">
      <c r="A212" s="101">
        <v>3</v>
      </c>
      <c r="B212" s="460" t="str">
        <f>L179</f>
        <v>SC Midlands 18 Perf</v>
      </c>
      <c r="C212" s="461"/>
      <c r="D212" s="461"/>
      <c r="E212" s="461"/>
      <c r="F212" s="461"/>
      <c r="G212" s="461"/>
      <c r="H212" s="461"/>
      <c r="I212" s="461"/>
      <c r="J212" s="462"/>
      <c r="K212" s="463" t="str">
        <f>R179</f>
        <v>fj8scmid1pm</v>
      </c>
      <c r="L212" s="464"/>
      <c r="M212" s="464"/>
      <c r="N212" s="464"/>
      <c r="O212" s="464"/>
      <c r="P212" s="464"/>
      <c r="Q212" s="465"/>
      <c r="U212" s="457">
        <v>3</v>
      </c>
      <c r="V212" s="458"/>
      <c r="W212" s="459"/>
      <c r="X212" s="460" t="str">
        <f>AF179</f>
        <v>Augusta Elite 18 Fury</v>
      </c>
      <c r="Y212" s="461"/>
      <c r="Z212" s="461"/>
      <c r="AA212" s="461"/>
      <c r="AB212" s="461"/>
      <c r="AC212" s="461"/>
      <c r="AD212" s="461"/>
      <c r="AE212" s="461"/>
      <c r="AF212" s="462"/>
      <c r="AG212" s="463" t="str">
        <f>AL179</f>
        <v>fj8aelit1pm</v>
      </c>
      <c r="AH212" s="464"/>
      <c r="AI212" s="464"/>
      <c r="AJ212" s="464"/>
      <c r="AK212" s="464"/>
      <c r="AL212" s="464"/>
      <c r="AM212" s="465"/>
      <c r="AS212" s="55"/>
      <c r="AT212" s="55"/>
      <c r="AU212" s="55"/>
      <c r="AZ212" s="55"/>
      <c r="BA212" s="55"/>
    </row>
    <row r="213" spans="1:53" ht="13.5" thickBot="1" x14ac:dyDescent="0.25">
      <c r="A213" s="101">
        <v>4</v>
      </c>
      <c r="B213" s="460" t="str">
        <f>L180</f>
        <v>USA 17 Purple Joy</v>
      </c>
      <c r="C213" s="461"/>
      <c r="D213" s="461"/>
      <c r="E213" s="461"/>
      <c r="F213" s="461"/>
      <c r="G213" s="461"/>
      <c r="H213" s="461"/>
      <c r="I213" s="461"/>
      <c r="J213" s="462"/>
      <c r="K213" s="463" t="str">
        <f>R180</f>
        <v>fj7unsel1cr</v>
      </c>
      <c r="L213" s="464"/>
      <c r="M213" s="464"/>
      <c r="N213" s="464"/>
      <c r="O213" s="464"/>
      <c r="P213" s="464"/>
      <c r="Q213" s="465"/>
      <c r="U213" s="457">
        <v>4</v>
      </c>
      <c r="V213" s="458"/>
      <c r="W213" s="459"/>
      <c r="X213" s="460" t="str">
        <f>AF180</f>
        <v>CHSElite 18-1</v>
      </c>
      <c r="Y213" s="461"/>
      <c r="Z213" s="461"/>
      <c r="AA213" s="461"/>
      <c r="AB213" s="461"/>
      <c r="AC213" s="461"/>
      <c r="AD213" s="461"/>
      <c r="AE213" s="461"/>
      <c r="AF213" s="462"/>
      <c r="AG213" s="463" t="str">
        <f>AL180</f>
        <v>fj8celit1pm</v>
      </c>
      <c r="AH213" s="464"/>
      <c r="AI213" s="464"/>
      <c r="AJ213" s="464"/>
      <c r="AK213" s="464"/>
      <c r="AL213" s="464"/>
      <c r="AM213" s="465"/>
      <c r="AS213" s="55"/>
      <c r="AT213" s="55"/>
      <c r="AU213" s="55"/>
      <c r="AZ213" s="55"/>
      <c r="BA213" s="55"/>
    </row>
    <row r="214" spans="1:53" ht="13.5" thickBot="1" x14ac:dyDescent="0.25">
      <c r="AS214" s="55"/>
      <c r="AT214" s="55"/>
      <c r="AU214" s="55"/>
      <c r="AZ214" s="55"/>
      <c r="BA214" s="55"/>
    </row>
    <row r="215" spans="1:53" x14ac:dyDescent="0.2">
      <c r="B215" s="466" t="s">
        <v>156</v>
      </c>
      <c r="C215" s="467"/>
      <c r="D215" s="468"/>
      <c r="E215" s="469" t="s">
        <v>156</v>
      </c>
      <c r="F215" s="467"/>
      <c r="G215" s="468"/>
      <c r="H215" s="469" t="s">
        <v>14</v>
      </c>
      <c r="I215" s="467"/>
      <c r="J215" s="470"/>
      <c r="K215" s="471" t="s">
        <v>157</v>
      </c>
      <c r="L215" s="472"/>
      <c r="M215" s="472"/>
      <c r="N215" s="472"/>
      <c r="O215" s="472"/>
      <c r="P215" s="472"/>
      <c r="Q215" s="473"/>
      <c r="R215" s="102"/>
      <c r="S215" s="102"/>
      <c r="T215" s="102"/>
      <c r="U215" s="102"/>
      <c r="W215" s="466" t="s">
        <v>156</v>
      </c>
      <c r="X215" s="467"/>
      <c r="Y215" s="468"/>
      <c r="Z215" s="469" t="s">
        <v>156</v>
      </c>
      <c r="AA215" s="467"/>
      <c r="AB215" s="468"/>
      <c r="AC215" s="469" t="s">
        <v>14</v>
      </c>
      <c r="AD215" s="467"/>
      <c r="AE215" s="470"/>
      <c r="AF215" s="471" t="s">
        <v>157</v>
      </c>
      <c r="AG215" s="480"/>
      <c r="AH215" s="480"/>
      <c r="AI215" s="480"/>
      <c r="AJ215" s="481"/>
      <c r="AZ215" s="55"/>
      <c r="BA215" s="55"/>
    </row>
    <row r="216" spans="1:53" x14ac:dyDescent="0.2">
      <c r="A216" s="41" t="s">
        <v>158</v>
      </c>
      <c r="B216" s="488">
        <v>3</v>
      </c>
      <c r="C216" s="489"/>
      <c r="D216" s="490"/>
      <c r="E216" s="491" t="s">
        <v>159</v>
      </c>
      <c r="F216" s="489"/>
      <c r="G216" s="490"/>
      <c r="H216" s="491" t="s">
        <v>160</v>
      </c>
      <c r="I216" s="489"/>
      <c r="J216" s="492"/>
      <c r="K216" s="474"/>
      <c r="L216" s="475"/>
      <c r="M216" s="475"/>
      <c r="N216" s="475"/>
      <c r="O216" s="475"/>
      <c r="P216" s="475"/>
      <c r="Q216" s="476"/>
      <c r="R216" s="102"/>
      <c r="S216" s="102"/>
      <c r="T216" s="493" t="s">
        <v>158</v>
      </c>
      <c r="U216" s="493"/>
      <c r="V216" s="494"/>
      <c r="W216" s="488">
        <v>3</v>
      </c>
      <c r="X216" s="489"/>
      <c r="Y216" s="490"/>
      <c r="Z216" s="491" t="s">
        <v>159</v>
      </c>
      <c r="AA216" s="489"/>
      <c r="AB216" s="490"/>
      <c r="AC216" s="491" t="s">
        <v>160</v>
      </c>
      <c r="AD216" s="489"/>
      <c r="AE216" s="492"/>
      <c r="AF216" s="482"/>
      <c r="AG216" s="483"/>
      <c r="AH216" s="483"/>
      <c r="AI216" s="483"/>
      <c r="AJ216" s="484"/>
      <c r="AZ216" s="55"/>
      <c r="BA216" s="55"/>
    </row>
    <row r="217" spans="1:53" ht="13.5" thickBot="1" x14ac:dyDescent="0.25">
      <c r="A217" s="7"/>
      <c r="B217" s="501" t="s">
        <v>70</v>
      </c>
      <c r="C217" s="323"/>
      <c r="D217" s="324"/>
      <c r="E217" s="322" t="s">
        <v>161</v>
      </c>
      <c r="F217" s="323"/>
      <c r="G217" s="324"/>
      <c r="H217" s="322" t="s">
        <v>162</v>
      </c>
      <c r="I217" s="323"/>
      <c r="J217" s="495"/>
      <c r="K217" s="477"/>
      <c r="L217" s="478"/>
      <c r="M217" s="478"/>
      <c r="N217" s="478"/>
      <c r="O217" s="478"/>
      <c r="P217" s="478"/>
      <c r="Q217" s="479"/>
      <c r="R217" s="102"/>
      <c r="S217" s="102"/>
      <c r="T217" s="499"/>
      <c r="U217" s="499"/>
      <c r="V217" s="500"/>
      <c r="W217" s="501" t="s">
        <v>70</v>
      </c>
      <c r="X217" s="323"/>
      <c r="Y217" s="324"/>
      <c r="Z217" s="322" t="s">
        <v>161</v>
      </c>
      <c r="AA217" s="323"/>
      <c r="AB217" s="324"/>
      <c r="AC217" s="322" t="s">
        <v>162</v>
      </c>
      <c r="AD217" s="323"/>
      <c r="AE217" s="495"/>
      <c r="AF217" s="485"/>
      <c r="AG217" s="486"/>
      <c r="AH217" s="486"/>
      <c r="AI217" s="486"/>
      <c r="AJ217" s="487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1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2</v>
      </c>
      <c r="K218" s="496" t="s">
        <v>163</v>
      </c>
      <c r="L218" s="497"/>
      <c r="M218" s="497"/>
      <c r="N218" s="498"/>
      <c r="R218" s="102"/>
      <c r="S218" s="102"/>
      <c r="T218" s="499"/>
      <c r="U218" s="499"/>
      <c r="V218" s="500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4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3</v>
      </c>
      <c r="AF218" s="496" t="s">
        <v>163</v>
      </c>
      <c r="AG218" s="498"/>
      <c r="AH218" s="102"/>
      <c r="AI218" s="102"/>
      <c r="AJ218" s="102"/>
      <c r="AZ218" s="55"/>
      <c r="BA218" s="55"/>
    </row>
    <row r="219" spans="1:53" ht="13.5" hidden="1" customHeight="1" thickBot="1" x14ac:dyDescent="0.25">
      <c r="A219" s="7"/>
      <c r="B219" s="110">
        <f>IF(B223&gt;D223,1,0)</f>
        <v>1</v>
      </c>
      <c r="C219" s="111"/>
      <c r="D219" s="112">
        <f>IF(D223&gt;B223,1,0)</f>
        <v>0</v>
      </c>
      <c r="E219" s="110">
        <f>IF(E223&gt;G223,1,0)</f>
        <v>1</v>
      </c>
      <c r="F219" s="111"/>
      <c r="G219" s="112">
        <f>IF(G223&gt;E223,1,0)</f>
        <v>0</v>
      </c>
      <c r="H219" s="110">
        <f>IF(H223&gt;J223,1,0)</f>
        <v>0</v>
      </c>
      <c r="I219" s="111"/>
      <c r="J219" s="112">
        <f>IF(J223&gt;H223,1,0)</f>
        <v>1</v>
      </c>
      <c r="K219" s="113"/>
      <c r="L219" s="114"/>
      <c r="M219" s="114"/>
      <c r="N219" s="115"/>
      <c r="R219" s="102"/>
      <c r="S219" s="102"/>
      <c r="T219" s="499"/>
      <c r="U219" s="499"/>
      <c r="V219" s="500"/>
      <c r="W219" s="110">
        <f>IF(W223&gt;Y223,1,0)</f>
        <v>0</v>
      </c>
      <c r="X219" s="111"/>
      <c r="Y219" s="112">
        <f>IF(Y223&gt;W223,1,0)</f>
        <v>1</v>
      </c>
      <c r="Z219" s="110">
        <f>IF(Z223&gt;AB223,1,0)</f>
        <v>0</v>
      </c>
      <c r="AA219" s="111"/>
      <c r="AB219" s="112">
        <f>IF(AB223&gt;Z223,1,0)</f>
        <v>1</v>
      </c>
      <c r="AC219" s="110">
        <f>IF(AC223&gt;AE223,1,0)</f>
        <v>0</v>
      </c>
      <c r="AD219" s="111"/>
      <c r="AE219" s="112">
        <f>IF(AE223&gt;AC223,1,0)</f>
        <v>1</v>
      </c>
      <c r="AF219" s="116"/>
      <c r="AG219" s="117"/>
      <c r="AH219" s="102"/>
      <c r="AI219" s="102"/>
      <c r="AJ219" s="102"/>
      <c r="AZ219" s="55"/>
      <c r="BA219" s="55"/>
    </row>
    <row r="220" spans="1:53" ht="13.5" hidden="1" customHeight="1" thickBot="1" x14ac:dyDescent="0.25">
      <c r="A220" s="7"/>
      <c r="B220" s="110">
        <f>IF(B224&gt;D224,1,0)</f>
        <v>1</v>
      </c>
      <c r="C220" s="111"/>
      <c r="D220" s="112">
        <f>IF(D224&gt;B224,1,0)</f>
        <v>0</v>
      </c>
      <c r="E220" s="110">
        <f>IF(E224&gt;G224,1,0)</f>
        <v>1</v>
      </c>
      <c r="F220" s="111"/>
      <c r="G220" s="112">
        <f>IF(G224&gt;E224,1,0)</f>
        <v>0</v>
      </c>
      <c r="H220" s="110">
        <f>IF(H224&gt;J224,1,0)</f>
        <v>0</v>
      </c>
      <c r="I220" s="111"/>
      <c r="J220" s="112">
        <f>IF(J224&gt;H224,1,0)</f>
        <v>1</v>
      </c>
      <c r="K220" s="113"/>
      <c r="L220" s="114"/>
      <c r="M220" s="114"/>
      <c r="N220" s="115"/>
      <c r="R220" s="102"/>
      <c r="S220" s="102"/>
      <c r="T220" s="499"/>
      <c r="U220" s="499"/>
      <c r="V220" s="500"/>
      <c r="W220" s="110">
        <f>IF(W224&gt;Y224,1,0)</f>
        <v>0</v>
      </c>
      <c r="X220" s="111"/>
      <c r="Y220" s="112">
        <f>IF(Y224&gt;W224,1,0)</f>
        <v>1</v>
      </c>
      <c r="Z220" s="110">
        <f>IF(Z224&gt;AB224,1,0)</f>
        <v>0</v>
      </c>
      <c r="AA220" s="111"/>
      <c r="AB220" s="112">
        <f>IF(AB224&gt;Z224,1,0)</f>
        <v>1</v>
      </c>
      <c r="AC220" s="110">
        <f>IF(AC224&gt;AE224,1,0)</f>
        <v>0</v>
      </c>
      <c r="AD220" s="111"/>
      <c r="AE220" s="112">
        <f>IF(AE224&gt;AC224,1,0)</f>
        <v>1</v>
      </c>
      <c r="AF220" s="116"/>
      <c r="AG220" s="117"/>
      <c r="AH220" s="102"/>
      <c r="AI220" s="102"/>
      <c r="AJ220" s="102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0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0</v>
      </c>
      <c r="K221" s="113"/>
      <c r="L221" s="114"/>
      <c r="M221" s="114"/>
      <c r="N221" s="115"/>
      <c r="R221" s="102"/>
      <c r="S221" s="102"/>
      <c r="T221" s="499"/>
      <c r="U221" s="499"/>
      <c r="V221" s="500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0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0</v>
      </c>
      <c r="AF221" s="116"/>
      <c r="AG221" s="117"/>
      <c r="AH221" s="102"/>
      <c r="AI221" s="102"/>
      <c r="AJ221" s="102"/>
      <c r="AZ221" s="55"/>
      <c r="BA221" s="55"/>
    </row>
    <row r="222" spans="1:53" ht="13.5" hidden="1" customHeight="1" thickBot="1" x14ac:dyDescent="0.25">
      <c r="A222" s="7"/>
      <c r="B222" s="110">
        <f>SUM(B219:B221)</f>
        <v>2</v>
      </c>
      <c r="C222" s="111"/>
      <c r="D222" s="110">
        <f>SUM(D219:D221)</f>
        <v>0</v>
      </c>
      <c r="E222" s="110">
        <f>SUM(E219:E221)</f>
        <v>2</v>
      </c>
      <c r="F222" s="111"/>
      <c r="G222" s="110">
        <f>SUM(G219:G221)</f>
        <v>0</v>
      </c>
      <c r="H222" s="110">
        <f>SUM(H219:H221)</f>
        <v>0</v>
      </c>
      <c r="I222" s="111"/>
      <c r="J222" s="110">
        <f>SUM(J219:J221)</f>
        <v>2</v>
      </c>
      <c r="K222" s="113"/>
      <c r="L222" s="114"/>
      <c r="M222" s="114"/>
      <c r="N222" s="115"/>
      <c r="R222" s="102"/>
      <c r="S222" s="102"/>
      <c r="T222" s="499"/>
      <c r="U222" s="499"/>
      <c r="V222" s="500"/>
      <c r="W222" s="110">
        <f>SUM(W219:W221)</f>
        <v>0</v>
      </c>
      <c r="X222" s="111"/>
      <c r="Y222" s="110">
        <f>SUM(Y219:Y221)</f>
        <v>2</v>
      </c>
      <c r="Z222" s="110">
        <f>SUM(Z219:Z221)</f>
        <v>0</v>
      </c>
      <c r="AA222" s="111"/>
      <c r="AB222" s="110">
        <f>SUM(AB219:AB221)</f>
        <v>2</v>
      </c>
      <c r="AC222" s="110">
        <f>SUM(AC219:AC221)</f>
        <v>0</v>
      </c>
      <c r="AD222" s="111"/>
      <c r="AE222" s="110">
        <f>SUM(AE219:AE221)</f>
        <v>2</v>
      </c>
      <c r="AF222" s="116"/>
      <c r="AG222" s="117"/>
      <c r="AH222" s="102"/>
      <c r="AI222" s="102"/>
      <c r="AJ222" s="102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16</v>
      </c>
      <c r="E223" s="120">
        <v>25</v>
      </c>
      <c r="F223" s="50" t="s">
        <v>80</v>
      </c>
      <c r="G223" s="119">
        <v>15</v>
      </c>
      <c r="H223" s="120">
        <v>22</v>
      </c>
      <c r="I223" s="50" t="s">
        <v>80</v>
      </c>
      <c r="J223" s="121">
        <v>25</v>
      </c>
      <c r="K223" s="504">
        <f>IF(AND(OR(H222&gt;0,J222&gt;0),AND(1&lt;=H218,H218&lt;=4),AND(1&lt;=J218,J218&lt;=4)),IF(H222&gt;J222,H218,IF(J222&gt;H222,J218,"")),"")</f>
        <v>2</v>
      </c>
      <c r="L223" s="505"/>
      <c r="M223" s="505"/>
      <c r="N223" s="506"/>
      <c r="R223" s="102"/>
      <c r="S223" s="102"/>
      <c r="T223" s="122"/>
      <c r="U223" s="122"/>
      <c r="V223" s="5" t="s">
        <v>79</v>
      </c>
      <c r="W223" s="118">
        <v>18</v>
      </c>
      <c r="X223" s="50" t="s">
        <v>80</v>
      </c>
      <c r="Y223" s="119">
        <v>25</v>
      </c>
      <c r="Z223" s="120">
        <v>25</v>
      </c>
      <c r="AA223" s="50" t="s">
        <v>80</v>
      </c>
      <c r="AB223" s="119">
        <v>27</v>
      </c>
      <c r="AC223" s="120">
        <v>22</v>
      </c>
      <c r="AD223" s="50" t="s">
        <v>80</v>
      </c>
      <c r="AE223" s="121">
        <v>25</v>
      </c>
      <c r="AF223" s="504">
        <f>IF(AND(OR(AC222&gt;0,AE222&gt;0),AND(1&lt;=AC218,AC218&lt;=4),AND(1&lt;=AE218,AE218&lt;=4)),IF(AC222&gt;AE222,AC218,IF(AE222&gt;AC222,AE218,"")),"")</f>
        <v>3</v>
      </c>
      <c r="AG223" s="506"/>
      <c r="AH223" s="102"/>
      <c r="AI223" s="102"/>
      <c r="AJ223" s="102"/>
      <c r="AZ223" s="55"/>
      <c r="BA223" s="55"/>
    </row>
    <row r="224" spans="1:53" ht="12.75" customHeight="1" x14ac:dyDescent="0.2">
      <c r="A224" s="5" t="s">
        <v>164</v>
      </c>
      <c r="B224" s="118">
        <v>25</v>
      </c>
      <c r="C224" s="50" t="s">
        <v>80</v>
      </c>
      <c r="D224" s="119">
        <v>22</v>
      </c>
      <c r="E224" s="120">
        <v>25</v>
      </c>
      <c r="F224" s="50" t="s">
        <v>80</v>
      </c>
      <c r="G224" s="119">
        <v>19</v>
      </c>
      <c r="H224" s="120">
        <v>22</v>
      </c>
      <c r="I224" s="50" t="s">
        <v>80</v>
      </c>
      <c r="J224" s="121">
        <v>25</v>
      </c>
      <c r="K224" s="507"/>
      <c r="L224" s="508"/>
      <c r="M224" s="508"/>
      <c r="N224" s="509"/>
      <c r="R224" s="102"/>
      <c r="S224" s="102"/>
      <c r="T224" s="122"/>
      <c r="U224" s="122"/>
      <c r="V224" s="5" t="s">
        <v>164</v>
      </c>
      <c r="W224" s="118">
        <v>22</v>
      </c>
      <c r="X224" s="50" t="s">
        <v>80</v>
      </c>
      <c r="Y224" s="119">
        <v>25</v>
      </c>
      <c r="Z224" s="120">
        <v>23</v>
      </c>
      <c r="AA224" s="50" t="s">
        <v>80</v>
      </c>
      <c r="AB224" s="119">
        <v>25</v>
      </c>
      <c r="AC224" s="120">
        <v>22</v>
      </c>
      <c r="AD224" s="50" t="s">
        <v>80</v>
      </c>
      <c r="AE224" s="121">
        <v>25</v>
      </c>
      <c r="AF224" s="507"/>
      <c r="AG224" s="509"/>
      <c r="AH224" s="102"/>
      <c r="AI224" s="102"/>
      <c r="AJ224" s="102"/>
      <c r="AZ224" s="55"/>
      <c r="BA224" s="55"/>
    </row>
    <row r="225" spans="1:77" ht="13.5" customHeight="1" thickBot="1" x14ac:dyDescent="0.25">
      <c r="A225" s="5" t="s">
        <v>165</v>
      </c>
      <c r="B225" s="123"/>
      <c r="C225" s="124" t="s">
        <v>80</v>
      </c>
      <c r="D225" s="125"/>
      <c r="E225" s="126"/>
      <c r="F225" s="124" t="s">
        <v>80</v>
      </c>
      <c r="G225" s="125"/>
      <c r="H225" s="126"/>
      <c r="I225" s="124" t="s">
        <v>80</v>
      </c>
      <c r="J225" s="127"/>
      <c r="K225" s="510"/>
      <c r="L225" s="511"/>
      <c r="M225" s="511"/>
      <c r="N225" s="512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/>
      <c r="AA225" s="124" t="s">
        <v>80</v>
      </c>
      <c r="AB225" s="125"/>
      <c r="AC225" s="126"/>
      <c r="AD225" s="124" t="s">
        <v>80</v>
      </c>
      <c r="AE225" s="127"/>
      <c r="AF225" s="510"/>
      <c r="AG225" s="512"/>
      <c r="AH225" s="102"/>
      <c r="AI225" s="102"/>
      <c r="AJ225" s="102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Upward Stars 16 Taylor</v>
      </c>
      <c r="AU226" s="4">
        <f>J227</f>
        <v>2547.8697393622169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Upward Stars 16 Taylor</v>
      </c>
      <c r="C227" s="4">
        <f>VLOOKUP(B227,AU$2:AY$22,4,FALSE)</f>
        <v>2542.7435905761381</v>
      </c>
      <c r="D227" s="4">
        <f>IF(A227=B218,B233,IF(A227=D218,D233,C227))</f>
        <v>2555.2981879329359</v>
      </c>
      <c r="G227" s="4">
        <f>IF(A227=E218,E233,IF(A227=G218,G233,D227))</f>
        <v>2555.2981879329359</v>
      </c>
      <c r="J227" s="4">
        <f>IF(A227=H218,H233,IF(A227=J218,J233,G227))</f>
        <v>2547.8697393622169</v>
      </c>
      <c r="U227" s="129"/>
      <c r="V227" s="129">
        <v>1</v>
      </c>
      <c r="W227" s="4" t="str">
        <f>X210</f>
        <v>Sumter VBC 18</v>
      </c>
      <c r="X227" s="4">
        <f>VLOOKUP(W227,AU$2:AY$22,4,FALSE)</f>
        <v>2545.9859245078783</v>
      </c>
      <c r="Y227" s="4">
        <f>IF(V227=W218,W233,IF(V227=Y218,Y233,X227))</f>
        <v>2524.5863454487444</v>
      </c>
      <c r="AB227" s="4">
        <f>IF(V227=Z218,Z233,IF(V227=AB218,AB233,Y227))</f>
        <v>2524.5863454487444</v>
      </c>
      <c r="AE227" s="4">
        <f>IF(V227=AC218,AC233,IF(V227=AE218,AE233,AB227))</f>
        <v>2524.5863454487444</v>
      </c>
      <c r="AT227" s="4" t="str">
        <f>B228</f>
        <v>Upward Stars 17 Kara</v>
      </c>
      <c r="AU227" s="4">
        <f>J228</f>
        <v>2770.5404194699536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Upward Stars 17 Kara</v>
      </c>
      <c r="C228" s="4">
        <f>VLOOKUP(B228,AU$2:AY$22,4,FALSE)</f>
        <v>2741.0838756749231</v>
      </c>
      <c r="D228" s="4">
        <f>IF(A228=B218,B233,IF(A228=D218,D233,C228))</f>
        <v>2741.0838756749231</v>
      </c>
      <c r="G228" s="4">
        <f>IF(A228=E218,E233,IF(A228=G218,G233,D228))</f>
        <v>2763.1119708992346</v>
      </c>
      <c r="J228" s="4">
        <f>IF(A228=H218,H233,IF(A228=J218,J233,G228))</f>
        <v>2770.5404194699536</v>
      </c>
      <c r="U228" s="129"/>
      <c r="V228" s="129">
        <v>2</v>
      </c>
      <c r="W228" s="4" t="str">
        <f>X211</f>
        <v>PEAK 18 Brandi</v>
      </c>
      <c r="X228" s="4">
        <f>VLOOKUP(W228,AU$2:AY$22,4,FALSE)</f>
        <v>2493.5068950266641</v>
      </c>
      <c r="Y228" s="4">
        <f>IF(V228=W218,W233,IF(V228=Y218,Y233,X228))</f>
        <v>2493.5068950266641</v>
      </c>
      <c r="AB228" s="4">
        <f>IF(V228=Z218,Z233,IF(V228=AB218,AB233,Y228))</f>
        <v>2479.0590832625021</v>
      </c>
      <c r="AE228" s="4">
        <f>IF(V228=AC218,AC233,IF(V228=AE218,AE233,AB228))</f>
        <v>2479.0590832625021</v>
      </c>
      <c r="AT228" s="4" t="str">
        <f>B229</f>
        <v>SC Midlands 18 Perf</v>
      </c>
      <c r="AU228" s="4">
        <f>J229</f>
        <v>2856.7353094689088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SC Midlands 18 Perf</v>
      </c>
      <c r="C229" s="4">
        <f>VLOOKUP(B229,AU$2:AY$22,4,FALSE)</f>
        <v>2878.7634046932203</v>
      </c>
      <c r="D229" s="4">
        <f>IF(A229=B218,B233,IF(A229=D218,D233,C229))</f>
        <v>2878.7634046932203</v>
      </c>
      <c r="G229" s="4">
        <f>IF(A229=E218,E233,IF(A229=G218,G233,D229))</f>
        <v>2856.7353094689088</v>
      </c>
      <c r="J229" s="4">
        <f>IF(A229=H218,H233,IF(A229=J218,J233,G229))</f>
        <v>2856.7353094689088</v>
      </c>
      <c r="U229" s="129"/>
      <c r="V229" s="129">
        <v>3</v>
      </c>
      <c r="W229" s="4" t="str">
        <f>X212</f>
        <v>Augusta Elite 18 Fury</v>
      </c>
      <c r="X229" s="4">
        <f>VLOOKUP(W229,AU$2:AY$22,4,FALSE)</f>
        <v>2527.3185722496769</v>
      </c>
      <c r="Y229" s="4">
        <f>IF(V229=W218,W233,IF(V229=Y218,Y233,X229))</f>
        <v>2527.3185722496769</v>
      </c>
      <c r="AB229" s="4">
        <f>IF(V229=Z218,Z233,IF(V229=AB218,AB233,Y229))</f>
        <v>2541.7663840138389</v>
      </c>
      <c r="AE229" s="4">
        <f>IF(V229=AC218,AC233,IF(V229=AE218,AE233,AB229))</f>
        <v>2553.4369337621843</v>
      </c>
      <c r="AT229" s="4" t="str">
        <f>B230</f>
        <v>USA 17 Purple Joy</v>
      </c>
      <c r="AU229" s="4">
        <f>J230</f>
        <v>2454.1833326686874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USA 17 Purple Joy</v>
      </c>
      <c r="C230" s="4">
        <f>VLOOKUP(B230,AU$2:AY$22,4,FALSE)</f>
        <v>2466.7379300254852</v>
      </c>
      <c r="D230" s="4">
        <f>IF(A230=B218,B233,IF(A230=D218,D233,C230))</f>
        <v>2454.1833326686874</v>
      </c>
      <c r="G230" s="4">
        <f>IF(A230=E218,E233,IF(A230=G218,G233,D230))</f>
        <v>2454.1833326686874</v>
      </c>
      <c r="J230" s="4">
        <f>IF(A230=H218,H233,IF(A230=J218,J233,G230))</f>
        <v>2454.1833326686874</v>
      </c>
      <c r="U230" s="129"/>
      <c r="V230" s="129">
        <v>4</v>
      </c>
      <c r="W230" s="4" t="str">
        <f>X213</f>
        <v>CHSElite 18-1</v>
      </c>
      <c r="X230" s="4">
        <f>VLOOKUP(W230,AU$2:AY$22,4,FALSE)</f>
        <v>2423.9530768001759</v>
      </c>
      <c r="Y230" s="4">
        <f>IF(V230=W218,W233,IF(V230=Y218,Y233,X230))</f>
        <v>2445.3526558593098</v>
      </c>
      <c r="AB230" s="4">
        <f>IF(V230=Z218,Z233,IF(V230=AB218,AB233,Y230))</f>
        <v>2445.3526558593098</v>
      </c>
      <c r="AE230" s="4">
        <f>IF(V230=AC218,AC233,IF(V230=AE218,AE233,AB230))</f>
        <v>2433.6821061109645</v>
      </c>
      <c r="AT230" s="4" t="str">
        <f>W227</f>
        <v>Sumter VBC 18</v>
      </c>
      <c r="AU230" s="4">
        <f>AE227</f>
        <v>2524.5863454487444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2542.7435905761381</v>
      </c>
      <c r="D231" s="4">
        <f>VLOOKUP(D218,$A227:$J230,3,FALSE)</f>
        <v>2466.7379300254852</v>
      </c>
      <c r="E231" s="4">
        <f>VLOOKUP(E218,$A227:$J230,4,FALSE)</f>
        <v>2741.0838756749231</v>
      </c>
      <c r="G231" s="4">
        <f>VLOOKUP(G218,$A227:$J230,4,FALSE)</f>
        <v>2878.7634046932203</v>
      </c>
      <c r="H231" s="4">
        <f>VLOOKUP(H218,$A227:$J230,7,FALSE)</f>
        <v>2555.2981879329359</v>
      </c>
      <c r="J231" s="4">
        <f>VLOOKUP(J218,$A227:$J230,7,FALSE)</f>
        <v>2763.1119708992346</v>
      </c>
      <c r="T231" s="513" t="s">
        <v>116</v>
      </c>
      <c r="U231" s="513"/>
      <c r="V231" s="513"/>
      <c r="W231" s="4">
        <f>VLOOKUP(W218,$V227:$AE230,3,FALSE)</f>
        <v>2545.9859245078783</v>
      </c>
      <c r="Y231" s="4">
        <f>VLOOKUP(Y218,$V227:$AE230,3,FALSE)</f>
        <v>2423.9530768001759</v>
      </c>
      <c r="Z231" s="4">
        <f>VLOOKUP(Z218,$V227:$AE230,4,FALSE)</f>
        <v>2493.5068950266641</v>
      </c>
      <c r="AB231" s="4">
        <f>VLOOKUP(AB218,$V227:$AE230,4,FALSE)</f>
        <v>2527.3185722496769</v>
      </c>
      <c r="AC231" s="4">
        <f>VLOOKUP(AC218,$V227:$AE230,7,FALSE)</f>
        <v>2445.3526558593098</v>
      </c>
      <c r="AE231" s="4">
        <f>VLOOKUP(AE218,$V227:$AE230,7,FALSE)</f>
        <v>2541.7663840138389</v>
      </c>
      <c r="AT231" s="4" t="str">
        <f>W228</f>
        <v>PEAK 18 Brandi</v>
      </c>
      <c r="AU231" s="4">
        <f>AE228</f>
        <v>2479.0590832625021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IF(OR(B222&gt;0,D222&gt;0),1/(1+(10^-((B231-D231)/400)))*(B222+D222),0)</f>
        <v>1.2153376652001329</v>
      </c>
      <c r="C232" s="69"/>
      <c r="D232" s="69">
        <f>IF(OR(B22&gt;0, D22&gt;0),1/(1+(10^-((D231-B231)/400)))*(B222+D222),0)</f>
        <v>0.78466233479986736</v>
      </c>
      <c r="E232" s="69">
        <f>IF(OR(E222&gt;0,G222&gt;0),1/(1+(10^-((E231-G231)/400)))*(E222+G222),0)</f>
        <v>0.62324404848053927</v>
      </c>
      <c r="F232" s="69"/>
      <c r="G232" s="69">
        <f>IF(OR(E22&gt;0, G22&gt;0),1/(1+(10^-((G231-E231)/400)))*(E222+G222),0)</f>
        <v>1.3767559515194607</v>
      </c>
      <c r="H232" s="69">
        <f>IF(OR(H222&gt;0,J222&gt;0),1/(1+(10^-((H231-J231)/400)))*(H222+J222),0)</f>
        <v>0.46427803566992898</v>
      </c>
      <c r="I232" s="69"/>
      <c r="J232" s="69">
        <f>IF(OR(H22&gt;0, J22&gt;0),1/(1+(10^-((J231-H231)/400)))*(H222+J222),0)</f>
        <v>1.535721964330071</v>
      </c>
      <c r="T232" s="514" t="s">
        <v>117</v>
      </c>
      <c r="U232" s="514"/>
      <c r="V232" s="514"/>
      <c r="W232" s="69">
        <f>IF(OR(W222&gt;0,Y222&gt;0),1/(1+(10^-((W231-Y231)/400)))*(W222+Y222),0)</f>
        <v>1.3374736911958733</v>
      </c>
      <c r="X232" s="69"/>
      <c r="Y232" s="69">
        <f>IF(OR(W22&gt;0, Y22&gt;0),1/(1+(10^-((Y231-W231)/400)))*(W222+Y222),0)</f>
        <v>0.66252630880412655</v>
      </c>
      <c r="Z232" s="69">
        <f>IF(OR(Z222&gt;0,AB222&gt;0),1/(1+(10^-((Z231-AB231)/400)))*(Z222+AB222),0)</f>
        <v>0.90298823526011474</v>
      </c>
      <c r="AA232" s="69"/>
      <c r="AB232" s="69">
        <f>IF(OR(Z22&gt;0, AB22&gt;0),1/(1+(10^-((AB231-Z231)/400)))*(Z222+AB222),0)</f>
        <v>1.0970117647398852</v>
      </c>
      <c r="AC232" s="69">
        <f>IF(OR(AC222&gt;0,AE222&gt;0),1/(1+(10^-((AC231-AE231)/400)))*(AC222+AE222),0)</f>
        <v>0.72940935927157846</v>
      </c>
      <c r="AD232" s="69"/>
      <c r="AE232" s="69">
        <f>IF(OR(AC22&gt;0, AE22&gt;0),1/(1+(10^-((AE231-AC231)/400)))*(AC222+AE222),0)</f>
        <v>1.2705906407284218</v>
      </c>
      <c r="AT232" s="4" t="str">
        <f>W229</f>
        <v>Augusta Elite 18 Fury</v>
      </c>
      <c r="AU232" s="4">
        <f>AE229</f>
        <v>2553.4369337621843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2555.2981879329359</v>
      </c>
      <c r="C233" s="75"/>
      <c r="D233" s="75">
        <f>D231+(D222-D232)*$BA$2</f>
        <v>2454.1833326686874</v>
      </c>
      <c r="E233" s="75">
        <f>E231+(E222-E232)*$BA$2</f>
        <v>2763.1119708992346</v>
      </c>
      <c r="G233" s="75">
        <f>G231+(G222-G232)*$BA$2</f>
        <v>2856.7353094689088</v>
      </c>
      <c r="H233" s="75">
        <f>H231+(H222-H232)*$BA$2</f>
        <v>2547.8697393622169</v>
      </c>
      <c r="J233" s="75">
        <f>J231+(J222-J232)*$BA$2</f>
        <v>2770.5404194699536</v>
      </c>
      <c r="T233" s="502" t="s">
        <v>118</v>
      </c>
      <c r="U233" s="502"/>
      <c r="V233" s="502"/>
      <c r="W233" s="75">
        <f>W231+(W222-W232)*$BA$2</f>
        <v>2524.5863454487444</v>
      </c>
      <c r="X233" s="75"/>
      <c r="Y233" s="75">
        <f>Y231+(Y222-Y232)*$BA$2</f>
        <v>2445.3526558593098</v>
      </c>
      <c r="Z233" s="75">
        <f>Z231+(Z222-Z232)*$BA$2</f>
        <v>2479.0590832625021</v>
      </c>
      <c r="AB233" s="75">
        <f>AB231+(AB222-AB232)*$BA$2</f>
        <v>2541.7663840138389</v>
      </c>
      <c r="AC233" s="75">
        <f>AC231+(AC222-AC232)*$BA$2</f>
        <v>2433.6821061109645</v>
      </c>
      <c r="AE233" s="75">
        <f>AE231+(AE222-AE232)*$BA$2</f>
        <v>2553.4369337621843</v>
      </c>
      <c r="AT233" s="4" t="str">
        <f>W230</f>
        <v>CHSElite 18-1</v>
      </c>
      <c r="AU233" s="4">
        <f>AE230</f>
        <v>2433.6821061109645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503" t="s">
        <v>169</v>
      </c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R234" s="102"/>
      <c r="S234" s="102"/>
      <c r="T234" s="122"/>
      <c r="U234" s="122"/>
      <c r="V234" s="503" t="s">
        <v>169</v>
      </c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02"/>
      <c r="AI234" s="102"/>
      <c r="AJ234" s="102"/>
      <c r="AZ234" s="55"/>
      <c r="BA234" s="55"/>
    </row>
    <row r="235" spans="1:77" x14ac:dyDescent="0.2">
      <c r="AS235" s="55"/>
      <c r="AT235" s="55"/>
      <c r="AU235" s="55"/>
      <c r="AZ235" s="55"/>
      <c r="BA235" s="55"/>
    </row>
    <row r="236" spans="1:77" x14ac:dyDescent="0.2">
      <c r="AS236" s="55"/>
      <c r="AT236" s="55"/>
      <c r="AU236" s="55"/>
      <c r="AZ236" s="55"/>
      <c r="BA236" s="55"/>
    </row>
    <row r="237" spans="1:77" x14ac:dyDescent="0.2">
      <c r="AS237" s="55"/>
      <c r="AT237" s="55"/>
      <c r="AU237" s="55"/>
      <c r="AZ237" s="55"/>
      <c r="BA237" s="55"/>
    </row>
    <row r="238" spans="1:77" x14ac:dyDescent="0.2">
      <c r="AS238" s="55"/>
      <c r="AT238" s="55"/>
      <c r="AU238" s="55"/>
      <c r="AZ238" s="55"/>
      <c r="BA238" s="55"/>
    </row>
    <row r="239" spans="1:77" x14ac:dyDescent="0.2">
      <c r="AS239" s="55"/>
      <c r="AT239" s="55"/>
      <c r="AU239" s="55"/>
      <c r="AZ239" s="55"/>
      <c r="BA239" s="55"/>
    </row>
    <row r="240" spans="1:77" x14ac:dyDescent="0.2">
      <c r="AS240" s="55"/>
      <c r="AT240" s="55"/>
      <c r="AU240" s="55"/>
      <c r="AZ240" s="55"/>
      <c r="BA240" s="55"/>
    </row>
    <row r="241" spans="45:53" x14ac:dyDescent="0.2">
      <c r="AS241" s="55"/>
      <c r="AT241" s="55"/>
      <c r="AU241" s="55"/>
      <c r="AZ241" s="55"/>
      <c r="BA241" s="55"/>
    </row>
    <row r="242" spans="45:53" x14ac:dyDescent="0.2">
      <c r="AS242" s="55"/>
      <c r="AT242" s="55"/>
      <c r="AU242" s="55"/>
      <c r="AZ242" s="55"/>
      <c r="BA242" s="55"/>
    </row>
    <row r="243" spans="45:53" x14ac:dyDescent="0.2">
      <c r="AS243" s="55"/>
      <c r="AT243" s="55"/>
      <c r="AU243" s="55"/>
      <c r="AZ243" s="55"/>
      <c r="BA243" s="55"/>
    </row>
    <row r="244" spans="45:53" x14ac:dyDescent="0.2">
      <c r="AS244" s="55"/>
      <c r="AT244" s="55"/>
      <c r="AU244" s="55"/>
      <c r="AZ244" s="55"/>
      <c r="BA244" s="55"/>
    </row>
    <row r="245" spans="45:53" x14ac:dyDescent="0.2">
      <c r="AS245" s="55"/>
      <c r="AT245" s="55"/>
      <c r="AU245" s="55"/>
      <c r="AZ245" s="55"/>
      <c r="BA245" s="55"/>
    </row>
    <row r="246" spans="45:53" x14ac:dyDescent="0.2">
      <c r="AS246" s="55"/>
      <c r="AT246" s="55"/>
      <c r="AU246" s="55"/>
      <c r="AZ246" s="55"/>
      <c r="BA246" s="55"/>
    </row>
    <row r="247" spans="45:53" x14ac:dyDescent="0.2">
      <c r="AS247" s="55"/>
      <c r="AT247" s="55"/>
      <c r="AU247" s="55"/>
    </row>
    <row r="248" spans="45:53" x14ac:dyDescent="0.2">
      <c r="AS248" s="55"/>
      <c r="AT248" s="55"/>
      <c r="AU248" s="55"/>
      <c r="AZ248" s="63"/>
      <c r="BA248" s="63"/>
    </row>
    <row r="249" spans="45:53" x14ac:dyDescent="0.2">
      <c r="AS249" s="55"/>
      <c r="AT249" s="55"/>
      <c r="AU249" s="55"/>
      <c r="AZ249" s="63"/>
      <c r="BA249" s="63"/>
    </row>
    <row r="250" spans="45:53" x14ac:dyDescent="0.2">
      <c r="AS250" s="55"/>
      <c r="AT250" s="55"/>
      <c r="AU250" s="55"/>
      <c r="AZ250" s="63"/>
      <c r="BA250" s="63"/>
    </row>
    <row r="251" spans="45:53" x14ac:dyDescent="0.2">
      <c r="AS251" s="55"/>
      <c r="AT251" s="55"/>
      <c r="AU251" s="55"/>
      <c r="AZ251" s="63"/>
      <c r="BA251" s="63"/>
    </row>
    <row r="252" spans="45:53" x14ac:dyDescent="0.2">
      <c r="AS252" s="55"/>
      <c r="AT252" s="55"/>
      <c r="AU252" s="55"/>
      <c r="AZ252" s="63"/>
      <c r="BA252" s="63"/>
    </row>
    <row r="253" spans="45:53" x14ac:dyDescent="0.2">
      <c r="AS253" s="55"/>
      <c r="AT253" s="55"/>
      <c r="AU253" s="55"/>
      <c r="AZ253" s="63"/>
      <c r="BA253" s="63"/>
    </row>
    <row r="254" spans="45:53" x14ac:dyDescent="0.2">
      <c r="AS254" s="55"/>
      <c r="AT254" s="55"/>
      <c r="AU254" s="55"/>
      <c r="AZ254" s="63"/>
      <c r="BA254" s="63"/>
    </row>
    <row r="255" spans="45:53" x14ac:dyDescent="0.2">
      <c r="AS255" s="55"/>
      <c r="AT255" s="55"/>
      <c r="AU255" s="55"/>
      <c r="AZ255" s="63"/>
      <c r="BA255" s="63"/>
    </row>
    <row r="256" spans="45:53" x14ac:dyDescent="0.2">
      <c r="AS256" s="55"/>
      <c r="AT256" s="55"/>
      <c r="AU256" s="55"/>
      <c r="AZ256" s="72"/>
      <c r="BA256" s="72"/>
    </row>
    <row r="257" spans="45:53" x14ac:dyDescent="0.2">
      <c r="AS257" s="55"/>
      <c r="AT257" s="55"/>
      <c r="AU257" s="55"/>
      <c r="AZ257" s="78"/>
      <c r="BA257" s="78"/>
    </row>
    <row r="258" spans="45:53" x14ac:dyDescent="0.2">
      <c r="AS258" s="55"/>
      <c r="AT258" s="55"/>
      <c r="AU258" s="55"/>
      <c r="AZ258" s="78"/>
      <c r="BA258" s="78"/>
    </row>
    <row r="259" spans="45:53" x14ac:dyDescent="0.2">
      <c r="AS259" s="55"/>
      <c r="AT259" s="55"/>
      <c r="AU259" s="55"/>
      <c r="AZ259" s="63"/>
      <c r="BA259" s="63"/>
    </row>
    <row r="260" spans="45:53" x14ac:dyDescent="0.2">
      <c r="AS260" s="63"/>
      <c r="AT260" s="63"/>
      <c r="AU260" s="63"/>
      <c r="AZ260" s="63"/>
      <c r="BA260" s="63"/>
    </row>
    <row r="261" spans="45:53" x14ac:dyDescent="0.2">
      <c r="AS261" s="63"/>
      <c r="AT261" s="63"/>
      <c r="AU261" s="63"/>
    </row>
    <row r="286" spans="45:53" x14ac:dyDescent="0.2">
      <c r="AS286" s="55"/>
      <c r="AT286" s="55"/>
      <c r="AU286" s="55"/>
      <c r="AZ286" s="55"/>
      <c r="BA286" s="55"/>
    </row>
    <row r="287" spans="45:53" x14ac:dyDescent="0.2">
      <c r="AS287" s="55"/>
      <c r="AT287" s="55"/>
      <c r="AU287" s="55"/>
      <c r="AZ287" s="55"/>
      <c r="BA287" s="55"/>
    </row>
    <row r="288" spans="45:53" x14ac:dyDescent="0.2">
      <c r="AS288" s="55"/>
      <c r="AT288" s="55"/>
      <c r="AU288" s="55"/>
      <c r="AZ288" s="55"/>
      <c r="BA288" s="55"/>
    </row>
    <row r="289" spans="45:53" x14ac:dyDescent="0.2">
      <c r="AS289" s="55"/>
      <c r="AT289" s="55"/>
      <c r="AU289" s="55"/>
      <c r="AZ289" s="55"/>
      <c r="BA289" s="55"/>
    </row>
    <row r="290" spans="45:53" x14ac:dyDescent="0.2">
      <c r="AS290" s="55"/>
      <c r="AT290" s="55"/>
      <c r="AU290" s="55"/>
      <c r="AZ290" s="55"/>
      <c r="BA290" s="55"/>
    </row>
    <row r="291" spans="45:53" x14ac:dyDescent="0.2">
      <c r="AS291" s="55"/>
      <c r="AT291" s="55"/>
      <c r="AU291" s="55"/>
      <c r="AZ291" s="55"/>
      <c r="BA291" s="55"/>
    </row>
    <row r="292" spans="45:53" x14ac:dyDescent="0.2">
      <c r="AS292" s="55"/>
      <c r="AT292" s="55"/>
      <c r="AU292" s="55"/>
      <c r="AZ292" s="55"/>
      <c r="BA292" s="55"/>
    </row>
    <row r="293" spans="45:53" x14ac:dyDescent="0.2">
      <c r="AS293" s="55"/>
      <c r="AT293" s="55"/>
      <c r="AU293" s="55"/>
      <c r="AZ293" s="55"/>
      <c r="BA293" s="55"/>
    </row>
    <row r="294" spans="45:53" x14ac:dyDescent="0.2">
      <c r="AS294" s="55"/>
      <c r="AT294" s="55"/>
      <c r="AU294" s="55"/>
      <c r="AZ294" s="55"/>
      <c r="BA294" s="55"/>
    </row>
    <row r="295" spans="45:53" x14ac:dyDescent="0.2">
      <c r="AS295" s="55"/>
      <c r="AT295" s="55"/>
      <c r="AU295" s="55"/>
      <c r="AZ295" s="55"/>
      <c r="BA295" s="55"/>
    </row>
    <row r="296" spans="45:53" x14ac:dyDescent="0.2">
      <c r="AS296" s="55"/>
      <c r="AT296" s="55"/>
      <c r="AU296" s="55"/>
      <c r="AZ296" s="55"/>
      <c r="BA296" s="55"/>
    </row>
    <row r="297" spans="45:53" x14ac:dyDescent="0.2">
      <c r="AS297" s="55"/>
      <c r="AT297" s="55"/>
      <c r="AU297" s="55"/>
      <c r="AZ297" s="55"/>
      <c r="BA297" s="55"/>
    </row>
    <row r="298" spans="45:53" x14ac:dyDescent="0.2">
      <c r="AS298" s="55"/>
      <c r="AT298" s="55"/>
      <c r="AU298" s="55"/>
      <c r="AZ298" s="55"/>
      <c r="BA298" s="55"/>
    </row>
    <row r="299" spans="45:53" x14ac:dyDescent="0.2">
      <c r="AS299" s="55"/>
      <c r="AT299" s="55"/>
      <c r="AU299" s="55"/>
      <c r="AZ299" s="55"/>
      <c r="BA299" s="55"/>
    </row>
    <row r="300" spans="45:53" x14ac:dyDescent="0.2">
      <c r="AS300" s="55"/>
      <c r="AT300" s="55"/>
      <c r="AU300" s="55"/>
      <c r="AZ300" s="55"/>
      <c r="BA300" s="55"/>
    </row>
    <row r="301" spans="45:53" x14ac:dyDescent="0.2">
      <c r="AS301" s="55"/>
      <c r="AT301" s="55"/>
      <c r="AU301" s="55"/>
      <c r="AZ301" s="55"/>
      <c r="BA301" s="55"/>
    </row>
    <row r="302" spans="45:53" x14ac:dyDescent="0.2">
      <c r="AS302" s="55"/>
      <c r="AT302" s="55"/>
      <c r="AU302" s="55"/>
      <c r="AZ302" s="55"/>
      <c r="BA302" s="55"/>
    </row>
    <row r="303" spans="45:53" x14ac:dyDescent="0.2">
      <c r="AS303" s="55"/>
      <c r="AT303" s="55"/>
      <c r="AU303" s="55"/>
      <c r="AZ303" s="55"/>
      <c r="BA303" s="55"/>
    </row>
    <row r="304" spans="45:53" x14ac:dyDescent="0.2">
      <c r="AS304" s="55"/>
      <c r="AT304" s="55"/>
      <c r="AU304" s="55"/>
      <c r="AZ304" s="55"/>
      <c r="BA304" s="55"/>
    </row>
    <row r="305" spans="45:53" x14ac:dyDescent="0.2">
      <c r="AS305" s="55"/>
      <c r="AT305" s="55"/>
      <c r="AU305" s="55"/>
      <c r="AZ305" s="55"/>
      <c r="BA305" s="55"/>
    </row>
    <row r="306" spans="45:53" x14ac:dyDescent="0.2">
      <c r="AS306" s="55"/>
      <c r="AT306" s="55"/>
      <c r="AU306" s="55"/>
      <c r="AZ306" s="55"/>
      <c r="BA306" s="55"/>
    </row>
    <row r="307" spans="45:53" x14ac:dyDescent="0.2">
      <c r="AS307" s="55"/>
      <c r="AT307" s="55"/>
      <c r="AU307" s="55"/>
      <c r="AZ307" s="55"/>
      <c r="BA307" s="55"/>
    </row>
    <row r="308" spans="45:53" x14ac:dyDescent="0.2">
      <c r="AS308" s="55"/>
      <c r="AT308" s="55"/>
      <c r="AU308" s="55"/>
      <c r="AZ308" s="55"/>
      <c r="BA308" s="55"/>
    </row>
    <row r="309" spans="45:53" x14ac:dyDescent="0.2">
      <c r="AS309" s="55"/>
      <c r="AT309" s="55"/>
      <c r="AU309" s="55"/>
      <c r="AZ309" s="55"/>
      <c r="BA309" s="55"/>
    </row>
    <row r="310" spans="45:53" x14ac:dyDescent="0.2">
      <c r="AS310" s="55"/>
      <c r="AT310" s="55"/>
      <c r="AU310" s="55"/>
      <c r="AZ310" s="55"/>
      <c r="BA310" s="55"/>
    </row>
    <row r="311" spans="45:53" x14ac:dyDescent="0.2">
      <c r="AS311" s="55"/>
      <c r="AT311" s="55"/>
      <c r="AU311" s="55"/>
      <c r="AZ311" s="55"/>
      <c r="BA311" s="55"/>
    </row>
    <row r="312" spans="45:53" x14ac:dyDescent="0.2">
      <c r="AS312" s="55"/>
      <c r="AT312" s="55"/>
      <c r="AU312" s="55"/>
      <c r="AZ312" s="55"/>
      <c r="BA312" s="55"/>
    </row>
    <row r="313" spans="45:53" x14ac:dyDescent="0.2">
      <c r="AS313" s="55"/>
      <c r="AT313" s="55"/>
      <c r="AU313" s="55"/>
      <c r="AZ313" s="55"/>
      <c r="BA313" s="55"/>
    </row>
    <row r="314" spans="45:53" x14ac:dyDescent="0.2">
      <c r="AS314" s="55"/>
      <c r="AT314" s="55"/>
      <c r="AU314" s="55"/>
      <c r="AZ314" s="55"/>
      <c r="BA314" s="55"/>
    </row>
    <row r="315" spans="45:53" x14ac:dyDescent="0.2">
      <c r="AS315" s="55"/>
      <c r="AT315" s="55"/>
      <c r="AU315" s="55"/>
      <c r="AZ315" s="55"/>
      <c r="BA315" s="55"/>
    </row>
    <row r="316" spans="45:53" x14ac:dyDescent="0.2">
      <c r="AS316" s="55"/>
      <c r="AT316" s="55"/>
      <c r="AU316" s="55"/>
      <c r="AZ316" s="55"/>
      <c r="BA316" s="55"/>
    </row>
    <row r="317" spans="45:53" x14ac:dyDescent="0.2">
      <c r="AS317" s="55"/>
      <c r="AT317" s="55"/>
      <c r="AU317" s="55"/>
      <c r="AZ317" s="55"/>
      <c r="BA317" s="55"/>
    </row>
    <row r="318" spans="45:53" x14ac:dyDescent="0.2">
      <c r="AS318" s="55"/>
      <c r="AT318" s="55"/>
      <c r="AU318" s="55"/>
      <c r="AZ318" s="55"/>
      <c r="BA318" s="55"/>
    </row>
    <row r="319" spans="45:53" x14ac:dyDescent="0.2">
      <c r="AS319" s="55"/>
      <c r="AT319" s="55"/>
      <c r="AU319" s="55"/>
      <c r="AZ319" s="55"/>
      <c r="BA319" s="55"/>
    </row>
    <row r="320" spans="45:53" x14ac:dyDescent="0.2">
      <c r="AS320" s="55"/>
      <c r="AT320" s="55"/>
      <c r="AU320" s="55"/>
      <c r="AZ320" s="55"/>
      <c r="BA320" s="55"/>
    </row>
    <row r="321" spans="45:53" x14ac:dyDescent="0.2">
      <c r="AS321" s="55"/>
      <c r="AT321" s="55"/>
      <c r="AU321" s="55"/>
      <c r="AZ321" s="55"/>
      <c r="BA321" s="55"/>
    </row>
    <row r="322" spans="45:53" x14ac:dyDescent="0.2">
      <c r="AS322" s="55"/>
      <c r="AT322" s="55"/>
      <c r="AU322" s="55"/>
      <c r="AZ322" s="55"/>
      <c r="BA322" s="55"/>
    </row>
    <row r="323" spans="45:53" x14ac:dyDescent="0.2">
      <c r="AS323" s="55"/>
      <c r="AT323" s="55"/>
      <c r="AU323" s="55"/>
      <c r="AZ323" s="55"/>
      <c r="BA323" s="55"/>
    </row>
    <row r="324" spans="45:53" x14ac:dyDescent="0.2">
      <c r="AS324" s="55"/>
      <c r="AT324" s="55"/>
      <c r="AU324" s="55"/>
      <c r="AZ324" s="55"/>
      <c r="BA324" s="55"/>
    </row>
    <row r="325" spans="45:53" x14ac:dyDescent="0.2">
      <c r="AS325" s="55"/>
      <c r="AT325" s="55"/>
      <c r="AU325" s="55"/>
      <c r="AZ325" s="55"/>
      <c r="BA325" s="55"/>
    </row>
    <row r="326" spans="45:53" x14ac:dyDescent="0.2">
      <c r="AS326" s="55"/>
      <c r="AT326" s="55"/>
      <c r="AU326" s="55"/>
      <c r="AZ326" s="55"/>
      <c r="BA326" s="55"/>
    </row>
    <row r="327" spans="45:53" x14ac:dyDescent="0.2">
      <c r="AS327" s="55"/>
      <c r="AT327" s="55"/>
      <c r="AU327" s="55"/>
      <c r="AZ327" s="55"/>
      <c r="BA327" s="55"/>
    </row>
    <row r="328" spans="45:53" x14ac:dyDescent="0.2">
      <c r="AS328" s="55"/>
      <c r="AT328" s="55"/>
      <c r="AU328" s="55"/>
      <c r="AZ328" s="55"/>
      <c r="BA328" s="55"/>
    </row>
    <row r="329" spans="45:53" x14ac:dyDescent="0.2">
      <c r="AS329" s="55"/>
      <c r="AT329" s="55"/>
      <c r="AU329" s="55"/>
      <c r="AZ329" s="55"/>
      <c r="BA329" s="55"/>
    </row>
    <row r="330" spans="45:53" x14ac:dyDescent="0.2">
      <c r="AS330" s="55"/>
      <c r="AT330" s="55"/>
      <c r="AU330" s="55"/>
      <c r="AZ330" s="55"/>
      <c r="BA330" s="55"/>
    </row>
    <row r="331" spans="45:53" x14ac:dyDescent="0.2">
      <c r="AS331" s="55"/>
      <c r="AT331" s="55"/>
      <c r="AU331" s="55"/>
      <c r="AZ331" s="55"/>
      <c r="BA331" s="55"/>
    </row>
    <row r="332" spans="45:53" x14ac:dyDescent="0.2">
      <c r="AS332" s="63"/>
      <c r="AT332" s="63"/>
      <c r="AU332" s="63"/>
    </row>
    <row r="333" spans="45:53" x14ac:dyDescent="0.2">
      <c r="AS333" s="63"/>
      <c r="AT333" s="63"/>
      <c r="AU333" s="63"/>
      <c r="AZ333" s="63"/>
      <c r="BA333" s="63"/>
    </row>
    <row r="334" spans="45:53" x14ac:dyDescent="0.2">
      <c r="AZ334" s="63"/>
      <c r="BA334" s="63"/>
    </row>
    <row r="335" spans="45:53" x14ac:dyDescent="0.2">
      <c r="AZ335" s="63"/>
      <c r="BA335" s="63"/>
    </row>
    <row r="336" spans="45:53" x14ac:dyDescent="0.2">
      <c r="AZ336" s="63"/>
      <c r="BA336" s="63"/>
    </row>
    <row r="337" spans="45:53" x14ac:dyDescent="0.2">
      <c r="AZ337" s="63"/>
      <c r="BA337" s="63"/>
    </row>
    <row r="338" spans="45:53" x14ac:dyDescent="0.2">
      <c r="AZ338" s="63"/>
      <c r="BA338" s="63"/>
    </row>
    <row r="339" spans="45:53" x14ac:dyDescent="0.2">
      <c r="AZ339" s="63"/>
      <c r="BA339" s="63"/>
    </row>
    <row r="340" spans="45:53" x14ac:dyDescent="0.2">
      <c r="AZ340" s="63"/>
      <c r="BA340" s="63"/>
    </row>
    <row r="341" spans="45:53" x14ac:dyDescent="0.2">
      <c r="AZ341" s="72"/>
      <c r="BA341" s="72"/>
    </row>
    <row r="342" spans="45:53" x14ac:dyDescent="0.2">
      <c r="AZ342" s="78"/>
      <c r="BA342" s="78"/>
    </row>
    <row r="343" spans="45:53" x14ac:dyDescent="0.2">
      <c r="AZ343" s="78"/>
      <c r="BA343" s="78"/>
    </row>
    <row r="344" spans="45:53" x14ac:dyDescent="0.2">
      <c r="AZ344" s="63"/>
      <c r="BA344" s="63"/>
    </row>
    <row r="345" spans="45:53" x14ac:dyDescent="0.2">
      <c r="AZ345" s="63"/>
      <c r="BA345" s="63"/>
    </row>
    <row r="348" spans="45:53" x14ac:dyDescent="0.2">
      <c r="AS348" s="96"/>
      <c r="AT348" s="96"/>
    </row>
    <row r="371" spans="45:53" x14ac:dyDescent="0.2">
      <c r="AZ371" s="55"/>
      <c r="BA371" s="55"/>
    </row>
    <row r="372" spans="45:53" x14ac:dyDescent="0.2">
      <c r="AZ372" s="55"/>
      <c r="BA372" s="55"/>
    </row>
    <row r="373" spans="45:53" x14ac:dyDescent="0.2">
      <c r="AZ373" s="55"/>
      <c r="BA373" s="55"/>
    </row>
    <row r="374" spans="45:53" x14ac:dyDescent="0.2">
      <c r="AZ374" s="55"/>
      <c r="BA374" s="55"/>
    </row>
    <row r="375" spans="45:53" x14ac:dyDescent="0.2">
      <c r="AZ375" s="55"/>
      <c r="BA375" s="55"/>
    </row>
    <row r="376" spans="45:53" x14ac:dyDescent="0.2">
      <c r="AZ376" s="55"/>
      <c r="BA376" s="55"/>
    </row>
    <row r="377" spans="45:53" x14ac:dyDescent="0.2">
      <c r="AZ377" s="55"/>
      <c r="BA377" s="55"/>
    </row>
    <row r="378" spans="45:53" x14ac:dyDescent="0.2">
      <c r="AZ378" s="55"/>
      <c r="BA378" s="55"/>
    </row>
    <row r="379" spans="45:53" x14ac:dyDescent="0.2">
      <c r="AZ379" s="55"/>
      <c r="BA379" s="55"/>
    </row>
    <row r="380" spans="45:53" x14ac:dyDescent="0.2">
      <c r="AZ380" s="55"/>
      <c r="BA380" s="55"/>
    </row>
    <row r="381" spans="45:53" x14ac:dyDescent="0.2">
      <c r="AZ381" s="55"/>
      <c r="BA381" s="55"/>
    </row>
    <row r="382" spans="45:53" x14ac:dyDescent="0.2">
      <c r="AZ382" s="55"/>
      <c r="BA382" s="55"/>
    </row>
    <row r="383" spans="45:53" x14ac:dyDescent="0.2">
      <c r="AZ383" s="55"/>
      <c r="BA383" s="55"/>
    </row>
    <row r="384" spans="45:53" x14ac:dyDescent="0.2">
      <c r="AS384" s="96"/>
      <c r="AT384" s="96"/>
      <c r="AZ384" s="55"/>
      <c r="BA384" s="55"/>
    </row>
    <row r="385" spans="52:53" x14ac:dyDescent="0.2">
      <c r="AZ385" s="55"/>
      <c r="BA385" s="55"/>
    </row>
    <row r="386" spans="52:53" x14ac:dyDescent="0.2">
      <c r="AZ386" s="55"/>
      <c r="BA386" s="55"/>
    </row>
    <row r="387" spans="52:53" x14ac:dyDescent="0.2">
      <c r="AZ387" s="55"/>
      <c r="BA387" s="55"/>
    </row>
    <row r="388" spans="52:53" x14ac:dyDescent="0.2">
      <c r="AZ388" s="55"/>
      <c r="BA388" s="55"/>
    </row>
    <row r="389" spans="52:53" x14ac:dyDescent="0.2">
      <c r="AZ389" s="55"/>
      <c r="BA389" s="55"/>
    </row>
    <row r="390" spans="52:53" x14ac:dyDescent="0.2">
      <c r="AZ390" s="55"/>
      <c r="BA390" s="55"/>
    </row>
    <row r="391" spans="52:53" x14ac:dyDescent="0.2">
      <c r="AZ391" s="55"/>
      <c r="BA391" s="55"/>
    </row>
    <row r="392" spans="52:53" x14ac:dyDescent="0.2">
      <c r="AZ392" s="55"/>
      <c r="BA392" s="55"/>
    </row>
    <row r="393" spans="52:53" x14ac:dyDescent="0.2">
      <c r="AZ393" s="55"/>
      <c r="BA393" s="55"/>
    </row>
    <row r="394" spans="52:53" x14ac:dyDescent="0.2">
      <c r="AZ394" s="55"/>
      <c r="BA394" s="55"/>
    </row>
    <row r="395" spans="52:53" x14ac:dyDescent="0.2">
      <c r="AZ395" s="55"/>
      <c r="BA395" s="55"/>
    </row>
    <row r="396" spans="52:53" x14ac:dyDescent="0.2">
      <c r="AZ396" s="55"/>
      <c r="BA396" s="55"/>
    </row>
    <row r="397" spans="52:53" x14ac:dyDescent="0.2">
      <c r="AZ397" s="55"/>
      <c r="BA397" s="55"/>
    </row>
    <row r="398" spans="52:53" x14ac:dyDescent="0.2">
      <c r="AZ398" s="55"/>
      <c r="BA398" s="55"/>
    </row>
    <row r="399" spans="52:53" x14ac:dyDescent="0.2">
      <c r="AZ399" s="55"/>
      <c r="BA399" s="55"/>
    </row>
    <row r="400" spans="52:53" x14ac:dyDescent="0.2">
      <c r="AZ400" s="55"/>
      <c r="BA400" s="55"/>
    </row>
    <row r="401" spans="52:53" x14ac:dyDescent="0.2">
      <c r="AZ401" s="55"/>
      <c r="BA401" s="55"/>
    </row>
    <row r="402" spans="52:53" x14ac:dyDescent="0.2">
      <c r="AZ402" s="55"/>
      <c r="BA402" s="55"/>
    </row>
    <row r="403" spans="52:53" x14ac:dyDescent="0.2">
      <c r="AZ403" s="55"/>
      <c r="BA403" s="55"/>
    </row>
    <row r="404" spans="52:53" x14ac:dyDescent="0.2">
      <c r="AZ404" s="55"/>
      <c r="BA404" s="55"/>
    </row>
    <row r="405" spans="52:53" x14ac:dyDescent="0.2">
      <c r="AZ405" s="55"/>
      <c r="BA405" s="55"/>
    </row>
    <row r="406" spans="52:53" x14ac:dyDescent="0.2">
      <c r="AZ406" s="55"/>
      <c r="BA406" s="55"/>
    </row>
    <row r="407" spans="52:53" x14ac:dyDescent="0.2">
      <c r="AZ407" s="55"/>
      <c r="BA407" s="55"/>
    </row>
    <row r="408" spans="52:53" x14ac:dyDescent="0.2">
      <c r="AZ408" s="55"/>
      <c r="BA408" s="55"/>
    </row>
    <row r="409" spans="52:53" x14ac:dyDescent="0.2">
      <c r="AZ409" s="55"/>
      <c r="BA409" s="55"/>
    </row>
    <row r="410" spans="52:53" x14ac:dyDescent="0.2">
      <c r="AZ410" s="55"/>
      <c r="BA410" s="55"/>
    </row>
    <row r="411" spans="52:53" x14ac:dyDescent="0.2">
      <c r="AZ411" s="55"/>
      <c r="BA411" s="55"/>
    </row>
    <row r="412" spans="52:53" x14ac:dyDescent="0.2">
      <c r="AZ412" s="55"/>
      <c r="BA412" s="55"/>
    </row>
    <row r="413" spans="52:53" x14ac:dyDescent="0.2">
      <c r="AZ413" s="55"/>
      <c r="BA413" s="55"/>
    </row>
    <row r="414" spans="52:53" x14ac:dyDescent="0.2">
      <c r="AZ414" s="55"/>
      <c r="BA414" s="55"/>
    </row>
    <row r="415" spans="52:53" x14ac:dyDescent="0.2">
      <c r="AZ415" s="55"/>
      <c r="BA415" s="55"/>
    </row>
    <row r="416" spans="52:53" x14ac:dyDescent="0.2">
      <c r="AZ416" s="55"/>
      <c r="BA416" s="55"/>
    </row>
    <row r="418" spans="52:53" x14ac:dyDescent="0.2">
      <c r="AZ418" s="63"/>
      <c r="BA418" s="63"/>
    </row>
    <row r="419" spans="52:53" x14ac:dyDescent="0.2">
      <c r="AZ419" s="63"/>
      <c r="BA419" s="63"/>
    </row>
    <row r="420" spans="52:53" x14ac:dyDescent="0.2">
      <c r="AZ420" s="63"/>
      <c r="BA420" s="63"/>
    </row>
    <row r="421" spans="52:53" x14ac:dyDescent="0.2">
      <c r="AZ421" s="63"/>
      <c r="BA421" s="63"/>
    </row>
    <row r="422" spans="52:53" x14ac:dyDescent="0.2">
      <c r="AZ422" s="63"/>
      <c r="BA422" s="63"/>
    </row>
    <row r="423" spans="52:53" x14ac:dyDescent="0.2">
      <c r="AZ423" s="63"/>
      <c r="BA423" s="63"/>
    </row>
    <row r="424" spans="52:53" x14ac:dyDescent="0.2">
      <c r="AZ424" s="63"/>
      <c r="BA424" s="63"/>
    </row>
    <row r="425" spans="52:53" x14ac:dyDescent="0.2">
      <c r="AZ425" s="63"/>
      <c r="BA425" s="63"/>
    </row>
    <row r="426" spans="52:53" x14ac:dyDescent="0.2">
      <c r="AZ426" s="72"/>
      <c r="BA426" s="72"/>
    </row>
    <row r="427" spans="52:53" x14ac:dyDescent="0.2">
      <c r="AZ427" s="78"/>
      <c r="BA427" s="78"/>
    </row>
    <row r="428" spans="52:53" x14ac:dyDescent="0.2">
      <c r="AZ428" s="78"/>
      <c r="BA428" s="78"/>
    </row>
    <row r="429" spans="52:53" x14ac:dyDescent="0.2">
      <c r="AZ429" s="63"/>
      <c r="BA429" s="63"/>
    </row>
    <row r="430" spans="52:53" x14ac:dyDescent="0.2">
      <c r="AZ430" s="63"/>
      <c r="BA430" s="63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L89"/>
    <mergeCell ref="AM89:AP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2755" priority="4" stopIfTrue="1">
      <formula>IF(AK9&gt;0,0,1)</formula>
    </cfRule>
  </conditionalFormatting>
  <conditionalFormatting sqref="A10:A11 A95:A96">
    <cfRule type="expression" dxfId="2754" priority="5" stopIfTrue="1">
      <formula>IF(AK9&gt;1,0,1)</formula>
    </cfRule>
  </conditionalFormatting>
  <conditionalFormatting sqref="A12:A13 A97:A98">
    <cfRule type="expression" dxfId="2753" priority="6" stopIfTrue="1">
      <formula>IF(AK9&gt;2,0,1)</formula>
    </cfRule>
  </conditionalFormatting>
  <conditionalFormatting sqref="A14:A15 A99:A100">
    <cfRule type="expression" dxfId="2752" priority="7" stopIfTrue="1">
      <formula>IF(AK9&gt;3,0,1)</formula>
    </cfRule>
  </conditionalFormatting>
  <conditionalFormatting sqref="A16:A17 A101:A102">
    <cfRule type="expression" dxfId="2751" priority="8" stopIfTrue="1">
      <formula>IF(AK9&gt;4,0,1)</formula>
    </cfRule>
  </conditionalFormatting>
  <conditionalFormatting sqref="B8 B93">
    <cfRule type="expression" dxfId="2750" priority="9" stopIfTrue="1">
      <formula>IF(AK9&gt;0,0,1)</formula>
    </cfRule>
  </conditionalFormatting>
  <conditionalFormatting sqref="B9 B94">
    <cfRule type="expression" dxfId="2749" priority="10" stopIfTrue="1">
      <formula>IF(AK9&gt;0,0,1)</formula>
    </cfRule>
  </conditionalFormatting>
  <conditionalFormatting sqref="B10 B95">
    <cfRule type="expression" dxfId="2748" priority="11" stopIfTrue="1">
      <formula>IF(AK9&gt;1,0,1)</formula>
    </cfRule>
  </conditionalFormatting>
  <conditionalFormatting sqref="B11:D11 B96:D96">
    <cfRule type="expression" dxfId="2747" priority="12" stopIfTrue="1">
      <formula>IF(AK9&gt;1,0,1)</formula>
    </cfRule>
  </conditionalFormatting>
  <conditionalFormatting sqref="B12:D12 B97:D97">
    <cfRule type="expression" dxfId="2746" priority="13" stopIfTrue="1">
      <formula>IF(AK9&gt;2,0,1)</formula>
    </cfRule>
  </conditionalFormatting>
  <conditionalFormatting sqref="B13:D13 B98:D98">
    <cfRule type="expression" dxfId="2745" priority="14" stopIfTrue="1">
      <formula>IF(AK9&gt;2,0,1)</formula>
    </cfRule>
  </conditionalFormatting>
  <conditionalFormatting sqref="B14:D14 B99:D99">
    <cfRule type="expression" dxfId="2744" priority="15" stopIfTrue="1">
      <formula>IF(AK9&gt;3,0,1)</formula>
    </cfRule>
  </conditionalFormatting>
  <conditionalFormatting sqref="B15:D15 B100:D100">
    <cfRule type="expression" dxfId="2743" priority="16" stopIfTrue="1">
      <formula>IF(AK9&gt;3,0,1)</formula>
    </cfRule>
  </conditionalFormatting>
  <conditionalFormatting sqref="B16:D16 B101:D101">
    <cfRule type="expression" dxfId="2742" priority="17" stopIfTrue="1">
      <formula>IF(AK9&gt;4,0,1)</formula>
    </cfRule>
  </conditionalFormatting>
  <conditionalFormatting sqref="B17:D17 B102:D102">
    <cfRule type="expression" dxfId="2741" priority="18" stopIfTrue="1">
      <formula>IF(AK9&gt;4,0,1)</formula>
    </cfRule>
  </conditionalFormatting>
  <conditionalFormatting sqref="E8 E93">
    <cfRule type="expression" dxfId="2740" priority="19" stopIfTrue="1">
      <formula>IF(AK9&gt;0,0,1)</formula>
    </cfRule>
  </conditionalFormatting>
  <conditionalFormatting sqref="E9 E94">
    <cfRule type="expression" dxfId="2739" priority="20" stopIfTrue="1">
      <formula>IF(AK9&gt;0,0,1)</formula>
    </cfRule>
  </conditionalFormatting>
  <conditionalFormatting sqref="E10 E95">
    <cfRule type="expression" dxfId="2738" priority="21" stopIfTrue="1">
      <formula>IF(AK9&gt;1,0,1)</formula>
    </cfRule>
  </conditionalFormatting>
  <conditionalFormatting sqref="E11 E96">
    <cfRule type="expression" dxfId="2737" priority="22" stopIfTrue="1">
      <formula>IF(AK9&gt;1,0,1)</formula>
    </cfRule>
  </conditionalFormatting>
  <conditionalFormatting sqref="E12 E97">
    <cfRule type="expression" dxfId="2736" priority="23" stopIfTrue="1">
      <formula>IF(AK9&gt;2,0,1)</formula>
    </cfRule>
  </conditionalFormatting>
  <conditionalFormatting sqref="E13 E98">
    <cfRule type="expression" dxfId="2735" priority="24" stopIfTrue="1">
      <formula>IF(AK9&gt;2,0,1)</formula>
    </cfRule>
  </conditionalFormatting>
  <conditionalFormatting sqref="E14 E99">
    <cfRule type="expression" dxfId="2734" priority="25" stopIfTrue="1">
      <formula>IF(AK9&gt;3,0,1)</formula>
    </cfRule>
  </conditionalFormatting>
  <conditionalFormatting sqref="E15 E100">
    <cfRule type="expression" dxfId="2733" priority="26" stopIfTrue="1">
      <formula>IF(AK9&gt;3,0,1)</formula>
    </cfRule>
  </conditionalFormatting>
  <conditionalFormatting sqref="E16 E101">
    <cfRule type="expression" dxfId="2732" priority="27" stopIfTrue="1">
      <formula>IF(AK9&gt;4,0,1)</formula>
    </cfRule>
  </conditionalFormatting>
  <conditionalFormatting sqref="E17 E102">
    <cfRule type="expression" dxfId="2731" priority="28" stopIfTrue="1">
      <formula>IF(AK9&gt;4,0,1)</formula>
    </cfRule>
  </conditionalFormatting>
  <conditionalFormatting sqref="AC8 AC93">
    <cfRule type="expression" dxfId="2730" priority="29" stopIfTrue="1">
      <formula>IF(AK11=1,IF(AK9&gt;0,0,1),1)</formula>
    </cfRule>
  </conditionalFormatting>
  <conditionalFormatting sqref="AC10:AE11 AC95:AE96">
    <cfRule type="expression" dxfId="2729" priority="30" stopIfTrue="1">
      <formula>IF(AK11=1,IF(AK9&gt;1,0,1),1)</formula>
    </cfRule>
  </conditionalFormatting>
  <conditionalFormatting sqref="AC12:AE13 AC97:AE98">
    <cfRule type="expression" dxfId="2728" priority="31" stopIfTrue="1">
      <formula>IF(AK11=1,IF(AK9&gt;2,0,1),1)</formula>
    </cfRule>
  </conditionalFormatting>
  <conditionalFormatting sqref="AC14:AE15 AC99:AE100">
    <cfRule type="expression" dxfId="2727" priority="32" stopIfTrue="1">
      <formula>IF(AK11=1,IF(AK9&gt;3,0,1),1)</formula>
    </cfRule>
  </conditionalFormatting>
  <conditionalFormatting sqref="AC16:AE17 AC101:AE102">
    <cfRule type="expression" dxfId="2726" priority="33" stopIfTrue="1">
      <formula>IF(AK11=1,IF(AK9&gt;4,0,1),1)</formula>
    </cfRule>
  </conditionalFormatting>
  <conditionalFormatting sqref="AH8 AH93">
    <cfRule type="expression" dxfId="2725" priority="34" stopIfTrue="1">
      <formula>IF(AK9&gt;0,0,1)</formula>
    </cfRule>
  </conditionalFormatting>
  <conditionalFormatting sqref="AH10:AI11 AH95:AI96">
    <cfRule type="expression" dxfId="2724" priority="35" stopIfTrue="1">
      <formula>IF(AK9&gt;1,0,1)</formula>
    </cfRule>
  </conditionalFormatting>
  <conditionalFormatting sqref="AH12:AI13 AH97:AI98">
    <cfRule type="expression" dxfId="2723" priority="36" stopIfTrue="1">
      <formula>IF(AK9&gt;2,0,1)</formula>
    </cfRule>
  </conditionalFormatting>
  <conditionalFormatting sqref="AH14:AI15 AH99:AI100">
    <cfRule type="expression" dxfId="2722" priority="37" stopIfTrue="1">
      <formula>IF(AK9&gt;3,0,1)</formula>
    </cfRule>
  </conditionalFormatting>
  <conditionalFormatting sqref="AH16:AI17 AH101:AI102">
    <cfRule type="expression" dxfId="2721" priority="38" stopIfTrue="1">
      <formula>IF(AK9&gt;4,0,1)</formula>
    </cfRule>
  </conditionalFormatting>
  <conditionalFormatting sqref="B19:D19 B104:D104">
    <cfRule type="expression" dxfId="2720" priority="39" stopIfTrue="1">
      <formula>IF(AK8&gt;0,0,1)</formula>
    </cfRule>
  </conditionalFormatting>
  <conditionalFormatting sqref="E19:G19 E104:G104">
    <cfRule type="expression" dxfId="2719" priority="40" stopIfTrue="1">
      <formula>IF(AK8&gt;1,0,1)</formula>
    </cfRule>
  </conditionalFormatting>
  <conditionalFormatting sqref="H19:J19 H104:J104">
    <cfRule type="expression" dxfId="2718" priority="41" stopIfTrue="1">
      <formula>IF(AK8&gt;2,0,1)</formula>
    </cfRule>
  </conditionalFormatting>
  <conditionalFormatting sqref="K19:M19 K104:M104">
    <cfRule type="expression" dxfId="2717" priority="42" stopIfTrue="1">
      <formula>IF(AK8&gt;3,0,1)</formula>
    </cfRule>
  </conditionalFormatting>
  <conditionalFormatting sqref="N19:P19 N104:P104">
    <cfRule type="expression" dxfId="2716" priority="43" stopIfTrue="1">
      <formula>IF(AK8&gt;4,0,1)</formula>
    </cfRule>
  </conditionalFormatting>
  <conditionalFormatting sqref="Q19:S19 Q104:S104">
    <cfRule type="expression" dxfId="2715" priority="44" stopIfTrue="1">
      <formula>IF(AK8&gt;5,0,1)</formula>
    </cfRule>
  </conditionalFormatting>
  <conditionalFormatting sqref="T19:V19 T104:V104">
    <cfRule type="expression" dxfId="2714" priority="45" stopIfTrue="1">
      <formula>IF(AK8&gt;6,0,1)</formula>
    </cfRule>
  </conditionalFormatting>
  <conditionalFormatting sqref="W19:Y19 W104:Y104">
    <cfRule type="expression" dxfId="2713" priority="46" stopIfTrue="1">
      <formula>IF(AK8&gt;7,0,1)</formula>
    </cfRule>
  </conditionalFormatting>
  <conditionalFormatting sqref="Z19:AB19 Z104:AB104">
    <cfRule type="expression" dxfId="2712" priority="47" stopIfTrue="1">
      <formula>IF(AK8&gt;8,0,1)</formula>
    </cfRule>
  </conditionalFormatting>
  <conditionalFormatting sqref="AC19:AE19 AC104:AE104">
    <cfRule type="expression" dxfId="2711" priority="48" stopIfTrue="1">
      <formula>IF(AK8&gt;9,0,1)</formula>
    </cfRule>
  </conditionalFormatting>
  <conditionalFormatting sqref="B20:D20 B105:D105">
    <cfRule type="expression" dxfId="2710" priority="49" stopIfTrue="1">
      <formula>IF(AK8&gt;0,0,1)</formula>
    </cfRule>
  </conditionalFormatting>
  <conditionalFormatting sqref="E20:G20 E105:G105">
    <cfRule type="expression" dxfId="2709" priority="50" stopIfTrue="1">
      <formula>IF(AK8&gt;1,0,1)</formula>
    </cfRule>
  </conditionalFormatting>
  <conditionalFormatting sqref="H20:J20 H105:J105">
    <cfRule type="expression" dxfId="2708" priority="51" stopIfTrue="1">
      <formula>IF(AK8&gt;2,0,1)</formula>
    </cfRule>
  </conditionalFormatting>
  <conditionalFormatting sqref="K20:M20 K105:M105">
    <cfRule type="expression" dxfId="2707" priority="52" stopIfTrue="1">
      <formula>IF(AK8&gt;3,0,1)</formula>
    </cfRule>
  </conditionalFormatting>
  <conditionalFormatting sqref="N20:P20 N105:P105">
    <cfRule type="expression" dxfId="2706" priority="53" stopIfTrue="1">
      <formula>IF(AK8&gt;4,0,1)</formula>
    </cfRule>
  </conditionalFormatting>
  <conditionalFormatting sqref="Q20:S20 Q105:S105">
    <cfRule type="expression" dxfId="2705" priority="54" stopIfTrue="1">
      <formula>IF(AK8&gt;5,0,1)</formula>
    </cfRule>
  </conditionalFormatting>
  <conditionalFormatting sqref="T20:V20 T105:V105">
    <cfRule type="expression" dxfId="2704" priority="55" stopIfTrue="1">
      <formula>IF(AK8&gt;6,0,1)</formula>
    </cfRule>
  </conditionalFormatting>
  <conditionalFormatting sqref="W20:Y20 W105:Y105">
    <cfRule type="expression" dxfId="2703" priority="56" stopIfTrue="1">
      <formula>IF(AK8&gt;7,0,1)</formula>
    </cfRule>
  </conditionalFormatting>
  <conditionalFormatting sqref="Z20:AB20 Z105:AB105">
    <cfRule type="expression" dxfId="2702" priority="57" stopIfTrue="1">
      <formula>IF(AK8&gt;8,0,1)</formula>
    </cfRule>
  </conditionalFormatting>
  <conditionalFormatting sqref="AC20:AE20 AC105:AE105">
    <cfRule type="expression" dxfId="2701" priority="58" stopIfTrue="1">
      <formula>IF(AK8&gt;9,0,1)</formula>
    </cfRule>
  </conditionalFormatting>
  <conditionalFormatting sqref="E22:G22 E107:G107">
    <cfRule type="expression" dxfId="2700" priority="59" stopIfTrue="1">
      <formula>IF(AK8&gt;1,0,1)</formula>
    </cfRule>
  </conditionalFormatting>
  <conditionalFormatting sqref="H22:J22 H107:J107">
    <cfRule type="expression" dxfId="2699" priority="60" stopIfTrue="1">
      <formula>IF(AK8&gt;2,0,1)</formula>
    </cfRule>
  </conditionalFormatting>
  <conditionalFormatting sqref="K22:M22 K107:M107">
    <cfRule type="expression" dxfId="2698" priority="61" stopIfTrue="1">
      <formula>IF(AK8&gt;3,0,1)</formula>
    </cfRule>
  </conditionalFormatting>
  <conditionalFormatting sqref="N22:P22 N107:P107">
    <cfRule type="expression" dxfId="2697" priority="62" stopIfTrue="1">
      <formula>IF(AK8&gt;4,0,1)</formula>
    </cfRule>
  </conditionalFormatting>
  <conditionalFormatting sqref="Q22:S22 Q107:S107">
    <cfRule type="expression" dxfId="2696" priority="63" stopIfTrue="1">
      <formula>IF(AK8&gt;5,0,1)</formula>
    </cfRule>
  </conditionalFormatting>
  <conditionalFormatting sqref="T22:V22 T107:V107">
    <cfRule type="expression" dxfId="2695" priority="64" stopIfTrue="1">
      <formula>IF(AK8&gt;6,0,1)</formula>
    </cfRule>
  </conditionalFormatting>
  <conditionalFormatting sqref="W22:Y22 W107:Y107">
    <cfRule type="expression" dxfId="2694" priority="65" stopIfTrue="1">
      <formula>IF(AK8&gt;7,0,1)</formula>
    </cfRule>
  </conditionalFormatting>
  <conditionalFormatting sqref="Z22:AB22 Z107:AB107">
    <cfRule type="expression" dxfId="2693" priority="66" stopIfTrue="1">
      <formula>IF(AK8&gt;8,0,1)</formula>
    </cfRule>
  </conditionalFormatting>
  <conditionalFormatting sqref="AC22:AE22 AC107:AE107">
    <cfRule type="expression" dxfId="2692" priority="67" stopIfTrue="1">
      <formula>IF(AK8&gt;9,0,1)</formula>
    </cfRule>
  </conditionalFormatting>
  <conditionalFormatting sqref="B24 B109">
    <cfRule type="expression" dxfId="2691" priority="68" stopIfTrue="1">
      <formula>IF(AK8&gt;0,0,1)</formula>
    </cfRule>
  </conditionalFormatting>
  <conditionalFormatting sqref="C24 C109">
    <cfRule type="expression" dxfId="2690" priority="69" stopIfTrue="1">
      <formula>IF(AK8&gt;0,0,1)</formula>
    </cfRule>
  </conditionalFormatting>
  <conditionalFormatting sqref="D24 D109">
    <cfRule type="expression" dxfId="2689" priority="70" stopIfTrue="1">
      <formula>IF(AK8&gt;0,0,1)</formula>
    </cfRule>
  </conditionalFormatting>
  <conditionalFormatting sqref="E23:G23 E108:G108">
    <cfRule type="expression" dxfId="2688" priority="71" stopIfTrue="1">
      <formula>IF(AK8&gt;1,0,1)</formula>
    </cfRule>
  </conditionalFormatting>
  <conditionalFormatting sqref="F24 F109">
    <cfRule type="expression" dxfId="2687" priority="72" stopIfTrue="1">
      <formula>IF(AK8&gt;1,0,1)</formula>
    </cfRule>
  </conditionalFormatting>
  <conditionalFormatting sqref="G24 G109">
    <cfRule type="expression" dxfId="2686" priority="73" stopIfTrue="1">
      <formula>IF(AK8&gt;1,0,1)</formula>
    </cfRule>
  </conditionalFormatting>
  <conditionalFormatting sqref="H23:J23 H108:J108">
    <cfRule type="expression" dxfId="2685" priority="74" stopIfTrue="1">
      <formula>IF(AK8&gt;2,0,1)</formula>
    </cfRule>
  </conditionalFormatting>
  <conditionalFormatting sqref="I24 I109">
    <cfRule type="expression" dxfId="2684" priority="75" stopIfTrue="1">
      <formula>IF(AK8&gt;2,0,1)</formula>
    </cfRule>
  </conditionalFormatting>
  <conditionalFormatting sqref="J24 J109">
    <cfRule type="expression" dxfId="2683" priority="76" stopIfTrue="1">
      <formula>IF(AK8&gt;2,0,1)</formula>
    </cfRule>
  </conditionalFormatting>
  <conditionalFormatting sqref="K23:M23 K108:M108">
    <cfRule type="expression" dxfId="2682" priority="77" stopIfTrue="1">
      <formula>IF(AK8&gt;3,0,1)</formula>
    </cfRule>
  </conditionalFormatting>
  <conditionalFormatting sqref="L24 L109">
    <cfRule type="expression" dxfId="2681" priority="78" stopIfTrue="1">
      <formula>IF(AK8&gt;3,0,1)</formula>
    </cfRule>
  </conditionalFormatting>
  <conditionalFormatting sqref="M24 M109">
    <cfRule type="expression" dxfId="2680" priority="79" stopIfTrue="1">
      <formula>IF(AK8&gt;3,0,1)</formula>
    </cfRule>
  </conditionalFormatting>
  <conditionalFormatting sqref="N23:P23 N108:P108">
    <cfRule type="expression" dxfId="2679" priority="80" stopIfTrue="1">
      <formula>IF(AK8&gt;4,0,1)</formula>
    </cfRule>
  </conditionalFormatting>
  <conditionalFormatting sqref="O24 O109">
    <cfRule type="expression" dxfId="2678" priority="81" stopIfTrue="1">
      <formula>IF(AK8&gt;4,0,1)</formula>
    </cfRule>
  </conditionalFormatting>
  <conditionalFormatting sqref="P24 P109">
    <cfRule type="expression" dxfId="2677" priority="82" stopIfTrue="1">
      <formula>IF(AK8&gt;4,0,1)</formula>
    </cfRule>
  </conditionalFormatting>
  <conditionalFormatting sqref="Q23:S23 Q108:S108">
    <cfRule type="expression" dxfId="2676" priority="83" stopIfTrue="1">
      <formula>IF(AK8&gt;5,0,1)</formula>
    </cfRule>
  </conditionalFormatting>
  <conditionalFormatting sqref="R24 R109">
    <cfRule type="expression" dxfId="2675" priority="84" stopIfTrue="1">
      <formula>IF(AK8&gt;5,0,1)</formula>
    </cfRule>
  </conditionalFormatting>
  <conditionalFormatting sqref="S24 S109">
    <cfRule type="expression" dxfId="2674" priority="85" stopIfTrue="1">
      <formula>IF(AK8&gt;5,0,1)</formula>
    </cfRule>
  </conditionalFormatting>
  <conditionalFormatting sqref="T23:V23 T108:V108">
    <cfRule type="expression" dxfId="2673" priority="86" stopIfTrue="1">
      <formula>IF(AK8&gt;6,0,1)</formula>
    </cfRule>
  </conditionalFormatting>
  <conditionalFormatting sqref="U24 U109">
    <cfRule type="expression" dxfId="2672" priority="87" stopIfTrue="1">
      <formula>IF(AK8&gt;6,0,1)</formula>
    </cfRule>
  </conditionalFormatting>
  <conditionalFormatting sqref="V24 V109">
    <cfRule type="expression" dxfId="2671" priority="88" stopIfTrue="1">
      <formula>IF(AK8&gt;6,0,1)</formula>
    </cfRule>
  </conditionalFormatting>
  <conditionalFormatting sqref="W23:Y23 W108:Y108">
    <cfRule type="expression" dxfId="2670" priority="89" stopIfTrue="1">
      <formula>IF(AK8&gt;7,0,1)</formula>
    </cfRule>
  </conditionalFormatting>
  <conditionalFormatting sqref="X24 X109">
    <cfRule type="expression" dxfId="2669" priority="90" stopIfTrue="1">
      <formula>IF(AK8&gt;7,0,1)</formula>
    </cfRule>
  </conditionalFormatting>
  <conditionalFormatting sqref="Y24 Y109">
    <cfRule type="expression" dxfId="2668" priority="91" stopIfTrue="1">
      <formula>IF(AK8&gt;7,0,1)</formula>
    </cfRule>
  </conditionalFormatting>
  <conditionalFormatting sqref="Z23:AB23 Z108:AB108">
    <cfRule type="expression" dxfId="2667" priority="92" stopIfTrue="1">
      <formula>IF(AK8&gt;8,0,1)</formula>
    </cfRule>
  </conditionalFormatting>
  <conditionalFormatting sqref="AA24 AA109">
    <cfRule type="expression" dxfId="2666" priority="93" stopIfTrue="1">
      <formula>IF(AK8&gt;8,0,1)</formula>
    </cfRule>
  </conditionalFormatting>
  <conditionalFormatting sqref="AB24 AB109">
    <cfRule type="expression" dxfId="2665" priority="94" stopIfTrue="1">
      <formula>IF(AK8&gt;8,0,1)</formula>
    </cfRule>
  </conditionalFormatting>
  <conditionalFormatting sqref="AC23:AE23 AC108:AE108">
    <cfRule type="expression" dxfId="2664" priority="95" stopIfTrue="1">
      <formula>IF(AK8&gt;9,0,1)</formula>
    </cfRule>
  </conditionalFormatting>
  <conditionalFormatting sqref="AD24 AD109">
    <cfRule type="expression" dxfId="2663" priority="96" stopIfTrue="1">
      <formula>IF(AK8&gt;9,0,1)</formula>
    </cfRule>
  </conditionalFormatting>
  <conditionalFormatting sqref="AE24 AE109">
    <cfRule type="expression" dxfId="2662" priority="97" stopIfTrue="1">
      <formula>IF(AK8&gt;9,0,1)</formula>
    </cfRule>
  </conditionalFormatting>
  <conditionalFormatting sqref="A26 A111">
    <cfRule type="expression" dxfId="2661" priority="98" stopIfTrue="1">
      <formula>IF(AK7&gt;1,0,1)</formula>
    </cfRule>
  </conditionalFormatting>
  <conditionalFormatting sqref="A27 A112">
    <cfRule type="expression" dxfId="2660" priority="99" stopIfTrue="1">
      <formula>IF(AK7&gt;2,0,1)</formula>
    </cfRule>
  </conditionalFormatting>
  <conditionalFormatting sqref="A28 A113">
    <cfRule type="expression" dxfId="2659" priority="100" stopIfTrue="1">
      <formula>IF(AK7&gt;3,0,1)</formula>
    </cfRule>
  </conditionalFormatting>
  <conditionalFormatting sqref="A29 A114">
    <cfRule type="expression" dxfId="2658" priority="101" stopIfTrue="1">
      <formula>IF(AK7&gt;4,0,1)</formula>
    </cfRule>
  </conditionalFormatting>
  <conditionalFormatting sqref="B25:D25 B110:D110">
    <cfRule type="expression" dxfId="2657" priority="102" stopIfTrue="1">
      <formula>IF($AK8&gt;0,0,1)</formula>
    </cfRule>
  </conditionalFormatting>
  <conditionalFormatting sqref="B26:D26 B111:D111">
    <cfRule type="expression" dxfId="2656" priority="103" stopIfTrue="1">
      <formula>IF($AK8&lt;1,1,IF($AK7&lt;2,1,0))</formula>
    </cfRule>
  </conditionalFormatting>
  <conditionalFormatting sqref="B27:D27 B112:D112">
    <cfRule type="expression" dxfId="2655" priority="104" stopIfTrue="1">
      <formula>IF($AK8&lt;1,1,IF($AK7&lt;3,1,0))</formula>
    </cfRule>
  </conditionalFormatting>
  <conditionalFormatting sqref="B28:D28 B113:D113">
    <cfRule type="expression" dxfId="2654" priority="105" stopIfTrue="1">
      <formula>IF($AK8&lt;1,1,IF($AK7&lt;4,1,0))</formula>
    </cfRule>
  </conditionalFormatting>
  <conditionalFormatting sqref="B29:D29 B114:D114">
    <cfRule type="expression" dxfId="2653" priority="106" stopIfTrue="1">
      <formula>IF($AK8&lt;1,1,IF($AK7&lt;5,1,0))</formula>
    </cfRule>
  </conditionalFormatting>
  <conditionalFormatting sqref="AG23 AG108">
    <cfRule type="expression" dxfId="2652" priority="107" stopIfTrue="1">
      <formula>IF($AK8&lt;1,1,0)</formula>
    </cfRule>
  </conditionalFormatting>
  <conditionalFormatting sqref="AH23 AH108">
    <cfRule type="expression" dxfId="2651" priority="108" stopIfTrue="1">
      <formula>IF($AK8&lt;2,1,0)</formula>
    </cfRule>
  </conditionalFormatting>
  <conditionalFormatting sqref="AI23 AI108">
    <cfRule type="expression" dxfId="2650" priority="109" stopIfTrue="1">
      <formula>IF($AK8&lt;3,1,0)</formula>
    </cfRule>
  </conditionalFormatting>
  <conditionalFormatting sqref="AJ23 AJ108">
    <cfRule type="expression" dxfId="2649" priority="110" stopIfTrue="1">
      <formula>IF($AK8&lt;4,1,0)</formula>
    </cfRule>
  </conditionalFormatting>
  <conditionalFormatting sqref="AK23 AK108">
    <cfRule type="expression" dxfId="2648" priority="111" stopIfTrue="1">
      <formula>IF($AK8&lt;5,1,0)</formula>
    </cfRule>
  </conditionalFormatting>
  <conditionalFormatting sqref="AL23 AL108">
    <cfRule type="expression" dxfId="2647" priority="112" stopIfTrue="1">
      <formula>IF($AK8&lt;6,1,0)</formula>
    </cfRule>
  </conditionalFormatting>
  <conditionalFormatting sqref="AM23 AM108">
    <cfRule type="expression" dxfId="2646" priority="113" stopIfTrue="1">
      <formula>IF($AK8&lt;7,1,0)</formula>
    </cfRule>
  </conditionalFormatting>
  <conditionalFormatting sqref="AN23 AN108">
    <cfRule type="expression" dxfId="2645" priority="114" stopIfTrue="1">
      <formula>IF($AK8&lt;8,1,0)</formula>
    </cfRule>
  </conditionalFormatting>
  <conditionalFormatting sqref="AO23 AO108">
    <cfRule type="expression" dxfId="2644" priority="115" stopIfTrue="1">
      <formula>IF($AK8&lt;9,1,0)</formula>
    </cfRule>
  </conditionalFormatting>
  <conditionalFormatting sqref="AP23 AP108">
    <cfRule type="expression" dxfId="2643" priority="116" stopIfTrue="1">
      <formula>IF($AK8&lt;10,1,0)</formula>
    </cfRule>
  </conditionalFormatting>
  <conditionalFormatting sqref="AQ24 AQ109">
    <cfRule type="expression" dxfId="2642" priority="117" stopIfTrue="1">
      <formula>IF($AK9&gt;0,0,1)</formula>
    </cfRule>
  </conditionalFormatting>
  <conditionalFormatting sqref="AQ25 AQ110">
    <cfRule type="expression" dxfId="2641" priority="118" stopIfTrue="1">
      <formula>IF($AK9&gt;1,0,1)</formula>
    </cfRule>
  </conditionalFormatting>
  <conditionalFormatting sqref="AQ26 H25:J25 AQ111 H110:J110">
    <cfRule type="expression" dxfId="2640" priority="119" stopIfTrue="1">
      <formula>IF($AK8&gt;2,0,1)</formula>
    </cfRule>
  </conditionalFormatting>
  <conditionalFormatting sqref="K25:M25 K110:M110">
    <cfRule type="expression" dxfId="2639" priority="120" stopIfTrue="1">
      <formula>IF($AK8&gt;3,0,1)</formula>
    </cfRule>
  </conditionalFormatting>
  <conditionalFormatting sqref="AQ28 AQ113">
    <cfRule type="expression" dxfId="2638" priority="121" stopIfTrue="1">
      <formula>IF($AK9&gt;4,0,1)</formula>
    </cfRule>
  </conditionalFormatting>
  <conditionalFormatting sqref="E26:G26 E111:G111">
    <cfRule type="expression" dxfId="2637" priority="122" stopIfTrue="1">
      <formula>IF($AK8&lt;2,1,IF($AK7&lt;2,1,0))</formula>
    </cfRule>
  </conditionalFormatting>
  <conditionalFormatting sqref="E27:G27 E112:G112">
    <cfRule type="expression" dxfId="2636" priority="123" stopIfTrue="1">
      <formula>IF($AK8&lt;2,1,IF($AK7&lt;3,1,0))</formula>
    </cfRule>
  </conditionalFormatting>
  <conditionalFormatting sqref="E28:G28 E113:G113">
    <cfRule type="expression" dxfId="2635" priority="124" stopIfTrue="1">
      <formula>IF($AK8&lt;2,1,IF($AK7&lt;4,1,0))</formula>
    </cfRule>
  </conditionalFormatting>
  <conditionalFormatting sqref="E29:G29 E114:G114">
    <cfRule type="expression" dxfId="2634" priority="125" stopIfTrue="1">
      <formula>IF($AK8&lt;2,1,IF($AK7&lt;5,1,0))</formula>
    </cfRule>
  </conditionalFormatting>
  <conditionalFormatting sqref="N25:P25 N110:P110">
    <cfRule type="expression" dxfId="2633" priority="126" stopIfTrue="1">
      <formula>IF($AK8&gt;4,0,1)</formula>
    </cfRule>
  </conditionalFormatting>
  <conditionalFormatting sqref="Q25:S25 Q110:S110">
    <cfRule type="expression" dxfId="2632" priority="127" stopIfTrue="1">
      <formula>IF($AK8&gt;5,0,1)</formula>
    </cfRule>
  </conditionalFormatting>
  <conditionalFormatting sqref="T25:V25 T110:V110">
    <cfRule type="expression" dxfId="2631" priority="128" stopIfTrue="1">
      <formula>IF($AK8&gt;6,0,1)</formula>
    </cfRule>
  </conditionalFormatting>
  <conditionalFormatting sqref="W25:Y25 W110:Y110">
    <cfRule type="expression" dxfId="2630" priority="129" stopIfTrue="1">
      <formula>IF($AK8&gt;7,0,1)</formula>
    </cfRule>
  </conditionalFormatting>
  <conditionalFormatting sqref="Z25:AB25 Z110:AB110">
    <cfRule type="expression" dxfId="2629" priority="130" stopIfTrue="1">
      <formula>IF($AK8&gt;8,0,1)</formula>
    </cfRule>
  </conditionalFormatting>
  <conditionalFormatting sqref="AC25:AE25 AC110:AE110">
    <cfRule type="expression" dxfId="2628" priority="131" stopIfTrue="1">
      <formula>IF($AK8&gt;9,0,1)</formula>
    </cfRule>
  </conditionalFormatting>
  <conditionalFormatting sqref="H26:J26 H111:J111">
    <cfRule type="expression" dxfId="2627" priority="132" stopIfTrue="1">
      <formula>IF($AK8&lt;3,1,IF($AK7&lt;2,1,0))</formula>
    </cfRule>
  </conditionalFormatting>
  <conditionalFormatting sqref="K26:M26 K111:M111">
    <cfRule type="expression" dxfId="2626" priority="133" stopIfTrue="1">
      <formula>IF($AK8&lt;4,1,IF($AK7&lt;2,1,0))</formula>
    </cfRule>
  </conditionalFormatting>
  <conditionalFormatting sqref="N26:P26 N111:P111">
    <cfRule type="expression" dxfId="2625" priority="134" stopIfTrue="1">
      <formula>IF($AK8&lt;5,1,IF($AK7&lt;2,1,0))</formula>
    </cfRule>
  </conditionalFormatting>
  <conditionalFormatting sqref="Q26:S26 Q111:S111">
    <cfRule type="expression" dxfId="2624" priority="135" stopIfTrue="1">
      <formula>IF($AK8&lt;6,1,IF($AK7&lt;2,1,0))</formula>
    </cfRule>
  </conditionalFormatting>
  <conditionalFormatting sqref="T26:V26 T111:V111">
    <cfRule type="expression" dxfId="2623" priority="136" stopIfTrue="1">
      <formula>IF($AK8&lt;7,1,IF($AK7&lt;2,1,0))</formula>
    </cfRule>
  </conditionalFormatting>
  <conditionalFormatting sqref="W26:Y26 W111:Y111">
    <cfRule type="expression" dxfId="2622" priority="137" stopIfTrue="1">
      <formula>IF($AK8&lt;8,1,IF($AK7&lt;2,1,0))</formula>
    </cfRule>
  </conditionalFormatting>
  <conditionalFormatting sqref="Z26:AB26 Z111:AB111">
    <cfRule type="expression" dxfId="2621" priority="138" stopIfTrue="1">
      <formula>IF($AK8&lt;9,1,IF($AK7&lt;2,1,0))</formula>
    </cfRule>
  </conditionalFormatting>
  <conditionalFormatting sqref="AC26:AE26 AC111:AE111">
    <cfRule type="expression" dxfId="2620" priority="139" stopIfTrue="1">
      <formula>IF($AK8&lt;10,1,IF($AK7&lt;2,1,0))</formula>
    </cfRule>
  </conditionalFormatting>
  <conditionalFormatting sqref="H27:J27 H112:J112">
    <cfRule type="expression" dxfId="2619" priority="140" stopIfTrue="1">
      <formula>IF($AK8&lt;3,1,IF($AK7&lt;3,1,0))</formula>
    </cfRule>
  </conditionalFormatting>
  <conditionalFormatting sqref="K27:M27 K112:M112">
    <cfRule type="expression" dxfId="2618" priority="141" stopIfTrue="1">
      <formula>IF($AK8&lt;4,1,IF($AK7&lt;3,1,0))</formula>
    </cfRule>
  </conditionalFormatting>
  <conditionalFormatting sqref="N27:P27 N112:P112">
    <cfRule type="expression" dxfId="2617" priority="142" stopIfTrue="1">
      <formula>IF($AK8&lt;5,1,IF($AK7&lt;3,1,0))</formula>
    </cfRule>
  </conditionalFormatting>
  <conditionalFormatting sqref="Q27:S27 Q112:S112">
    <cfRule type="expression" dxfId="2616" priority="143" stopIfTrue="1">
      <formula>IF($AK8&lt;6,1,IF($AK7&lt;3,1,0))</formula>
    </cfRule>
  </conditionalFormatting>
  <conditionalFormatting sqref="T27:V27 T112:V112">
    <cfRule type="expression" dxfId="2615" priority="144" stopIfTrue="1">
      <formula>IF($AK8&lt;7,1,IF($AK7&lt;3,1,0))</formula>
    </cfRule>
  </conditionalFormatting>
  <conditionalFormatting sqref="W27:Y27 W112:Y112">
    <cfRule type="expression" dxfId="2614" priority="145" stopIfTrue="1">
      <formula>IF($AK8&lt;8,1,IF($AK7&lt;3,1,0))</formula>
    </cfRule>
  </conditionalFormatting>
  <conditionalFormatting sqref="Z27:AB27 Z112:AB112">
    <cfRule type="expression" dxfId="2613" priority="146" stopIfTrue="1">
      <formula>IF($AK8&lt;9,1,IF($AK7&lt;3,1,0))</formula>
    </cfRule>
  </conditionalFormatting>
  <conditionalFormatting sqref="AC27:AE27 AC112:AE112">
    <cfRule type="expression" dxfId="2612" priority="147" stopIfTrue="1">
      <formula>IF($AK8&lt;10,1,IF($AK7&lt;3,1,0))</formula>
    </cfRule>
  </conditionalFormatting>
  <conditionalFormatting sqref="H28:J28 H113:J113">
    <cfRule type="expression" dxfId="2611" priority="148" stopIfTrue="1">
      <formula>IF($AK8&lt;3,1,IF($AK7&lt;4,1,0))</formula>
    </cfRule>
  </conditionalFormatting>
  <conditionalFormatting sqref="K28:M28 K113:M113">
    <cfRule type="expression" dxfId="2610" priority="149" stopIfTrue="1">
      <formula>IF($AK8&lt;4,1,IF($AK7&lt;4,1,0))</formula>
    </cfRule>
  </conditionalFormatting>
  <conditionalFormatting sqref="N28:P28 N113:P113">
    <cfRule type="expression" dxfId="2609" priority="150" stopIfTrue="1">
      <formula>IF($AK8&lt;5,1,IF($AK7&lt;4,1,0))</formula>
    </cfRule>
  </conditionalFormatting>
  <conditionalFormatting sqref="Q28:S28 Q113:S113">
    <cfRule type="expression" dxfId="2608" priority="151" stopIfTrue="1">
      <formula>IF($AK8&lt;6,1,IF($AK7&lt;4,1,0))</formula>
    </cfRule>
  </conditionalFormatting>
  <conditionalFormatting sqref="T28:V28 T113:V113">
    <cfRule type="expression" dxfId="2607" priority="152" stopIfTrue="1">
      <formula>IF($AK8&lt;7,1,IF($AK7&lt;4,1,0))</formula>
    </cfRule>
  </conditionalFormatting>
  <conditionalFormatting sqref="W28:Y28 W113:Y113">
    <cfRule type="expression" dxfId="2606" priority="153" stopIfTrue="1">
      <formula>IF($AK8&lt;8,1,IF($AK7&lt;4,1,0))</formula>
    </cfRule>
  </conditionalFormatting>
  <conditionalFormatting sqref="Z28:AB28 Z113:AB113">
    <cfRule type="expression" dxfId="2605" priority="154" stopIfTrue="1">
      <formula>IF($AK8&lt;9,1,IF($AK7&lt;4,1,0))</formula>
    </cfRule>
  </conditionalFormatting>
  <conditionalFormatting sqref="AC28:AE28 AC113:AE113">
    <cfRule type="expression" dxfId="2604" priority="155" stopIfTrue="1">
      <formula>IF($AK8&lt;10,1,IF($AK7&lt;4,1,0))</formula>
    </cfRule>
  </conditionalFormatting>
  <conditionalFormatting sqref="H29:J29 H114:J114">
    <cfRule type="expression" dxfId="2603" priority="156" stopIfTrue="1">
      <formula>IF($AK8&lt;3,1,IF($AK7&lt;5,1,0))</formula>
    </cfRule>
  </conditionalFormatting>
  <conditionalFormatting sqref="K29:M29 K114:M114">
    <cfRule type="expression" dxfId="2602" priority="157" stopIfTrue="1">
      <formula>IF($AK8&lt;4,1,IF($AK7&lt;5,1,0))</formula>
    </cfRule>
  </conditionalFormatting>
  <conditionalFormatting sqref="N29:P29 N114:P114">
    <cfRule type="expression" dxfId="2601" priority="158" stopIfTrue="1">
      <formula>IF($AK8&lt;5,1,IF($AK7&lt;5,1,0))</formula>
    </cfRule>
  </conditionalFormatting>
  <conditionalFormatting sqref="Q29:S29 Q114:S114">
    <cfRule type="expression" dxfId="2600" priority="159" stopIfTrue="1">
      <formula>IF($AK8&lt;6,1,IF($AK7&lt;5,1,0))</formula>
    </cfRule>
  </conditionalFormatting>
  <conditionalFormatting sqref="T29:V29 T114:V114">
    <cfRule type="expression" dxfId="2599" priority="160" stopIfTrue="1">
      <formula>IF($AK8&lt;7,1,IF($AK7&lt;5,1,0))</formula>
    </cfRule>
  </conditionalFormatting>
  <conditionalFormatting sqref="W29:Y29 W114:Y114">
    <cfRule type="expression" dxfId="2598" priority="161" stopIfTrue="1">
      <formula>IF($AK8&lt;8,1,IF($AK7&lt;5,1,0))</formula>
    </cfRule>
  </conditionalFormatting>
  <conditionalFormatting sqref="Z29:AB29 Z114:AB114">
    <cfRule type="expression" dxfId="2597" priority="162" stopIfTrue="1">
      <formula>IF($AK8&lt;9,1,IF($AK7&lt;5,1,0))</formula>
    </cfRule>
  </conditionalFormatting>
  <conditionalFormatting sqref="AC29:AE29 AC114:AE114">
    <cfRule type="expression" dxfId="2596" priority="163" stopIfTrue="1">
      <formula>IF($AK8&lt;10,1,IF($AK7&lt;5,1,0))</formula>
    </cfRule>
  </conditionalFormatting>
  <conditionalFormatting sqref="R14:AB15 AF14:AF15 L14:P15 R99:AB100 AF99:AF100 L99:P100 AG14 AG99">
    <cfRule type="expression" dxfId="2595" priority="164" stopIfTrue="1">
      <formula>IF($AK9&gt;3,0,1)</formula>
    </cfRule>
  </conditionalFormatting>
  <conditionalFormatting sqref="R16:AB17 AF16:AF17 L16:P17 R101:AB102 AF101:AF102 L101:P102 AG16 AG101">
    <cfRule type="expression" dxfId="2594" priority="165" stopIfTrue="1">
      <formula>IF($AK9&gt;4,0,1)</formula>
    </cfRule>
  </conditionalFormatting>
  <conditionalFormatting sqref="R8:AB9 AF8:AF9 L8:P9 R93:AB94 AF93:AF94 L93:P94 AG8 AG93">
    <cfRule type="expression" dxfId="2593" priority="166" stopIfTrue="1">
      <formula>IF($AK9&gt;0,0,1)</formula>
    </cfRule>
  </conditionalFormatting>
  <conditionalFormatting sqref="R10:AB11 AF10:AF11 L10:P11 R95:AB96 AF95:AF96 L95:P96 AG10 AG95">
    <cfRule type="expression" dxfId="2592" priority="167" stopIfTrue="1">
      <formula>IF($AK9&gt;1,0,1)</formula>
    </cfRule>
  </conditionalFormatting>
  <conditionalFormatting sqref="R12:AB13 AF12:AF13 L12:P13 R97:AB98 AF97:AF98 L97:P98 AG12 AG97">
    <cfRule type="expression" dxfId="2591" priority="168" stopIfTrue="1">
      <formula>IF($AK9&gt;2,0,1)</formula>
    </cfRule>
  </conditionalFormatting>
  <conditionalFormatting sqref="E24 E109">
    <cfRule type="expression" dxfId="2590" priority="169" stopIfTrue="1">
      <formula>IF(AK8&gt;1,0,1)</formula>
    </cfRule>
  </conditionalFormatting>
  <conditionalFormatting sqref="H24 H109">
    <cfRule type="expression" dxfId="2589" priority="170" stopIfTrue="1">
      <formula>IF(AK8&gt;2,0,1)</formula>
    </cfRule>
  </conditionalFormatting>
  <conditionalFormatting sqref="K24 K109">
    <cfRule type="expression" dxfId="2588" priority="171" stopIfTrue="1">
      <formula>IF(AK8&gt;3,0,1)</formula>
    </cfRule>
  </conditionalFormatting>
  <conditionalFormatting sqref="N24 N109">
    <cfRule type="expression" dxfId="2587" priority="172" stopIfTrue="1">
      <formula>IF(AK8&gt;4,0,1)</formula>
    </cfRule>
  </conditionalFormatting>
  <conditionalFormatting sqref="Q24 Q109">
    <cfRule type="expression" dxfId="2586" priority="173" stopIfTrue="1">
      <formula>IF(AK8&gt;5,0,1)</formula>
    </cfRule>
  </conditionalFormatting>
  <conditionalFormatting sqref="T24 T109">
    <cfRule type="expression" dxfId="2585" priority="174" stopIfTrue="1">
      <formula>IF(AK8&gt;6,0,1)</formula>
    </cfRule>
  </conditionalFormatting>
  <conditionalFormatting sqref="W24 W109">
    <cfRule type="expression" dxfId="2584" priority="175" stopIfTrue="1">
      <formula>IF(AK8&gt;7,0,1)</formula>
    </cfRule>
  </conditionalFormatting>
  <conditionalFormatting sqref="Z24 Z109">
    <cfRule type="expression" dxfId="2583" priority="176" stopIfTrue="1">
      <formula>IF(AK8&gt;8,0,1)</formula>
    </cfRule>
  </conditionalFormatting>
  <conditionalFormatting sqref="AC24 AC109">
    <cfRule type="expression" dxfId="2582" priority="177" stopIfTrue="1">
      <formula>IF(AK8&gt;9,0,1)</formula>
    </cfRule>
  </conditionalFormatting>
  <conditionalFormatting sqref="AQ27 AQ112">
    <cfRule type="expression" dxfId="2581" priority="178" stopIfTrue="1">
      <formula>IF($AK9&gt;3,0,1)</formula>
    </cfRule>
  </conditionalFormatting>
  <conditionalFormatting sqref="E25:G25 E110:G110">
    <cfRule type="expression" dxfId="2580" priority="179" stopIfTrue="1">
      <formula>IF($AK8&gt;1,0,1)</formula>
    </cfRule>
  </conditionalFormatting>
  <conditionalFormatting sqref="B21:D21 B106:D106">
    <cfRule type="expression" dxfId="2579" priority="180" stopIfTrue="1">
      <formula>IF(AK8&gt;0,0,1)</formula>
    </cfRule>
  </conditionalFormatting>
  <conditionalFormatting sqref="E21:G21 E106:G106">
    <cfRule type="expression" dxfId="2578" priority="181" stopIfTrue="1">
      <formula>IF(AK8&gt;1,0,1)</formula>
    </cfRule>
  </conditionalFormatting>
  <conditionalFormatting sqref="H21:J21 H106:J106">
    <cfRule type="expression" dxfId="2577" priority="182" stopIfTrue="1">
      <formula>IF(AK8&gt;2,0,1)</formula>
    </cfRule>
  </conditionalFormatting>
  <conditionalFormatting sqref="K21:M21 K106:M106">
    <cfRule type="expression" dxfId="2576" priority="183" stopIfTrue="1">
      <formula>IF(AK8&gt;3,0,1)</formula>
    </cfRule>
  </conditionalFormatting>
  <conditionalFormatting sqref="N21:P21 N106:P106">
    <cfRule type="expression" dxfId="2575" priority="184" stopIfTrue="1">
      <formula>IF(AK8&gt;4,0,1)</formula>
    </cfRule>
  </conditionalFormatting>
  <conditionalFormatting sqref="Q21:S21 Q106:S106">
    <cfRule type="expression" dxfId="2574" priority="185" stopIfTrue="1">
      <formula>IF(AK8&gt;5,0,1)</formula>
    </cfRule>
  </conditionalFormatting>
  <conditionalFormatting sqref="T21:V21 T106:V106">
    <cfRule type="expression" dxfId="2573" priority="186" stopIfTrue="1">
      <formula>IF(AK8&gt;6,0,1)</formula>
    </cfRule>
  </conditionalFormatting>
  <conditionalFormatting sqref="W21:Y21 W106:Y106">
    <cfRule type="expression" dxfId="2572" priority="187" stopIfTrue="1">
      <formula>IF(AK8&gt;7,0,1)</formula>
    </cfRule>
  </conditionalFormatting>
  <conditionalFormatting sqref="Z21:AB21 Z106:AB106">
    <cfRule type="expression" dxfId="2571" priority="188" stopIfTrue="1">
      <formula>IF(AK8&gt;8,0,1)</formula>
    </cfRule>
  </conditionalFormatting>
  <conditionalFormatting sqref="AC21:AE21 AC106:AE106">
    <cfRule type="expression" dxfId="2570" priority="189" stopIfTrue="1">
      <formula>IF(AK8&gt;9,0,1)</formula>
    </cfRule>
  </conditionalFormatting>
  <conditionalFormatting sqref="X224:X225 W215:W216 X215:Y215 W218:Y223 Z219:AE222 AA223:AA225 F223:F225 B215:B216 C215:D215 B218:D223 C224:C225 I223:I225 E219:J222 AD223:AD225">
    <cfRule type="expression" dxfId="2569" priority="190" stopIfTrue="1">
      <formula>IF(#REF!&gt;0,0,1)</formula>
    </cfRule>
  </conditionalFormatting>
  <conditionalFormatting sqref="AA215:AB215 AB223 AA218:AB218 Z223 Z215:Z218 G223 F218:G218 E223 E215:E218 F215:G215">
    <cfRule type="expression" dxfId="2568" priority="191" stopIfTrue="1">
      <formula>IF(#REF!&gt;1,0,1)</formula>
    </cfRule>
  </conditionalFormatting>
  <conditionalFormatting sqref="AC215:AC218 AD215:AE215 AE223 AD218:AE218 AC223 H223 H215:H218 I215:J215 I218:J218 J223">
    <cfRule type="expression" dxfId="2567" priority="192" stopIfTrue="1">
      <formula>IF(#REF!&gt;2,0,1)</formula>
    </cfRule>
  </conditionalFormatting>
  <conditionalFormatting sqref="W224 Y224 B224 D224">
    <cfRule type="expression" dxfId="2566" priority="193" stopIfTrue="1">
      <formula>IF(#REF!&lt;1,1,IF(#REF!&lt;2,1,0))</formula>
    </cfRule>
  </conditionalFormatting>
  <conditionalFormatting sqref="Z224 AB224 E224 G224">
    <cfRule type="expression" dxfId="2565" priority="194" stopIfTrue="1">
      <formula>IF(#REF!&lt;2,1,IF(#REF!&lt;2,1,0))</formula>
    </cfRule>
  </conditionalFormatting>
  <conditionalFormatting sqref="AC224 AE224 H224 J224">
    <cfRule type="expression" dxfId="2564" priority="195" stopIfTrue="1">
      <formula>IF(#REF!&lt;3,1,IF(#REF!&lt;2,1,0))</formula>
    </cfRule>
  </conditionalFormatting>
  <conditionalFormatting sqref="Y225 B225 D225 W225">
    <cfRule type="expression" dxfId="2563" priority="196" stopIfTrue="1">
      <formula>IF(#REF!&lt;1,1,IF(#REF!&lt;3,1,0))</formula>
    </cfRule>
  </conditionalFormatting>
  <conditionalFormatting sqref="AB225 E225 G225 Z225">
    <cfRule type="expression" dxfId="2562" priority="197" stopIfTrue="1">
      <formula>IF(#REF!&lt;2,1,IF(#REF!&lt;3,1,0))</formula>
    </cfRule>
  </conditionalFormatting>
  <conditionalFormatting sqref="AE225 H225 J225 AC225">
    <cfRule type="expression" dxfId="2561" priority="198" stopIfTrue="1">
      <formula>IF(#REF!&lt;3,1,IF(#REF!&lt;3,1,0))</formula>
    </cfRule>
  </conditionalFormatting>
  <conditionalFormatting sqref="AG24:AP28 AG109:AP113">
    <cfRule type="cellIs" dxfId="2560" priority="199" stopIfTrue="1" operator="notBetween">
      <formula>-9999</formula>
      <formula>9999</formula>
    </cfRule>
  </conditionalFormatting>
  <conditionalFormatting sqref="AC7 AC92">
    <cfRule type="expression" dxfId="2559" priority="200" stopIfTrue="1">
      <formula>IF($AK$11=0,1,0)</formula>
    </cfRule>
  </conditionalFormatting>
  <conditionalFormatting sqref="B18 B103">
    <cfRule type="expression" dxfId="2558" priority="201" stopIfTrue="1">
      <formula>IF($AK$9&gt;0,0,1)</formula>
    </cfRule>
  </conditionalFormatting>
  <conditionalFormatting sqref="B22:D23 B107:D108">
    <cfRule type="cellIs" dxfId="2557" priority="202" stopIfTrue="1" operator="equal">
      <formula>99</formula>
    </cfRule>
  </conditionalFormatting>
  <conditionalFormatting sqref="X226 AA226 C226 F226">
    <cfRule type="expression" dxfId="2556" priority="203" stopIfTrue="1">
      <formula>IF(#REF!&gt;0,0,1)</formula>
    </cfRule>
  </conditionalFormatting>
  <conditionalFormatting sqref="K215">
    <cfRule type="expression" dxfId="2555" priority="3" stopIfTrue="1">
      <formula>IF(#REF!&gt;2,0,1)</formula>
    </cfRule>
  </conditionalFormatting>
  <conditionalFormatting sqref="K215">
    <cfRule type="expression" dxfId="2554" priority="2" stopIfTrue="1">
      <formula>IF(ISNUMBER(K223),0,1)</formula>
    </cfRule>
  </conditionalFormatting>
  <conditionalFormatting sqref="AF215">
    <cfRule type="expression" dxfId="2553" priority="1" stopIfTrue="1">
      <formula>IF(ISNUMBER(AF223),0,1)</formula>
    </cfRule>
  </conditionalFormatting>
  <pageMargins left="0.25" right="0.25" top="0.25" bottom="0.25" header="0" footer="0"/>
  <pageSetup scale="78" fitToHeight="4" orientation="landscape" r:id="rId1"/>
  <headerFooter alignWithMargins="0"/>
  <rowBreaks count="2" manualBreakCount="2">
    <brk id="90" max="43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13314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13314" r:id="rId4" name="Pool2RecalcFinish"/>
      </mc:Fallback>
    </mc:AlternateContent>
    <mc:AlternateContent xmlns:mc="http://schemas.openxmlformats.org/markup-compatibility/2006">
      <mc:Choice Requires="x14">
        <control shapeId="13313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3313" r:id="rId6" name="Pool1RecalcFinish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1"/>
  <sheetViews>
    <sheetView workbookViewId="0"/>
  </sheetViews>
  <sheetFormatPr defaultRowHeight="15" x14ac:dyDescent="0.25"/>
  <cols>
    <col min="1" max="1" width="23.85546875" bestFit="1" customWidth="1"/>
    <col min="2" max="2" width="25.85546875" bestFit="1" customWidth="1"/>
    <col min="3" max="4" width="14.28515625" bestFit="1" customWidth="1"/>
    <col min="5" max="5" width="9.7109375" bestFit="1" customWidth="1"/>
    <col min="6" max="6" width="7.5703125" bestFit="1" customWidth="1"/>
    <col min="8" max="8" width="23.28515625" bestFit="1" customWidth="1"/>
  </cols>
  <sheetData>
    <row r="1" spans="1:8" ht="15.75" thickBot="1" x14ac:dyDescent="0.3">
      <c r="A1" s="8" t="s">
        <v>9</v>
      </c>
      <c r="B1" s="9" t="s">
        <v>10</v>
      </c>
      <c r="C1" s="183" t="s">
        <v>11</v>
      </c>
      <c r="D1" s="11" t="s">
        <v>12</v>
      </c>
      <c r="E1" s="12" t="s">
        <v>13</v>
      </c>
      <c r="F1" s="11" t="s">
        <v>14</v>
      </c>
      <c r="H1" t="s">
        <v>1027</v>
      </c>
    </row>
    <row r="2" spans="1:8" ht="15.75" thickBot="1" x14ac:dyDescent="0.3">
      <c r="A2" s="14">
        <v>1</v>
      </c>
      <c r="B2" s="184" t="s">
        <v>433</v>
      </c>
      <c r="C2" s="184" t="s">
        <v>431</v>
      </c>
      <c r="D2" s="16">
        <v>1313.3752502473765</v>
      </c>
      <c r="E2" s="17">
        <v>1314.5144620222545</v>
      </c>
      <c r="F2" s="18">
        <v>1314.5144620222545</v>
      </c>
      <c r="H2" t="s">
        <v>1027</v>
      </c>
    </row>
    <row r="3" spans="1:8" ht="15.75" thickBot="1" x14ac:dyDescent="0.3">
      <c r="A3" s="19">
        <v>2</v>
      </c>
      <c r="B3" s="184" t="s">
        <v>359</v>
      </c>
      <c r="C3" s="184" t="s">
        <v>357</v>
      </c>
      <c r="D3" s="16">
        <v>1204.7223046644847</v>
      </c>
      <c r="E3" s="20">
        <v>1216.2682939252052</v>
      </c>
      <c r="F3" s="21">
        <v>1216.2682939252052</v>
      </c>
      <c r="H3" t="s">
        <v>1027</v>
      </c>
    </row>
    <row r="4" spans="1:8" ht="15.75" thickBot="1" x14ac:dyDescent="0.3">
      <c r="A4" s="19">
        <v>3</v>
      </c>
      <c r="B4" s="184" t="s">
        <v>998</v>
      </c>
      <c r="C4" s="184" t="s">
        <v>999</v>
      </c>
      <c r="D4" s="16">
        <v>1145.0627264163368</v>
      </c>
      <c r="E4" s="20">
        <v>1139.4725405231391</v>
      </c>
      <c r="F4" s="21">
        <v>1139.4725405231391</v>
      </c>
      <c r="H4" t="s">
        <v>1027</v>
      </c>
    </row>
    <row r="5" spans="1:8" ht="15.75" thickBot="1" x14ac:dyDescent="0.3">
      <c r="A5" s="19">
        <v>4</v>
      </c>
      <c r="B5" s="184" t="s">
        <v>439</v>
      </c>
      <c r="C5" s="184" t="s">
        <v>438</v>
      </c>
      <c r="D5" s="16">
        <v>1264.1177094032755</v>
      </c>
      <c r="E5" s="20">
        <v>1225.2301659580562</v>
      </c>
      <c r="F5" s="21">
        <v>1225.2301659580562</v>
      </c>
      <c r="H5" t="s">
        <v>1027</v>
      </c>
    </row>
    <row r="6" spans="1:8" ht="15.75" thickBot="1" x14ac:dyDescent="0.3">
      <c r="A6" s="19">
        <v>5</v>
      </c>
      <c r="B6" s="184" t="s">
        <v>441</v>
      </c>
      <c r="C6" s="184" t="s">
        <v>440</v>
      </c>
      <c r="D6" s="16">
        <v>1232.5518241924728</v>
      </c>
      <c r="E6" s="20">
        <v>1254.0220353337193</v>
      </c>
      <c r="F6" s="21">
        <v>1254.0220353337193</v>
      </c>
      <c r="H6" t="s">
        <v>1027</v>
      </c>
    </row>
    <row r="7" spans="1:8" ht="15.75" thickBot="1" x14ac:dyDescent="0.3">
      <c r="A7" s="19">
        <v>6</v>
      </c>
      <c r="B7" s="184" t="s">
        <v>457</v>
      </c>
      <c r="C7" s="184" t="s">
        <v>456</v>
      </c>
      <c r="D7" s="16">
        <v>1130.0726847488152</v>
      </c>
      <c r="E7" s="20">
        <v>1124.1168813812924</v>
      </c>
      <c r="F7" s="21">
        <v>1124.1168813812924</v>
      </c>
      <c r="H7" t="s">
        <v>1027</v>
      </c>
    </row>
    <row r="8" spans="1:8" ht="15.75" thickBot="1" x14ac:dyDescent="0.3">
      <c r="A8" s="19">
        <v>7</v>
      </c>
      <c r="B8" s="184" t="s">
        <v>533</v>
      </c>
      <c r="C8" s="184" t="s">
        <v>532</v>
      </c>
      <c r="D8" s="16">
        <v>1262.211631667539</v>
      </c>
      <c r="E8" s="20">
        <v>1278.4897521966338</v>
      </c>
      <c r="F8" s="21">
        <v>1278.4897521966338</v>
      </c>
      <c r="H8" t="s">
        <v>1027</v>
      </c>
    </row>
    <row r="9" spans="1:8" ht="15.75" thickBot="1" x14ac:dyDescent="0.3">
      <c r="A9" s="19">
        <v>8</v>
      </c>
      <c r="B9" s="179"/>
      <c r="C9" s="179"/>
      <c r="D9" s="16"/>
      <c r="E9" s="20"/>
      <c r="F9" s="21"/>
      <c r="H9" t="s">
        <v>1027</v>
      </c>
    </row>
    <row r="10" spans="1:8" ht="15.75" thickBot="1" x14ac:dyDescent="0.3">
      <c r="A10" s="19">
        <v>9</v>
      </c>
      <c r="B10" s="179"/>
      <c r="C10" s="179"/>
      <c r="D10" s="16"/>
      <c r="E10" s="20"/>
      <c r="F10" s="21"/>
      <c r="H10" t="s">
        <v>1027</v>
      </c>
    </row>
    <row r="11" spans="1:8" x14ac:dyDescent="0.25">
      <c r="A11" s="65" t="s">
        <v>115</v>
      </c>
      <c r="B11" s="63"/>
      <c r="C11" s="63"/>
      <c r="D11" s="66"/>
      <c r="E11" s="63"/>
      <c r="F11" s="63"/>
      <c r="H11" t="s">
        <v>1027</v>
      </c>
    </row>
    <row r="12" spans="1:8" x14ac:dyDescent="0.25">
      <c r="A12" s="63" t="s">
        <v>433</v>
      </c>
      <c r="B12" s="63">
        <v>1314.5144620222545</v>
      </c>
      <c r="C12" s="63"/>
      <c r="D12" s="66"/>
      <c r="E12" s="63"/>
      <c r="F12" s="63"/>
      <c r="H12" t="s">
        <v>1027</v>
      </c>
    </row>
    <row r="13" spans="1:8" x14ac:dyDescent="0.25">
      <c r="A13" s="63" t="s">
        <v>439</v>
      </c>
      <c r="B13" s="63">
        <v>1225.2301659580562</v>
      </c>
      <c r="C13" s="63"/>
      <c r="D13" s="66"/>
      <c r="E13" s="63"/>
      <c r="F13" s="63"/>
      <c r="H13" t="s">
        <v>1027</v>
      </c>
    </row>
    <row r="14" spans="1:8" x14ac:dyDescent="0.25">
      <c r="A14" s="63" t="s">
        <v>441</v>
      </c>
      <c r="B14" s="63">
        <v>1254.0220353337193</v>
      </c>
      <c r="C14" s="63"/>
      <c r="D14" s="66"/>
      <c r="E14" s="63"/>
      <c r="F14" s="63"/>
      <c r="H14" t="s">
        <v>1027</v>
      </c>
    </row>
    <row r="15" spans="1:8" x14ac:dyDescent="0.25">
      <c r="A15" s="63" t="s">
        <v>533</v>
      </c>
      <c r="B15" s="63">
        <v>1278.4897521966338</v>
      </c>
      <c r="C15" s="63"/>
      <c r="D15" s="66"/>
      <c r="E15" s="63"/>
      <c r="F15" s="63"/>
      <c r="H15" t="s">
        <v>1027</v>
      </c>
    </row>
    <row r="16" spans="1:8" ht="15.75" thickBot="1" x14ac:dyDescent="0.3">
      <c r="A16" s="63" t="e">
        <v>#REF!</v>
      </c>
      <c r="B16" s="63" t="e">
        <v>#REF!</v>
      </c>
      <c r="C16" s="63"/>
      <c r="D16" s="66"/>
      <c r="E16" s="63"/>
      <c r="F16" s="63"/>
      <c r="H16" t="s">
        <v>1027</v>
      </c>
    </row>
    <row r="17" spans="1:8" ht="15.75" thickBot="1" x14ac:dyDescent="0.3">
      <c r="A17" s="8" t="s">
        <v>9</v>
      </c>
      <c r="B17" s="9" t="s">
        <v>10</v>
      </c>
      <c r="C17" s="183" t="s">
        <v>11</v>
      </c>
      <c r="D17" s="11" t="s">
        <v>12</v>
      </c>
      <c r="E17" s="12" t="s">
        <v>13</v>
      </c>
      <c r="F17" s="11" t="s">
        <v>14</v>
      </c>
      <c r="H17" t="s">
        <v>1028</v>
      </c>
    </row>
    <row r="18" spans="1:8" ht="15.75" thickBot="1" x14ac:dyDescent="0.3">
      <c r="A18" s="14">
        <v>1</v>
      </c>
      <c r="B18" s="184" t="s">
        <v>433</v>
      </c>
      <c r="C18" s="184" t="s">
        <v>431</v>
      </c>
      <c r="D18" s="16">
        <v>1274.9503770355423</v>
      </c>
      <c r="E18" s="17">
        <v>1313.3752502473765</v>
      </c>
      <c r="F18" s="18">
        <v>1313.3752502473765</v>
      </c>
      <c r="H18" t="s">
        <v>1028</v>
      </c>
    </row>
    <row r="19" spans="1:8" ht="15.75" thickBot="1" x14ac:dyDescent="0.3">
      <c r="A19" s="19">
        <v>2</v>
      </c>
      <c r="B19" s="184" t="s">
        <v>441</v>
      </c>
      <c r="C19" s="184" t="s">
        <v>440</v>
      </c>
      <c r="D19" s="16">
        <v>1238.5911205484977</v>
      </c>
      <c r="E19" s="20">
        <v>1232.5518241924728</v>
      </c>
      <c r="F19" s="21">
        <v>1232.5518241924728</v>
      </c>
      <c r="H19" t="s">
        <v>1028</v>
      </c>
    </row>
    <row r="20" spans="1:8" ht="15.75" thickBot="1" x14ac:dyDescent="0.3">
      <c r="A20" s="19">
        <v>3</v>
      </c>
      <c r="B20" s="184" t="s">
        <v>998</v>
      </c>
      <c r="C20" s="184" t="s">
        <v>999</v>
      </c>
      <c r="D20" s="16">
        <v>1200</v>
      </c>
      <c r="E20" s="20">
        <v>1145.0627264163368</v>
      </c>
      <c r="F20" s="21">
        <v>1145.0627264163368</v>
      </c>
      <c r="H20" t="s">
        <v>1028</v>
      </c>
    </row>
    <row r="21" spans="1:8" ht="15.75" thickBot="1" x14ac:dyDescent="0.3">
      <c r="A21" s="19">
        <v>4</v>
      </c>
      <c r="B21" s="184" t="s">
        <v>533</v>
      </c>
      <c r="C21" s="184" t="s">
        <v>532</v>
      </c>
      <c r="D21" s="16">
        <v>1251.7655011857189</v>
      </c>
      <c r="E21" s="20">
        <v>1262.211631667539</v>
      </c>
      <c r="F21" s="21">
        <v>1262.211631667539</v>
      </c>
      <c r="H21" t="s">
        <v>1028</v>
      </c>
    </row>
    <row r="22" spans="1:8" ht="15.75" thickBot="1" x14ac:dyDescent="0.3">
      <c r="A22" s="19">
        <v>5</v>
      </c>
      <c r="B22" s="184" t="s">
        <v>359</v>
      </c>
      <c r="C22" s="184" t="s">
        <v>357</v>
      </c>
      <c r="D22" s="16">
        <v>1217.5505615019474</v>
      </c>
      <c r="E22" s="20">
        <v>1204.7223046644847</v>
      </c>
      <c r="F22" s="21">
        <v>1204.7223046644847</v>
      </c>
      <c r="H22" t="s">
        <v>1028</v>
      </c>
    </row>
    <row r="23" spans="1:8" ht="15.75" thickBot="1" x14ac:dyDescent="0.3">
      <c r="A23" s="19">
        <v>6</v>
      </c>
      <c r="B23" s="184" t="s">
        <v>439</v>
      </c>
      <c r="C23" s="184" t="s">
        <v>438</v>
      </c>
      <c r="D23" s="16">
        <v>1203.1411394635875</v>
      </c>
      <c r="E23" s="20">
        <v>1264.1177094032755</v>
      </c>
      <c r="F23" s="21">
        <v>1264.1177094032755</v>
      </c>
      <c r="H23" t="s">
        <v>1028</v>
      </c>
    </row>
    <row r="24" spans="1:8" ht="15.75" thickBot="1" x14ac:dyDescent="0.3">
      <c r="A24" s="19">
        <v>7</v>
      </c>
      <c r="B24" s="184" t="s">
        <v>457</v>
      </c>
      <c r="C24" s="184" t="s">
        <v>456</v>
      </c>
      <c r="D24" s="16">
        <v>1166.1154316050067</v>
      </c>
      <c r="E24" s="20">
        <v>1130.0726847488152</v>
      </c>
      <c r="F24" s="21">
        <v>1130.0726847488152</v>
      </c>
      <c r="H24" t="s">
        <v>1028</v>
      </c>
    </row>
    <row r="25" spans="1:8" ht="15.75" thickBot="1" x14ac:dyDescent="0.3">
      <c r="A25" s="19">
        <v>8</v>
      </c>
      <c r="B25" s="179"/>
      <c r="C25" s="179"/>
      <c r="D25" s="16"/>
      <c r="E25" s="20"/>
      <c r="F25" s="21"/>
      <c r="H25" t="s">
        <v>1028</v>
      </c>
    </row>
    <row r="26" spans="1:8" ht="15.75" thickBot="1" x14ac:dyDescent="0.3">
      <c r="A26" s="19">
        <v>9</v>
      </c>
      <c r="B26" s="179"/>
      <c r="C26" s="179"/>
      <c r="D26" s="16"/>
      <c r="E26" s="20"/>
      <c r="F26" s="21"/>
      <c r="H26" t="s">
        <v>1028</v>
      </c>
    </row>
    <row r="27" spans="1:8" x14ac:dyDescent="0.25">
      <c r="A27" s="185">
        <v>10</v>
      </c>
      <c r="B27" s="186" t="s">
        <v>1000</v>
      </c>
      <c r="C27" s="187" t="s">
        <v>1001</v>
      </c>
      <c r="D27" s="4"/>
      <c r="E27" s="4"/>
      <c r="F27" s="4"/>
      <c r="H27" t="s">
        <v>1028</v>
      </c>
    </row>
    <row r="28" spans="1:8" x14ac:dyDescent="0.25">
      <c r="A28" s="185">
        <v>11</v>
      </c>
      <c r="B28" s="186" t="s">
        <v>1002</v>
      </c>
      <c r="C28" s="187" t="s">
        <v>1003</v>
      </c>
      <c r="D28" s="4"/>
      <c r="E28" s="4"/>
      <c r="F28" s="4"/>
      <c r="H28" t="s">
        <v>1028</v>
      </c>
    </row>
    <row r="29" spans="1:8" x14ac:dyDescent="0.25">
      <c r="A29" s="185">
        <v>12</v>
      </c>
      <c r="B29" s="186" t="s">
        <v>1004</v>
      </c>
      <c r="C29" s="187" t="s">
        <v>1005</v>
      </c>
      <c r="D29" s="4"/>
      <c r="E29" s="4"/>
      <c r="F29" s="4"/>
      <c r="H29" t="s">
        <v>1028</v>
      </c>
    </row>
    <row r="30" spans="1:8" x14ac:dyDescent="0.25">
      <c r="A30" s="185">
        <v>13</v>
      </c>
      <c r="B30" s="186" t="s">
        <v>1006</v>
      </c>
      <c r="C30" s="187" t="s">
        <v>1007</v>
      </c>
      <c r="D30" s="4"/>
      <c r="E30" s="4"/>
      <c r="F30" s="4"/>
      <c r="H30" t="s">
        <v>1028</v>
      </c>
    </row>
    <row r="31" spans="1:8" x14ac:dyDescent="0.25">
      <c r="A31" s="185">
        <v>14</v>
      </c>
      <c r="B31" s="186" t="s">
        <v>1008</v>
      </c>
      <c r="C31" s="187" t="s">
        <v>1009</v>
      </c>
      <c r="D31" s="4"/>
      <c r="E31" s="4"/>
      <c r="F31" s="4"/>
      <c r="H31" t="s">
        <v>1028</v>
      </c>
    </row>
    <row r="32" spans="1:8" x14ac:dyDescent="0.25">
      <c r="A32" s="185">
        <v>15</v>
      </c>
      <c r="B32" s="186" t="s">
        <v>1010</v>
      </c>
      <c r="C32" s="187" t="s">
        <v>1011</v>
      </c>
      <c r="D32" s="4"/>
      <c r="E32" s="4"/>
      <c r="F32" s="4"/>
      <c r="H32" t="s">
        <v>1028</v>
      </c>
    </row>
    <row r="33" spans="1:8" x14ac:dyDescent="0.25">
      <c r="A33" s="185">
        <v>16</v>
      </c>
      <c r="B33" s="186" t="s">
        <v>1012</v>
      </c>
      <c r="C33" s="187" t="s">
        <v>1013</v>
      </c>
      <c r="D33" s="4"/>
      <c r="E33" s="4"/>
      <c r="F33" s="4"/>
      <c r="H33" t="s">
        <v>1028</v>
      </c>
    </row>
    <row r="34" spans="1:8" x14ac:dyDescent="0.25">
      <c r="A34" s="65" t="s">
        <v>115</v>
      </c>
      <c r="B34" s="63"/>
      <c r="C34" s="63"/>
      <c r="D34" s="66"/>
      <c r="E34" s="63"/>
      <c r="F34" s="63"/>
      <c r="H34" t="s">
        <v>1028</v>
      </c>
    </row>
    <row r="35" spans="1:8" x14ac:dyDescent="0.25">
      <c r="A35" s="63" t="s">
        <v>433</v>
      </c>
      <c r="B35" s="63">
        <v>1313.3752502473765</v>
      </c>
      <c r="C35" s="63"/>
      <c r="D35" s="66"/>
      <c r="E35" s="63"/>
      <c r="F35" s="63"/>
      <c r="H35" t="s">
        <v>1028</v>
      </c>
    </row>
    <row r="36" spans="1:8" x14ac:dyDescent="0.25">
      <c r="A36" s="63" t="s">
        <v>533</v>
      </c>
      <c r="B36" s="63">
        <v>1262.211631667539</v>
      </c>
      <c r="C36" s="63"/>
      <c r="D36" s="66"/>
      <c r="E36" s="63"/>
      <c r="F36" s="63"/>
      <c r="H36" t="s">
        <v>1028</v>
      </c>
    </row>
    <row r="37" spans="1:8" x14ac:dyDescent="0.25">
      <c r="A37" s="63" t="s">
        <v>359</v>
      </c>
      <c r="B37" s="63">
        <v>1204.7223046644847</v>
      </c>
      <c r="C37" s="63"/>
      <c r="D37" s="66"/>
      <c r="E37" s="63"/>
      <c r="F37" s="63"/>
      <c r="H37" t="s">
        <v>1028</v>
      </c>
    </row>
    <row r="38" spans="1:8" x14ac:dyDescent="0.25">
      <c r="A38" s="63" t="s">
        <v>457</v>
      </c>
      <c r="B38" s="63">
        <v>1130.0726847488152</v>
      </c>
      <c r="C38" s="63"/>
      <c r="D38" s="66"/>
      <c r="E38" s="63"/>
      <c r="F38" s="63"/>
      <c r="H38" t="s">
        <v>1028</v>
      </c>
    </row>
    <row r="39" spans="1:8" ht="15.75" thickBot="1" x14ac:dyDescent="0.3">
      <c r="A39" s="63">
        <v>0</v>
      </c>
      <c r="B39" s="63" t="e">
        <v>#N/A</v>
      </c>
      <c r="C39" s="63"/>
      <c r="D39" s="66"/>
      <c r="E39" s="63"/>
      <c r="F39" s="63"/>
      <c r="H39" t="s">
        <v>1028</v>
      </c>
    </row>
    <row r="40" spans="1:8" ht="15.75" thickBot="1" x14ac:dyDescent="0.3">
      <c r="A40" s="8" t="s">
        <v>9</v>
      </c>
      <c r="B40" s="9" t="s">
        <v>10</v>
      </c>
      <c r="C40" s="183" t="s">
        <v>11</v>
      </c>
      <c r="D40" s="11" t="s">
        <v>12</v>
      </c>
      <c r="E40" s="12" t="s">
        <v>13</v>
      </c>
      <c r="F40" s="11" t="s">
        <v>14</v>
      </c>
      <c r="H40" t="s">
        <v>1029</v>
      </c>
    </row>
    <row r="41" spans="1:8" ht="15.75" thickBot="1" x14ac:dyDescent="0.3">
      <c r="A41" s="14">
        <v>1</v>
      </c>
      <c r="B41" s="184" t="s">
        <v>443</v>
      </c>
      <c r="C41" s="184" t="s">
        <v>442</v>
      </c>
      <c r="D41" s="16">
        <v>1133.6105278384805</v>
      </c>
      <c r="E41" s="17">
        <v>1156.9377403644455</v>
      </c>
      <c r="F41" s="18">
        <v>1156.9377403644455</v>
      </c>
      <c r="H41" t="s">
        <v>1029</v>
      </c>
    </row>
    <row r="42" spans="1:8" ht="15.75" thickBot="1" x14ac:dyDescent="0.3">
      <c r="A42" s="19">
        <v>2</v>
      </c>
      <c r="B42" s="184" t="s">
        <v>445</v>
      </c>
      <c r="C42" s="184" t="s">
        <v>444</v>
      </c>
      <c r="D42" s="16">
        <v>1178.4467378847983</v>
      </c>
      <c r="E42" s="20">
        <v>1190.2613111223468</v>
      </c>
      <c r="F42" s="21">
        <v>1190.2613111223468</v>
      </c>
      <c r="H42" t="s">
        <v>1029</v>
      </c>
    </row>
    <row r="43" spans="1:8" ht="15.75" thickBot="1" x14ac:dyDescent="0.3">
      <c r="A43" s="19">
        <v>3</v>
      </c>
      <c r="B43" s="184" t="s">
        <v>435</v>
      </c>
      <c r="C43" s="184" t="s">
        <v>434</v>
      </c>
      <c r="D43" s="16">
        <v>1143.4462769415238</v>
      </c>
      <c r="E43" s="20">
        <v>1129.3970315328922</v>
      </c>
      <c r="F43" s="21">
        <v>1129.3970315328922</v>
      </c>
      <c r="H43" t="s">
        <v>1029</v>
      </c>
    </row>
    <row r="44" spans="1:8" ht="15.75" thickBot="1" x14ac:dyDescent="0.3">
      <c r="A44" s="19">
        <v>4</v>
      </c>
      <c r="B44" s="184" t="s">
        <v>459</v>
      </c>
      <c r="C44" s="184" t="s">
        <v>458</v>
      </c>
      <c r="D44" s="16">
        <v>1211.4389130921036</v>
      </c>
      <c r="E44" s="20">
        <v>1160.1293279867637</v>
      </c>
      <c r="F44" s="21">
        <v>1160.1293279867637</v>
      </c>
      <c r="H44" t="s">
        <v>1029</v>
      </c>
    </row>
    <row r="45" spans="1:8" ht="15.75" thickBot="1" x14ac:dyDescent="0.3">
      <c r="A45" s="19">
        <v>5</v>
      </c>
      <c r="B45" s="184" t="s">
        <v>967</v>
      </c>
      <c r="C45" s="184" t="s">
        <v>966</v>
      </c>
      <c r="D45" s="16">
        <v>1162.3788236220796</v>
      </c>
      <c r="E45" s="20">
        <v>1164.7076277056995</v>
      </c>
      <c r="F45" s="21">
        <v>1164.7076277056995</v>
      </c>
      <c r="H45" t="s">
        <v>1029</v>
      </c>
    </row>
    <row r="46" spans="1:8" ht="15.75" thickBot="1" x14ac:dyDescent="0.3">
      <c r="A46" s="19">
        <v>6</v>
      </c>
      <c r="B46" s="184" t="s">
        <v>447</v>
      </c>
      <c r="C46" s="184" t="s">
        <v>446</v>
      </c>
      <c r="D46" s="16">
        <v>1149.1012907267443</v>
      </c>
      <c r="E46" s="20">
        <v>1104.9764908703403</v>
      </c>
      <c r="F46" s="21">
        <v>1104.9764908703403</v>
      </c>
      <c r="H46" t="s">
        <v>1029</v>
      </c>
    </row>
    <row r="47" spans="1:8" ht="15.75" thickBot="1" x14ac:dyDescent="0.3">
      <c r="A47" s="19">
        <v>7</v>
      </c>
      <c r="B47" s="184" t="s">
        <v>452</v>
      </c>
      <c r="C47" s="184" t="s">
        <v>451</v>
      </c>
      <c r="D47" s="16">
        <v>1147.2863075642813</v>
      </c>
      <c r="E47" s="20">
        <v>1193.6457795917684</v>
      </c>
      <c r="F47" s="21">
        <v>1193.6457795917684</v>
      </c>
      <c r="H47" t="s">
        <v>1029</v>
      </c>
    </row>
    <row r="48" spans="1:8" ht="15.75" thickBot="1" x14ac:dyDescent="0.3">
      <c r="A48" s="19">
        <v>8</v>
      </c>
      <c r="B48" s="184" t="s">
        <v>437</v>
      </c>
      <c r="C48" s="184" t="s">
        <v>436</v>
      </c>
      <c r="D48" s="16">
        <v>1212.2197750275632</v>
      </c>
      <c r="E48" s="20">
        <v>1237.8733435233182</v>
      </c>
      <c r="F48" s="21">
        <v>1237.8733435233182</v>
      </c>
      <c r="H48" t="s">
        <v>1029</v>
      </c>
    </row>
    <row r="49" spans="1:8" ht="15.75" thickBot="1" x14ac:dyDescent="0.3">
      <c r="A49" s="19">
        <v>9</v>
      </c>
      <c r="B49" s="179"/>
      <c r="C49" s="179"/>
      <c r="D49" s="16"/>
      <c r="E49" s="20"/>
      <c r="F49" s="21"/>
      <c r="H49" t="s">
        <v>1029</v>
      </c>
    </row>
    <row r="50" spans="1:8" x14ac:dyDescent="0.25">
      <c r="A50" s="65" t="s">
        <v>115</v>
      </c>
      <c r="B50" s="63"/>
      <c r="C50" s="63"/>
      <c r="D50" s="66"/>
      <c r="E50" s="63"/>
      <c r="F50" s="63"/>
      <c r="H50" t="s">
        <v>1029</v>
      </c>
    </row>
    <row r="51" spans="1:8" x14ac:dyDescent="0.25">
      <c r="A51" s="63" t="s">
        <v>443</v>
      </c>
      <c r="B51" s="63">
        <v>1156.9377403644455</v>
      </c>
      <c r="C51" s="63"/>
      <c r="D51" s="66"/>
      <c r="E51" s="63"/>
      <c r="F51" s="63"/>
      <c r="H51" t="s">
        <v>1029</v>
      </c>
    </row>
    <row r="52" spans="1:8" x14ac:dyDescent="0.25">
      <c r="A52" s="63" t="s">
        <v>459</v>
      </c>
      <c r="B52" s="63">
        <v>1160.1293279867637</v>
      </c>
      <c r="C52" s="63"/>
      <c r="D52" s="66"/>
      <c r="E52" s="63"/>
      <c r="F52" s="63"/>
      <c r="H52" t="s">
        <v>1029</v>
      </c>
    </row>
    <row r="53" spans="1:8" x14ac:dyDescent="0.25">
      <c r="A53" s="63" t="s">
        <v>967</v>
      </c>
      <c r="B53" s="63">
        <v>1164.7076277056995</v>
      </c>
      <c r="C53" s="63"/>
      <c r="D53" s="66"/>
      <c r="E53" s="63"/>
      <c r="F53" s="63"/>
      <c r="H53" t="s">
        <v>1029</v>
      </c>
    </row>
    <row r="54" spans="1:8" x14ac:dyDescent="0.25">
      <c r="A54" s="63" t="s">
        <v>437</v>
      </c>
      <c r="B54" s="63">
        <v>1237.8733435233182</v>
      </c>
      <c r="C54" s="63"/>
      <c r="D54" s="66"/>
      <c r="E54" s="63"/>
      <c r="F54" s="63"/>
      <c r="H54" t="s">
        <v>1029</v>
      </c>
    </row>
    <row r="55" spans="1:8" ht="15.75" thickBot="1" x14ac:dyDescent="0.3">
      <c r="A55" s="63" t="e">
        <v>#REF!</v>
      </c>
      <c r="B55" s="63" t="e">
        <v>#REF!</v>
      </c>
      <c r="C55" s="63"/>
      <c r="D55" s="66"/>
      <c r="E55" s="63"/>
      <c r="F55" s="63"/>
      <c r="H55" t="s">
        <v>1029</v>
      </c>
    </row>
    <row r="56" spans="1:8" ht="15.75" thickBot="1" x14ac:dyDescent="0.3">
      <c r="A56" s="8" t="s">
        <v>9</v>
      </c>
      <c r="B56" s="9" t="s">
        <v>10</v>
      </c>
      <c r="C56" s="183" t="s">
        <v>11</v>
      </c>
      <c r="D56" s="11" t="s">
        <v>12</v>
      </c>
      <c r="E56" s="12" t="s">
        <v>13</v>
      </c>
      <c r="F56" s="11" t="s">
        <v>14</v>
      </c>
      <c r="H56" t="s">
        <v>1030</v>
      </c>
    </row>
    <row r="57" spans="1:8" ht="15.75" thickBot="1" x14ac:dyDescent="0.3">
      <c r="A57" s="14">
        <v>1</v>
      </c>
      <c r="B57" s="184" t="s">
        <v>437</v>
      </c>
      <c r="C57" s="184" t="s">
        <v>436</v>
      </c>
      <c r="D57" s="16">
        <v>1202.1576214335375</v>
      </c>
      <c r="E57" s="17">
        <v>1212.2197750275632</v>
      </c>
      <c r="F57" s="18">
        <v>1212.2197750275632</v>
      </c>
      <c r="H57" t="s">
        <v>1030</v>
      </c>
    </row>
    <row r="58" spans="1:8" ht="15.75" thickBot="1" x14ac:dyDescent="0.3">
      <c r="A58" s="19">
        <v>2</v>
      </c>
      <c r="B58" s="184" t="s">
        <v>447</v>
      </c>
      <c r="C58" s="184" t="s">
        <v>446</v>
      </c>
      <c r="D58" s="16">
        <v>1200</v>
      </c>
      <c r="E58" s="20">
        <v>1149.1012907267443</v>
      </c>
      <c r="F58" s="21">
        <v>1149.1012907267443</v>
      </c>
      <c r="H58" t="s">
        <v>1030</v>
      </c>
    </row>
    <row r="59" spans="1:8" ht="15.75" thickBot="1" x14ac:dyDescent="0.3">
      <c r="A59" s="19">
        <v>3</v>
      </c>
      <c r="B59" s="184" t="s">
        <v>459</v>
      </c>
      <c r="C59" s="184" t="s">
        <v>458</v>
      </c>
      <c r="D59" s="16">
        <v>1166.3348618337313</v>
      </c>
      <c r="E59" s="20">
        <v>1211.4389130921036</v>
      </c>
      <c r="F59" s="21">
        <v>1211.4389130921036</v>
      </c>
      <c r="H59" t="s">
        <v>1030</v>
      </c>
    </row>
    <row r="60" spans="1:8" ht="15.75" thickBot="1" x14ac:dyDescent="0.3">
      <c r="A60" s="19">
        <v>4</v>
      </c>
      <c r="B60" s="184" t="s">
        <v>445</v>
      </c>
      <c r="C60" s="184" t="s">
        <v>444</v>
      </c>
      <c r="D60" s="16">
        <v>1200</v>
      </c>
      <c r="E60" s="20">
        <v>1178.4467378847983</v>
      </c>
      <c r="F60" s="21">
        <v>1178.4467378847983</v>
      </c>
      <c r="H60" t="s">
        <v>1030</v>
      </c>
    </row>
    <row r="61" spans="1:8" ht="15.75" thickBot="1" x14ac:dyDescent="0.3">
      <c r="A61" s="19">
        <v>5</v>
      </c>
      <c r="B61" s="184" t="s">
        <v>443</v>
      </c>
      <c r="C61" s="184" t="s">
        <v>442</v>
      </c>
      <c r="D61" s="16">
        <v>1110.6532770275439</v>
      </c>
      <c r="E61" s="20">
        <v>1133.6105278384805</v>
      </c>
      <c r="F61" s="21">
        <v>1133.6105278384805</v>
      </c>
      <c r="H61" t="s">
        <v>1030</v>
      </c>
    </row>
    <row r="62" spans="1:8" ht="15.75" thickBot="1" x14ac:dyDescent="0.3">
      <c r="A62" s="19">
        <v>6</v>
      </c>
      <c r="B62" s="184" t="s">
        <v>435</v>
      </c>
      <c r="C62" s="184" t="s">
        <v>434</v>
      </c>
      <c r="D62" s="16">
        <v>1157.9314597187015</v>
      </c>
      <c r="E62" s="20">
        <v>1143.4462769415238</v>
      </c>
      <c r="F62" s="21">
        <v>1143.4462769415238</v>
      </c>
      <c r="H62" t="s">
        <v>1030</v>
      </c>
    </row>
    <row r="63" spans="1:8" ht="15.75" thickBot="1" x14ac:dyDescent="0.3">
      <c r="A63" s="19">
        <v>7</v>
      </c>
      <c r="B63" s="184" t="s">
        <v>967</v>
      </c>
      <c r="C63" s="184" t="s">
        <v>966</v>
      </c>
      <c r="D63" s="16">
        <v>1142.0989828300185</v>
      </c>
      <c r="E63" s="20">
        <v>1162.3788236220796</v>
      </c>
      <c r="F63" s="21">
        <v>1162.3788236220796</v>
      </c>
      <c r="H63" t="s">
        <v>1030</v>
      </c>
    </row>
    <row r="64" spans="1:8" ht="15.75" thickBot="1" x14ac:dyDescent="0.3">
      <c r="A64" s="19">
        <v>8</v>
      </c>
      <c r="B64" s="184" t="s">
        <v>452</v>
      </c>
      <c r="C64" s="184" t="s">
        <v>451</v>
      </c>
      <c r="D64" s="16">
        <v>1158.7524498540417</v>
      </c>
      <c r="E64" s="20">
        <v>1147.2863075642813</v>
      </c>
      <c r="F64" s="21">
        <v>1147.2863075642813</v>
      </c>
      <c r="H64" t="s">
        <v>1030</v>
      </c>
    </row>
    <row r="65" spans="1:8" ht="15.75" thickBot="1" x14ac:dyDescent="0.3">
      <c r="A65" s="19">
        <v>9</v>
      </c>
      <c r="B65" s="179"/>
      <c r="C65" s="179"/>
      <c r="D65" s="16"/>
      <c r="E65" s="20"/>
      <c r="F65" s="21"/>
      <c r="H65" t="s">
        <v>1030</v>
      </c>
    </row>
    <row r="66" spans="1:8" x14ac:dyDescent="0.25">
      <c r="A66" s="185">
        <v>10</v>
      </c>
      <c r="B66" s="186" t="s">
        <v>1000</v>
      </c>
      <c r="C66" s="187" t="s">
        <v>1001</v>
      </c>
      <c r="D66" s="4"/>
      <c r="E66" s="4"/>
      <c r="F66" s="4"/>
      <c r="H66" t="s">
        <v>1030</v>
      </c>
    </row>
    <row r="67" spans="1:8" x14ac:dyDescent="0.25">
      <c r="A67" s="185">
        <v>11</v>
      </c>
      <c r="B67" s="186" t="s">
        <v>1002</v>
      </c>
      <c r="C67" s="187" t="s">
        <v>1003</v>
      </c>
      <c r="D67" s="4"/>
      <c r="E67" s="4"/>
      <c r="F67" s="4"/>
      <c r="H67" t="s">
        <v>1030</v>
      </c>
    </row>
    <row r="68" spans="1:8" x14ac:dyDescent="0.25">
      <c r="A68" s="185">
        <v>12</v>
      </c>
      <c r="B68" s="186" t="s">
        <v>1004</v>
      </c>
      <c r="C68" s="187" t="s">
        <v>1005</v>
      </c>
      <c r="D68" s="4"/>
      <c r="E68" s="4"/>
      <c r="F68" s="4"/>
      <c r="H68" t="s">
        <v>1030</v>
      </c>
    </row>
    <row r="69" spans="1:8" x14ac:dyDescent="0.25">
      <c r="A69" s="185">
        <v>13</v>
      </c>
      <c r="B69" s="186" t="s">
        <v>1006</v>
      </c>
      <c r="C69" s="187" t="s">
        <v>1007</v>
      </c>
      <c r="D69" s="4"/>
      <c r="E69" s="4"/>
      <c r="F69" s="4"/>
      <c r="H69" t="s">
        <v>1030</v>
      </c>
    </row>
    <row r="70" spans="1:8" x14ac:dyDescent="0.25">
      <c r="A70" s="185">
        <v>14</v>
      </c>
      <c r="B70" s="186" t="s">
        <v>1008</v>
      </c>
      <c r="C70" s="187" t="s">
        <v>1009</v>
      </c>
      <c r="D70" s="4"/>
      <c r="E70" s="4"/>
      <c r="F70" s="4"/>
      <c r="H70" t="s">
        <v>1030</v>
      </c>
    </row>
    <row r="71" spans="1:8" x14ac:dyDescent="0.25">
      <c r="A71" s="185">
        <v>15</v>
      </c>
      <c r="B71" s="186" t="s">
        <v>1010</v>
      </c>
      <c r="C71" s="187" t="s">
        <v>1011</v>
      </c>
      <c r="D71" s="4"/>
      <c r="E71" s="4"/>
      <c r="F71" s="4"/>
      <c r="H71" t="s">
        <v>1030</v>
      </c>
    </row>
    <row r="72" spans="1:8" x14ac:dyDescent="0.25">
      <c r="A72" s="185">
        <v>16</v>
      </c>
      <c r="B72" s="186" t="s">
        <v>1012</v>
      </c>
      <c r="C72" s="187" t="s">
        <v>1013</v>
      </c>
      <c r="D72" s="4"/>
      <c r="E72" s="4"/>
      <c r="F72" s="4"/>
      <c r="H72" t="s">
        <v>1030</v>
      </c>
    </row>
    <row r="73" spans="1:8" x14ac:dyDescent="0.25">
      <c r="A73" s="65" t="s">
        <v>115</v>
      </c>
      <c r="B73" s="63"/>
      <c r="C73" s="63"/>
      <c r="D73" s="66"/>
      <c r="E73" s="63"/>
      <c r="F73" s="63"/>
      <c r="H73" t="s">
        <v>1030</v>
      </c>
    </row>
    <row r="74" spans="1:8" x14ac:dyDescent="0.25">
      <c r="A74" s="63" t="s">
        <v>437</v>
      </c>
      <c r="B74" s="63">
        <v>1212.2197750275632</v>
      </c>
      <c r="C74" s="63"/>
      <c r="D74" s="66"/>
      <c r="E74" s="63"/>
      <c r="F74" s="63"/>
      <c r="H74" t="s">
        <v>1030</v>
      </c>
    </row>
    <row r="75" spans="1:8" x14ac:dyDescent="0.25">
      <c r="A75" s="63" t="s">
        <v>445</v>
      </c>
      <c r="B75" s="63">
        <v>1178.4467378847983</v>
      </c>
      <c r="C75" s="63"/>
      <c r="D75" s="66"/>
      <c r="E75" s="63"/>
      <c r="F75" s="63"/>
      <c r="H75" t="s">
        <v>1030</v>
      </c>
    </row>
    <row r="76" spans="1:8" x14ac:dyDescent="0.25">
      <c r="A76" s="63" t="s">
        <v>443</v>
      </c>
      <c r="B76" s="63">
        <v>1133.6105278384805</v>
      </c>
      <c r="C76" s="63"/>
      <c r="D76" s="66"/>
      <c r="E76" s="63"/>
      <c r="F76" s="63"/>
      <c r="H76" t="s">
        <v>1030</v>
      </c>
    </row>
    <row r="77" spans="1:8" x14ac:dyDescent="0.25">
      <c r="A77" s="63" t="s">
        <v>452</v>
      </c>
      <c r="B77" s="63">
        <v>1147.2863075642813</v>
      </c>
      <c r="C77" s="63"/>
      <c r="D77" s="66"/>
      <c r="E77" s="63"/>
      <c r="F77" s="63"/>
      <c r="H77" t="s">
        <v>1030</v>
      </c>
    </row>
    <row r="78" spans="1:8" ht="15.75" thickBot="1" x14ac:dyDescent="0.3">
      <c r="A78" s="63">
        <v>0</v>
      </c>
      <c r="B78" s="63" t="e">
        <v>#N/A</v>
      </c>
      <c r="C78" s="63"/>
      <c r="D78" s="66"/>
      <c r="E78" s="63"/>
      <c r="F78" s="63"/>
      <c r="H78" t="s">
        <v>1030</v>
      </c>
    </row>
    <row r="79" spans="1:8" ht="15.75" thickBot="1" x14ac:dyDescent="0.3">
      <c r="A79" s="8" t="s">
        <v>9</v>
      </c>
      <c r="B79" s="9" t="s">
        <v>10</v>
      </c>
      <c r="C79" s="10" t="s">
        <v>11</v>
      </c>
      <c r="D79" s="11" t="s">
        <v>12</v>
      </c>
      <c r="E79" s="12" t="s">
        <v>13</v>
      </c>
      <c r="F79" s="11" t="s">
        <v>14</v>
      </c>
      <c r="H79" t="s">
        <v>1031</v>
      </c>
    </row>
    <row r="80" spans="1:8" ht="15.75" thickBot="1" x14ac:dyDescent="0.3">
      <c r="A80" s="14">
        <v>1</v>
      </c>
      <c r="B80" s="145" t="s">
        <v>201</v>
      </c>
      <c r="C80" s="145" t="s">
        <v>202</v>
      </c>
      <c r="D80" s="16">
        <v>1545.8627202771247</v>
      </c>
      <c r="E80" s="17">
        <v>1456.6511937127591</v>
      </c>
      <c r="F80" s="18">
        <v>1445.0590104301564</v>
      </c>
      <c r="H80" t="s">
        <v>1031</v>
      </c>
    </row>
    <row r="81" spans="1:8" ht="15.75" thickBot="1" x14ac:dyDescent="0.3">
      <c r="A81" s="19">
        <v>2</v>
      </c>
      <c r="B81" s="146" t="s">
        <v>203</v>
      </c>
      <c r="C81" s="146" t="s">
        <v>204</v>
      </c>
      <c r="D81" s="16">
        <v>1475.1822078119806</v>
      </c>
      <c r="E81" s="20">
        <v>1401.235994520837</v>
      </c>
      <c r="F81" s="21">
        <v>1401.235994520837</v>
      </c>
      <c r="H81" t="s">
        <v>1031</v>
      </c>
    </row>
    <row r="82" spans="1:8" ht="15.75" thickBot="1" x14ac:dyDescent="0.3">
      <c r="A82" s="19">
        <v>3</v>
      </c>
      <c r="B82" s="15" t="s">
        <v>205</v>
      </c>
      <c r="C82" s="15" t="s">
        <v>206</v>
      </c>
      <c r="D82" s="16">
        <v>1456.291164140775</v>
      </c>
      <c r="E82" s="20">
        <v>1528.0189022825616</v>
      </c>
      <c r="F82" s="21">
        <v>1541.7446072243681</v>
      </c>
      <c r="H82" t="s">
        <v>1031</v>
      </c>
    </row>
    <row r="83" spans="1:8" ht="15.75" thickBot="1" x14ac:dyDescent="0.3">
      <c r="A83" s="19">
        <v>4</v>
      </c>
      <c r="B83" s="15" t="s">
        <v>207</v>
      </c>
      <c r="C83" s="15" t="s">
        <v>208</v>
      </c>
      <c r="D83" s="16">
        <v>1450.7912672511281</v>
      </c>
      <c r="E83" s="20">
        <v>1425.021571274649</v>
      </c>
      <c r="F83" s="21">
        <v>1453.397960125621</v>
      </c>
      <c r="H83" t="s">
        <v>1031</v>
      </c>
    </row>
    <row r="84" spans="1:8" ht="15.75" thickBot="1" x14ac:dyDescent="0.3">
      <c r="A84" s="19">
        <v>5</v>
      </c>
      <c r="B84" s="15" t="s">
        <v>209</v>
      </c>
      <c r="C84" s="15" t="s">
        <v>210</v>
      </c>
      <c r="D84" s="16">
        <v>1443.6793957766529</v>
      </c>
      <c r="E84" s="20">
        <v>1361.4639314907565</v>
      </c>
      <c r="F84" s="21">
        <v>1361.4639314907565</v>
      </c>
      <c r="H84" t="s">
        <v>1031</v>
      </c>
    </row>
    <row r="85" spans="1:8" ht="15.75" thickBot="1" x14ac:dyDescent="0.3">
      <c r="A85" s="19">
        <v>6</v>
      </c>
      <c r="B85" s="15" t="s">
        <v>211</v>
      </c>
      <c r="C85" s="15" t="s">
        <v>212</v>
      </c>
      <c r="D85" s="16">
        <v>1426.4507672949526</v>
      </c>
      <c r="E85" s="20">
        <v>1368.3971990345021</v>
      </c>
      <c r="F85" s="21">
        <v>1354.9820024523272</v>
      </c>
      <c r="H85" t="s">
        <v>1031</v>
      </c>
    </row>
    <row r="86" spans="1:8" ht="15.75" thickBot="1" x14ac:dyDescent="0.3">
      <c r="A86" s="19">
        <v>7</v>
      </c>
      <c r="B86" s="15" t="s">
        <v>213</v>
      </c>
      <c r="C86" s="15" t="s">
        <v>214</v>
      </c>
      <c r="D86" s="16">
        <v>1418.8311236422678</v>
      </c>
      <c r="E86" s="20">
        <v>1404.2553853233485</v>
      </c>
      <c r="F86" s="21">
        <v>1400.8863763371542</v>
      </c>
      <c r="H86" t="s">
        <v>1031</v>
      </c>
    </row>
    <row r="87" spans="1:8" ht="15.75" thickBot="1" x14ac:dyDescent="0.3">
      <c r="A87" s="19">
        <v>8</v>
      </c>
      <c r="B87" s="15" t="s">
        <v>215</v>
      </c>
      <c r="C87" s="15" t="s">
        <v>216</v>
      </c>
      <c r="D87" s="16">
        <v>1417.7394943703641</v>
      </c>
      <c r="E87" s="20">
        <v>1509.7737947906535</v>
      </c>
      <c r="F87" s="21">
        <v>1516.8809749614643</v>
      </c>
      <c r="H87" t="s">
        <v>1031</v>
      </c>
    </row>
    <row r="88" spans="1:8" ht="15.75" thickBot="1" x14ac:dyDescent="0.3">
      <c r="A88" s="19">
        <v>9</v>
      </c>
      <c r="B88" s="15" t="s">
        <v>217</v>
      </c>
      <c r="C88" s="15" t="s">
        <v>218</v>
      </c>
      <c r="D88" s="16">
        <v>1400.1815869502536</v>
      </c>
      <c r="E88" s="20">
        <v>1505.3439733567056</v>
      </c>
      <c r="F88" s="21">
        <v>1498.9080818919695</v>
      </c>
      <c r="H88" t="s">
        <v>1031</v>
      </c>
    </row>
    <row r="89" spans="1:8" ht="15.75" thickBot="1" x14ac:dyDescent="0.3">
      <c r="A89" s="33">
        <v>10</v>
      </c>
      <c r="B89" s="15" t="s">
        <v>219</v>
      </c>
      <c r="C89" s="15" t="s">
        <v>220</v>
      </c>
      <c r="D89" s="16">
        <v>1400</v>
      </c>
      <c r="E89" s="34">
        <v>1474.8477817287267</v>
      </c>
      <c r="F89" s="35">
        <v>1460.4507880808455</v>
      </c>
      <c r="H89" t="s">
        <v>1031</v>
      </c>
    </row>
    <row r="90" spans="1:8" x14ac:dyDescent="0.25">
      <c r="A90" s="65" t="s">
        <v>115</v>
      </c>
      <c r="B90" s="63"/>
      <c r="C90" s="63"/>
      <c r="D90" s="66"/>
      <c r="E90" s="63"/>
      <c r="F90" s="63"/>
      <c r="H90" t="s">
        <v>1031</v>
      </c>
    </row>
    <row r="91" spans="1:8" x14ac:dyDescent="0.25">
      <c r="A91" s="63" t="s">
        <v>201</v>
      </c>
      <c r="B91" s="63">
        <v>1456.6511937127591</v>
      </c>
      <c r="C91" s="63"/>
      <c r="D91" s="66"/>
      <c r="E91" s="63"/>
      <c r="F91" s="63"/>
      <c r="H91" t="s">
        <v>1031</v>
      </c>
    </row>
    <row r="92" spans="1:8" x14ac:dyDescent="0.25">
      <c r="A92" s="63" t="s">
        <v>207</v>
      </c>
      <c r="B92" s="63">
        <v>1425.021571274649</v>
      </c>
      <c r="C92" s="63"/>
      <c r="D92" s="66"/>
      <c r="E92" s="63"/>
      <c r="F92" s="63"/>
      <c r="H92" t="s">
        <v>1031</v>
      </c>
    </row>
    <row r="93" spans="1:8" x14ac:dyDescent="0.25">
      <c r="A93" s="63" t="s">
        <v>209</v>
      </c>
      <c r="B93" s="63">
        <v>1361.4639314907565</v>
      </c>
      <c r="C93" s="63"/>
      <c r="D93" s="66"/>
      <c r="E93" s="63"/>
      <c r="F93" s="63"/>
      <c r="H93" t="s">
        <v>1031</v>
      </c>
    </row>
    <row r="94" spans="1:8" x14ac:dyDescent="0.25">
      <c r="A94" s="63" t="s">
        <v>215</v>
      </c>
      <c r="B94" s="63">
        <v>1509.7737947906535</v>
      </c>
      <c r="C94" s="63"/>
      <c r="D94" s="66"/>
      <c r="E94" s="63"/>
      <c r="F94" s="63"/>
      <c r="H94" t="s">
        <v>1031</v>
      </c>
    </row>
    <row r="95" spans="1:8" ht="15.75" thickBot="1" x14ac:dyDescent="0.3">
      <c r="A95" s="63" t="s">
        <v>217</v>
      </c>
      <c r="B95" s="63">
        <v>1505.3439733567056</v>
      </c>
      <c r="C95" s="63"/>
      <c r="D95" s="66"/>
      <c r="E95" s="63"/>
      <c r="F95" s="63"/>
      <c r="H95" t="s">
        <v>1031</v>
      </c>
    </row>
    <row r="96" spans="1:8" ht="15.75" thickBot="1" x14ac:dyDescent="0.3">
      <c r="A96" s="8" t="s">
        <v>9</v>
      </c>
      <c r="B96" s="9" t="s">
        <v>10</v>
      </c>
      <c r="C96" s="10" t="s">
        <v>11</v>
      </c>
      <c r="D96" s="11" t="s">
        <v>12</v>
      </c>
      <c r="E96" s="12" t="s">
        <v>13</v>
      </c>
      <c r="F96" s="11" t="s">
        <v>14</v>
      </c>
      <c r="H96" t="s">
        <v>1032</v>
      </c>
    </row>
    <row r="97" spans="1:8" ht="15.75" thickBot="1" x14ac:dyDescent="0.3">
      <c r="A97" s="14">
        <v>1</v>
      </c>
      <c r="B97" s="15" t="s">
        <v>23</v>
      </c>
      <c r="C97" s="15" t="s">
        <v>24</v>
      </c>
      <c r="D97" s="16">
        <v>1400</v>
      </c>
      <c r="E97" s="17">
        <v>1295.295172435071</v>
      </c>
      <c r="F97" s="18">
        <v>1289.6307267867726</v>
      </c>
      <c r="H97" t="s">
        <v>1032</v>
      </c>
    </row>
    <row r="98" spans="1:8" ht="15.75" thickBot="1" x14ac:dyDescent="0.3">
      <c r="A98" s="19">
        <v>2</v>
      </c>
      <c r="B98" s="15" t="s">
        <v>30</v>
      </c>
      <c r="C98" s="15" t="s">
        <v>31</v>
      </c>
      <c r="D98" s="16">
        <v>1400</v>
      </c>
      <c r="E98" s="20">
        <v>1399.7657168979335</v>
      </c>
      <c r="F98" s="21">
        <v>1417.5351435170446</v>
      </c>
      <c r="H98" t="s">
        <v>1032</v>
      </c>
    </row>
    <row r="99" spans="1:8" ht="15.75" thickBot="1" x14ac:dyDescent="0.3">
      <c r="A99" s="19">
        <v>3</v>
      </c>
      <c r="B99" s="15" t="s">
        <v>33</v>
      </c>
      <c r="C99" s="15" t="s">
        <v>34</v>
      </c>
      <c r="D99" s="16">
        <v>1400</v>
      </c>
      <c r="E99" s="20">
        <v>1468.8483067654026</v>
      </c>
      <c r="F99" s="21">
        <v>1480.592748992279</v>
      </c>
      <c r="H99" t="s">
        <v>1032</v>
      </c>
    </row>
    <row r="100" spans="1:8" ht="15.75" thickBot="1" x14ac:dyDescent="0.3">
      <c r="A100" s="19">
        <v>4</v>
      </c>
      <c r="B100" s="15" t="s">
        <v>38</v>
      </c>
      <c r="C100" s="15" t="s">
        <v>39</v>
      </c>
      <c r="D100" s="16">
        <v>1393.502057373001</v>
      </c>
      <c r="E100" s="20">
        <v>1432.8387704265824</v>
      </c>
      <c r="F100" s="21">
        <v>1425.664964424519</v>
      </c>
      <c r="H100" t="s">
        <v>1032</v>
      </c>
    </row>
    <row r="101" spans="1:8" ht="15.75" thickBot="1" x14ac:dyDescent="0.3">
      <c r="A101" s="19">
        <v>5</v>
      </c>
      <c r="B101" s="15" t="s">
        <v>47</v>
      </c>
      <c r="C101" s="15" t="s">
        <v>48</v>
      </c>
      <c r="D101" s="16">
        <v>1375.6647897871101</v>
      </c>
      <c r="E101" s="20">
        <v>1418.5341024586221</v>
      </c>
      <c r="F101" s="21">
        <v>1421.4642724843534</v>
      </c>
      <c r="H101" t="s">
        <v>1032</v>
      </c>
    </row>
    <row r="102" spans="1:8" ht="15.75" thickBot="1" x14ac:dyDescent="0.3">
      <c r="A102" s="19">
        <v>6</v>
      </c>
      <c r="B102" s="15" t="s">
        <v>50</v>
      </c>
      <c r="C102" s="15" t="s">
        <v>51</v>
      </c>
      <c r="D102" s="16">
        <v>1373.7743082657332</v>
      </c>
      <c r="E102" s="20">
        <v>1288.8770288740386</v>
      </c>
      <c r="F102" s="21">
        <v>1288.8770288740386</v>
      </c>
      <c r="H102" t="s">
        <v>1032</v>
      </c>
    </row>
    <row r="103" spans="1:8" ht="15.75" thickBot="1" x14ac:dyDescent="0.3">
      <c r="A103" s="19">
        <v>7</v>
      </c>
      <c r="B103" s="15" t="s">
        <v>53</v>
      </c>
      <c r="C103" s="15" t="s">
        <v>54</v>
      </c>
      <c r="D103" s="16">
        <v>1368.3041030693962</v>
      </c>
      <c r="E103" s="20">
        <v>1396.8261896374447</v>
      </c>
      <c r="F103" s="21">
        <v>1389.3253833869005</v>
      </c>
      <c r="H103" t="s">
        <v>1032</v>
      </c>
    </row>
    <row r="104" spans="1:8" ht="15.75" thickBot="1" x14ac:dyDescent="0.3">
      <c r="A104" s="19">
        <v>8</v>
      </c>
      <c r="B104" s="15" t="s">
        <v>56</v>
      </c>
      <c r="C104" s="15" t="s">
        <v>57</v>
      </c>
      <c r="D104" s="16">
        <v>1345.1281772310635</v>
      </c>
      <c r="E104" s="20">
        <v>1401.6308274545675</v>
      </c>
      <c r="F104" s="21">
        <v>1391.547816818643</v>
      </c>
      <c r="H104" t="s">
        <v>1032</v>
      </c>
    </row>
    <row r="105" spans="1:8" ht="15.75" thickBot="1" x14ac:dyDescent="0.3">
      <c r="A105" s="19">
        <v>9</v>
      </c>
      <c r="B105" s="15" t="s">
        <v>59</v>
      </c>
      <c r="C105" s="15" t="s">
        <v>60</v>
      </c>
      <c r="D105" s="16">
        <v>1212.6460682694362</v>
      </c>
      <c r="E105" s="20">
        <v>1178.6422198857679</v>
      </c>
      <c r="F105" s="21">
        <v>1178.6422198857679</v>
      </c>
      <c r="H105" t="s">
        <v>1032</v>
      </c>
    </row>
    <row r="106" spans="1:8" ht="15.75" thickBot="1" x14ac:dyDescent="0.3">
      <c r="A106" s="33">
        <v>10</v>
      </c>
      <c r="B106" s="15" t="s">
        <v>62</v>
      </c>
      <c r="C106" s="15" t="s">
        <v>63</v>
      </c>
      <c r="D106" s="16">
        <v>1321.2738836240517</v>
      </c>
      <c r="E106" s="34">
        <v>1309.0350527843616</v>
      </c>
      <c r="F106" s="35">
        <v>1307.0130824494734</v>
      </c>
      <c r="H106" t="s">
        <v>1032</v>
      </c>
    </row>
    <row r="107" spans="1:8" x14ac:dyDescent="0.25">
      <c r="A107" s="65" t="s">
        <v>115</v>
      </c>
      <c r="B107" s="63"/>
      <c r="C107" s="63"/>
      <c r="D107" s="66"/>
      <c r="E107" s="63"/>
      <c r="F107" s="63"/>
      <c r="H107" t="s">
        <v>1032</v>
      </c>
    </row>
    <row r="108" spans="1:8" x14ac:dyDescent="0.25">
      <c r="A108" s="63" t="s">
        <v>23</v>
      </c>
      <c r="B108" s="63">
        <v>1295.295172435071</v>
      </c>
      <c r="C108" s="63"/>
      <c r="D108" s="66"/>
      <c r="E108" s="63"/>
      <c r="F108" s="63"/>
      <c r="H108" t="s">
        <v>1032</v>
      </c>
    </row>
    <row r="109" spans="1:8" x14ac:dyDescent="0.25">
      <c r="A109" s="63" t="s">
        <v>38</v>
      </c>
      <c r="B109" s="63">
        <v>1432.8387704265824</v>
      </c>
      <c r="C109" s="63"/>
      <c r="D109" s="66"/>
      <c r="E109" s="63"/>
      <c r="F109" s="63"/>
      <c r="H109" t="s">
        <v>1032</v>
      </c>
    </row>
    <row r="110" spans="1:8" x14ac:dyDescent="0.25">
      <c r="A110" s="63" t="s">
        <v>47</v>
      </c>
      <c r="B110" s="63">
        <v>1418.5341024586221</v>
      </c>
      <c r="C110" s="63"/>
      <c r="D110" s="66"/>
      <c r="E110" s="63"/>
      <c r="F110" s="63"/>
      <c r="H110" t="s">
        <v>1032</v>
      </c>
    </row>
    <row r="111" spans="1:8" x14ac:dyDescent="0.25">
      <c r="A111" s="63" t="s">
        <v>56</v>
      </c>
      <c r="B111" s="63">
        <v>1401.6308274545675</v>
      </c>
      <c r="C111" s="63"/>
      <c r="D111" s="66"/>
      <c r="E111" s="63"/>
      <c r="F111" s="63"/>
      <c r="H111" t="s">
        <v>1032</v>
      </c>
    </row>
    <row r="112" spans="1:8" ht="15.75" thickBot="1" x14ac:dyDescent="0.3">
      <c r="A112" s="63" t="s">
        <v>59</v>
      </c>
      <c r="B112" s="63">
        <v>1178.6422198857679</v>
      </c>
      <c r="C112" s="63"/>
      <c r="D112" s="66"/>
      <c r="E112" s="63"/>
      <c r="F112" s="63"/>
      <c r="H112" t="s">
        <v>1032</v>
      </c>
    </row>
    <row r="113" spans="1:8" ht="15.75" thickBot="1" x14ac:dyDescent="0.3">
      <c r="A113" s="8" t="s">
        <v>9</v>
      </c>
      <c r="B113" s="9" t="s">
        <v>10</v>
      </c>
      <c r="C113" s="10" t="s">
        <v>11</v>
      </c>
      <c r="D113" s="11" t="s">
        <v>12</v>
      </c>
      <c r="E113" s="12" t="s">
        <v>13</v>
      </c>
      <c r="F113" s="11" t="s">
        <v>14</v>
      </c>
      <c r="H113" t="s">
        <v>1033</v>
      </c>
    </row>
    <row r="114" spans="1:8" ht="15.75" thickBot="1" x14ac:dyDescent="0.3">
      <c r="A114" s="14">
        <v>1</v>
      </c>
      <c r="B114" s="15" t="s">
        <v>510</v>
      </c>
      <c r="C114" s="15" t="s">
        <v>509</v>
      </c>
      <c r="D114" s="16">
        <v>1789.2595678161492</v>
      </c>
      <c r="E114" s="17">
        <v>1825.8459652836571</v>
      </c>
      <c r="F114" s="18">
        <v>1846.0824249958619</v>
      </c>
      <c r="H114" t="s">
        <v>1033</v>
      </c>
    </row>
    <row r="115" spans="1:8" ht="15.75" thickBot="1" x14ac:dyDescent="0.3">
      <c r="A115" s="19">
        <v>2</v>
      </c>
      <c r="B115" s="15" t="s">
        <v>498</v>
      </c>
      <c r="C115" s="15" t="s">
        <v>497</v>
      </c>
      <c r="D115" s="16">
        <v>1728.1310461413079</v>
      </c>
      <c r="E115" s="20">
        <v>1814.1302494612644</v>
      </c>
      <c r="F115" s="21">
        <v>1804.7578750763826</v>
      </c>
      <c r="H115" t="s">
        <v>1033</v>
      </c>
    </row>
    <row r="116" spans="1:8" ht="15.75" thickBot="1" x14ac:dyDescent="0.3">
      <c r="A116" s="19">
        <v>3</v>
      </c>
      <c r="B116" s="15" t="s">
        <v>494</v>
      </c>
      <c r="C116" s="15" t="s">
        <v>493</v>
      </c>
      <c r="D116" s="16">
        <v>1657.3872938785414</v>
      </c>
      <c r="E116" s="20">
        <v>1673.9392165820072</v>
      </c>
      <c r="F116" s="21">
        <v>1669.2299346493558</v>
      </c>
      <c r="H116" t="s">
        <v>1033</v>
      </c>
    </row>
    <row r="117" spans="1:8" ht="15.75" thickBot="1" x14ac:dyDescent="0.3">
      <c r="A117" s="19">
        <v>4</v>
      </c>
      <c r="B117" s="15" t="s">
        <v>526</v>
      </c>
      <c r="C117" s="15" t="s">
        <v>525</v>
      </c>
      <c r="D117" s="16">
        <v>1647.4740230165003</v>
      </c>
      <c r="E117" s="20">
        <v>1732.5261660090864</v>
      </c>
      <c r="F117" s="21">
        <v>1726.3713626144149</v>
      </c>
      <c r="H117" t="s">
        <v>1033</v>
      </c>
    </row>
    <row r="118" spans="1:8" ht="15.75" thickBot="1" x14ac:dyDescent="0.3">
      <c r="A118" s="19">
        <v>5</v>
      </c>
      <c r="B118" s="15" t="s">
        <v>496</v>
      </c>
      <c r="C118" s="15" t="s">
        <v>495</v>
      </c>
      <c r="D118" s="16">
        <v>1641.6440767325234</v>
      </c>
      <c r="E118" s="20">
        <v>1599.1542081855082</v>
      </c>
      <c r="F118" s="21">
        <v>1623.8204049929316</v>
      </c>
      <c r="H118" t="s">
        <v>1033</v>
      </c>
    </row>
    <row r="119" spans="1:8" ht="15.75" thickBot="1" x14ac:dyDescent="0.3">
      <c r="A119" s="19">
        <v>6</v>
      </c>
      <c r="B119" s="15" t="s">
        <v>529</v>
      </c>
      <c r="C119" s="15" t="s">
        <v>527</v>
      </c>
      <c r="D119" s="16">
        <v>1639.4730821157075</v>
      </c>
      <c r="E119" s="20">
        <v>1621.4464196707468</v>
      </c>
      <c r="F119" s="21">
        <v>1613.0329052350071</v>
      </c>
      <c r="H119" t="s">
        <v>1033</v>
      </c>
    </row>
    <row r="120" spans="1:8" ht="15.75" thickBot="1" x14ac:dyDescent="0.3">
      <c r="A120" s="19">
        <v>7</v>
      </c>
      <c r="B120" s="15" t="s">
        <v>512</v>
      </c>
      <c r="C120" s="15" t="s">
        <v>511</v>
      </c>
      <c r="D120" s="16">
        <v>1624.823853549269</v>
      </c>
      <c r="E120" s="20">
        <v>1520.7107114660023</v>
      </c>
      <c r="F120" s="21">
        <v>1520.7107114660023</v>
      </c>
      <c r="H120" t="s">
        <v>1033</v>
      </c>
    </row>
    <row r="121" spans="1:8" ht="15.75" thickBot="1" x14ac:dyDescent="0.3">
      <c r="A121" s="19">
        <v>8</v>
      </c>
      <c r="B121" s="15" t="s">
        <v>973</v>
      </c>
      <c r="C121" s="15" t="s">
        <v>974</v>
      </c>
      <c r="D121" s="16">
        <v>1600</v>
      </c>
      <c r="E121" s="20">
        <v>1534.2030414472588</v>
      </c>
      <c r="F121" s="21">
        <v>1534.2030414472588</v>
      </c>
      <c r="H121" t="s">
        <v>1033</v>
      </c>
    </row>
    <row r="122" spans="1:8" ht="15.75" thickBot="1" x14ac:dyDescent="0.3">
      <c r="A122" s="19">
        <v>9</v>
      </c>
      <c r="B122" s="15" t="s">
        <v>524</v>
      </c>
      <c r="C122" s="15" t="s">
        <v>523</v>
      </c>
      <c r="D122" s="16">
        <v>1616.8234096527883</v>
      </c>
      <c r="E122" s="20">
        <v>1603.4716962924508</v>
      </c>
      <c r="F122" s="21">
        <v>1595.6889931925523</v>
      </c>
      <c r="H122" t="s">
        <v>1033</v>
      </c>
    </row>
    <row r="123" spans="1:8" ht="15.75" thickBot="1" x14ac:dyDescent="0.3">
      <c r="A123" s="33">
        <v>10</v>
      </c>
      <c r="B123" s="15" t="s">
        <v>514</v>
      </c>
      <c r="C123" s="15" t="s">
        <v>513</v>
      </c>
      <c r="D123" s="16">
        <v>1600</v>
      </c>
      <c r="E123" s="34">
        <v>1619.5886785048051</v>
      </c>
      <c r="F123" s="35">
        <v>1611.1186992330199</v>
      </c>
      <c r="H123" t="s">
        <v>1033</v>
      </c>
    </row>
    <row r="124" spans="1:8" x14ac:dyDescent="0.25">
      <c r="A124" s="65" t="s">
        <v>115</v>
      </c>
      <c r="B124" s="63"/>
      <c r="C124" s="63"/>
      <c r="D124" s="66"/>
      <c r="E124" s="63"/>
      <c r="F124" s="63"/>
      <c r="H124" t="s">
        <v>1033</v>
      </c>
    </row>
    <row r="125" spans="1:8" x14ac:dyDescent="0.25">
      <c r="A125" s="63" t="s">
        <v>510</v>
      </c>
      <c r="B125" s="63">
        <v>1825.8459652836571</v>
      </c>
      <c r="C125" s="63"/>
      <c r="D125" s="66"/>
      <c r="E125" s="63"/>
      <c r="F125" s="63"/>
      <c r="H125" t="s">
        <v>1033</v>
      </c>
    </row>
    <row r="126" spans="1:8" x14ac:dyDescent="0.25">
      <c r="A126" s="63" t="s">
        <v>526</v>
      </c>
      <c r="B126" s="63">
        <v>1732.5261660090864</v>
      </c>
      <c r="C126" s="63"/>
      <c r="D126" s="66"/>
      <c r="E126" s="63"/>
      <c r="F126" s="63"/>
      <c r="H126" t="s">
        <v>1033</v>
      </c>
    </row>
    <row r="127" spans="1:8" x14ac:dyDescent="0.25">
      <c r="A127" s="63" t="s">
        <v>496</v>
      </c>
      <c r="B127" s="63">
        <v>1599.1542081855082</v>
      </c>
      <c r="C127" s="63"/>
      <c r="D127" s="66"/>
      <c r="E127" s="63"/>
      <c r="F127" s="63"/>
      <c r="H127" t="s">
        <v>1033</v>
      </c>
    </row>
    <row r="128" spans="1:8" x14ac:dyDescent="0.25">
      <c r="A128" s="63" t="s">
        <v>973</v>
      </c>
      <c r="B128" s="63">
        <v>1534.2030414472588</v>
      </c>
      <c r="C128" s="63"/>
      <c r="D128" s="66"/>
      <c r="E128" s="63"/>
      <c r="F128" s="63"/>
      <c r="H128" t="s">
        <v>1033</v>
      </c>
    </row>
    <row r="129" spans="1:8" ht="15.75" thickBot="1" x14ac:dyDescent="0.3">
      <c r="A129" s="63" t="s">
        <v>524</v>
      </c>
      <c r="B129" s="63">
        <v>1603.4716962924508</v>
      </c>
      <c r="C129" s="63"/>
      <c r="D129" s="66"/>
      <c r="E129" s="63"/>
      <c r="F129" s="63"/>
      <c r="H129" t="s">
        <v>1033</v>
      </c>
    </row>
    <row r="130" spans="1:8" ht="15.75" thickBot="1" x14ac:dyDescent="0.3">
      <c r="A130" s="8" t="s">
        <v>9</v>
      </c>
      <c r="B130" s="9" t="s">
        <v>10</v>
      </c>
      <c r="C130" s="10" t="s">
        <v>11</v>
      </c>
      <c r="D130" s="11" t="s">
        <v>12</v>
      </c>
      <c r="E130" s="12" t="s">
        <v>13</v>
      </c>
      <c r="F130" s="11" t="s">
        <v>14</v>
      </c>
      <c r="H130" t="s">
        <v>1034</v>
      </c>
    </row>
    <row r="131" spans="1:8" ht="15.75" thickBot="1" x14ac:dyDescent="0.3">
      <c r="A131" s="14">
        <v>1</v>
      </c>
      <c r="B131" s="15" t="s">
        <v>223</v>
      </c>
      <c r="C131" s="15" t="s">
        <v>224</v>
      </c>
      <c r="D131" s="16">
        <v>1600</v>
      </c>
      <c r="E131" s="17">
        <v>1705.0590948093995</v>
      </c>
      <c r="F131" s="18">
        <v>1733.815637065888</v>
      </c>
      <c r="H131" t="s">
        <v>1034</v>
      </c>
    </row>
    <row r="132" spans="1:8" ht="15.75" thickBot="1" x14ac:dyDescent="0.3">
      <c r="A132" s="19">
        <v>2</v>
      </c>
      <c r="B132" s="15" t="s">
        <v>225</v>
      </c>
      <c r="C132" s="15" t="s">
        <v>226</v>
      </c>
      <c r="D132" s="16">
        <v>1600</v>
      </c>
      <c r="E132" s="20">
        <v>1672.596826725935</v>
      </c>
      <c r="F132" s="21">
        <v>1658.2208637871806</v>
      </c>
      <c r="H132" t="s">
        <v>1034</v>
      </c>
    </row>
    <row r="133" spans="1:8" ht="15.75" thickBot="1" x14ac:dyDescent="0.3">
      <c r="A133" s="19">
        <v>3</v>
      </c>
      <c r="B133" s="146" t="s">
        <v>227</v>
      </c>
      <c r="C133" s="146" t="s">
        <v>228</v>
      </c>
      <c r="D133" s="16">
        <v>1648.5261762534274</v>
      </c>
      <c r="E133" s="20">
        <v>1515.9353141743402</v>
      </c>
      <c r="F133" s="21">
        <v>1515.9353141743402</v>
      </c>
      <c r="H133" t="s">
        <v>1034</v>
      </c>
    </row>
    <row r="134" spans="1:8" ht="15.75" thickBot="1" x14ac:dyDescent="0.3">
      <c r="A134" s="19">
        <v>4</v>
      </c>
      <c r="B134" s="147" t="s">
        <v>229</v>
      </c>
      <c r="C134" s="147" t="s">
        <v>230</v>
      </c>
      <c r="D134" s="16">
        <v>1546.0358684980845</v>
      </c>
      <c r="E134" s="20">
        <v>1532.475398790076</v>
      </c>
      <c r="F134" s="21">
        <v>1543.1249027046999</v>
      </c>
      <c r="H134" t="s">
        <v>1034</v>
      </c>
    </row>
    <row r="135" spans="1:8" ht="15.75" thickBot="1" x14ac:dyDescent="0.3">
      <c r="A135" s="19">
        <v>5</v>
      </c>
      <c r="B135" s="15" t="s">
        <v>231</v>
      </c>
      <c r="C135" s="15" t="s">
        <v>232</v>
      </c>
      <c r="D135" s="16">
        <v>1683.9371318599437</v>
      </c>
      <c r="E135" s="20">
        <v>1707.9842078948636</v>
      </c>
      <c r="F135" s="21">
        <v>1706.1407986026627</v>
      </c>
      <c r="H135" t="s">
        <v>1034</v>
      </c>
    </row>
    <row r="136" spans="1:8" ht="15.75" thickBot="1" x14ac:dyDescent="0.3">
      <c r="A136" s="19">
        <v>6</v>
      </c>
      <c r="B136" s="15" t="s">
        <v>233</v>
      </c>
      <c r="C136" s="15" t="s">
        <v>234</v>
      </c>
      <c r="D136" s="16">
        <v>1576.7047718940707</v>
      </c>
      <c r="E136" s="20">
        <v>1607.8394096297868</v>
      </c>
      <c r="F136" s="21">
        <v>1622.9329591490934</v>
      </c>
      <c r="H136" t="s">
        <v>1034</v>
      </c>
    </row>
    <row r="137" spans="1:8" ht="15.75" thickBot="1" x14ac:dyDescent="0.3">
      <c r="A137" s="19">
        <v>7</v>
      </c>
      <c r="B137" s="15" t="s">
        <v>235</v>
      </c>
      <c r="C137" s="15" t="s">
        <v>236</v>
      </c>
      <c r="D137" s="16">
        <v>1568.3090521625732</v>
      </c>
      <c r="E137" s="20">
        <v>1628.6565056003758</v>
      </c>
      <c r="F137" s="21">
        <v>1616.1193355748426</v>
      </c>
      <c r="H137" t="s">
        <v>1034</v>
      </c>
    </row>
    <row r="138" spans="1:8" ht="15.75" thickBot="1" x14ac:dyDescent="0.3">
      <c r="A138" s="19">
        <v>8</v>
      </c>
      <c r="B138" s="15" t="s">
        <v>237</v>
      </c>
      <c r="C138" s="15" t="s">
        <v>238</v>
      </c>
      <c r="D138" s="16">
        <v>1568.2233091455873</v>
      </c>
      <c r="E138" s="20">
        <v>1521.8788549649144</v>
      </c>
      <c r="F138" s="21">
        <v>1509.7586404382946</v>
      </c>
      <c r="H138" t="s">
        <v>1034</v>
      </c>
    </row>
    <row r="139" spans="1:8" ht="15.75" thickBot="1" x14ac:dyDescent="0.3">
      <c r="A139" s="19">
        <v>9</v>
      </c>
      <c r="B139" s="15" t="s">
        <v>239</v>
      </c>
      <c r="C139" s="15" t="s">
        <v>240</v>
      </c>
      <c r="D139" s="16">
        <v>1540.9289312215133</v>
      </c>
      <c r="E139" s="20">
        <v>1471.7276842658753</v>
      </c>
      <c r="F139" s="21">
        <v>1471.7276842658753</v>
      </c>
      <c r="H139" t="s">
        <v>1034</v>
      </c>
    </row>
    <row r="140" spans="1:8" ht="15.75" thickBot="1" x14ac:dyDescent="0.3">
      <c r="A140" s="33">
        <v>10</v>
      </c>
      <c r="B140" s="15" t="s">
        <v>241</v>
      </c>
      <c r="C140" s="15" t="s">
        <v>242</v>
      </c>
      <c r="D140" s="16">
        <v>1511.9591340892896</v>
      </c>
      <c r="E140" s="34">
        <v>1480.4710782689231</v>
      </c>
      <c r="F140" s="35">
        <v>1466.8482393616123</v>
      </c>
      <c r="H140" t="s">
        <v>1034</v>
      </c>
    </row>
    <row r="141" spans="1:8" x14ac:dyDescent="0.25">
      <c r="A141" s="65" t="s">
        <v>115</v>
      </c>
      <c r="B141" s="63"/>
      <c r="C141" s="63"/>
      <c r="D141" s="66"/>
      <c r="E141" s="63"/>
      <c r="F141" s="63"/>
      <c r="H141" t="s">
        <v>1034</v>
      </c>
    </row>
    <row r="142" spans="1:8" x14ac:dyDescent="0.25">
      <c r="A142" s="63" t="s">
        <v>223</v>
      </c>
      <c r="B142" s="63">
        <v>1705.0590948093995</v>
      </c>
      <c r="C142" s="63"/>
      <c r="D142" s="66"/>
      <c r="E142" s="63"/>
      <c r="F142" s="63"/>
      <c r="H142" t="s">
        <v>1034</v>
      </c>
    </row>
    <row r="143" spans="1:8" x14ac:dyDescent="0.25">
      <c r="A143" s="63" t="s">
        <v>229</v>
      </c>
      <c r="B143" s="63">
        <v>1532.475398790076</v>
      </c>
      <c r="C143" s="63"/>
      <c r="D143" s="66"/>
      <c r="E143" s="63"/>
      <c r="F143" s="63"/>
      <c r="H143" t="s">
        <v>1034</v>
      </c>
    </row>
    <row r="144" spans="1:8" x14ac:dyDescent="0.25">
      <c r="A144" s="63" t="s">
        <v>231</v>
      </c>
      <c r="B144" s="63">
        <v>1707.9842078948636</v>
      </c>
      <c r="C144" s="63"/>
      <c r="D144" s="66"/>
      <c r="E144" s="63"/>
      <c r="F144" s="63"/>
      <c r="H144" t="s">
        <v>1034</v>
      </c>
    </row>
    <row r="145" spans="1:8" x14ac:dyDescent="0.25">
      <c r="A145" s="63" t="s">
        <v>237</v>
      </c>
      <c r="B145" s="63">
        <v>1521.8788549649144</v>
      </c>
      <c r="C145" s="63"/>
      <c r="D145" s="66"/>
      <c r="E145" s="63"/>
      <c r="F145" s="63"/>
      <c r="H145" t="s">
        <v>1034</v>
      </c>
    </row>
    <row r="146" spans="1:8" ht="15.75" thickBot="1" x14ac:dyDescent="0.3">
      <c r="A146" s="63" t="s">
        <v>239</v>
      </c>
      <c r="B146" s="63">
        <v>1471.7276842658753</v>
      </c>
      <c r="C146" s="63"/>
      <c r="D146" s="66"/>
      <c r="E146" s="63"/>
      <c r="F146" s="63"/>
      <c r="H146" t="s">
        <v>1034</v>
      </c>
    </row>
    <row r="147" spans="1:8" ht="15.75" thickBot="1" x14ac:dyDescent="0.3">
      <c r="A147" s="8" t="s">
        <v>9</v>
      </c>
      <c r="B147" s="9" t="s">
        <v>10</v>
      </c>
      <c r="C147" s="10" t="s">
        <v>11</v>
      </c>
      <c r="D147" s="11" t="s">
        <v>12</v>
      </c>
      <c r="E147" s="12" t="s">
        <v>13</v>
      </c>
      <c r="F147" s="11" t="s">
        <v>14</v>
      </c>
      <c r="H147" t="s">
        <v>1035</v>
      </c>
    </row>
    <row r="148" spans="1:8" ht="15.75" thickBot="1" x14ac:dyDescent="0.3">
      <c r="A148" s="14">
        <v>1</v>
      </c>
      <c r="B148" s="15" t="s">
        <v>245</v>
      </c>
      <c r="C148" s="15" t="s">
        <v>246</v>
      </c>
      <c r="D148" s="16">
        <v>2056.3147376237139</v>
      </c>
      <c r="E148" s="17">
        <v>2112.5852906902842</v>
      </c>
      <c r="F148" s="18">
        <v>2125.9014593645511</v>
      </c>
      <c r="H148" t="s">
        <v>1035</v>
      </c>
    </row>
    <row r="149" spans="1:8" ht="15.75" thickBot="1" x14ac:dyDescent="0.3">
      <c r="A149" s="19">
        <v>2</v>
      </c>
      <c r="B149" s="15" t="s">
        <v>247</v>
      </c>
      <c r="C149" s="15" t="s">
        <v>248</v>
      </c>
      <c r="D149" s="16">
        <v>1952.1722411424284</v>
      </c>
      <c r="E149" s="20">
        <v>2043.2791651722152</v>
      </c>
      <c r="F149" s="21">
        <v>2033.1069131537579</v>
      </c>
      <c r="H149" t="s">
        <v>1035</v>
      </c>
    </row>
    <row r="150" spans="1:8" ht="15.75" thickBot="1" x14ac:dyDescent="0.3">
      <c r="A150" s="19">
        <v>3</v>
      </c>
      <c r="B150" s="15" t="s">
        <v>249</v>
      </c>
      <c r="C150" s="15" t="s">
        <v>250</v>
      </c>
      <c r="D150" s="16">
        <v>1921.8901473006756</v>
      </c>
      <c r="E150" s="20">
        <v>1933.5994189613193</v>
      </c>
      <c r="F150" s="21">
        <v>1929.3910828969913</v>
      </c>
      <c r="H150" t="s">
        <v>1035</v>
      </c>
    </row>
    <row r="151" spans="1:8" ht="15.75" thickBot="1" x14ac:dyDescent="0.3">
      <c r="A151" s="19">
        <v>4</v>
      </c>
      <c r="B151" s="15" t="s">
        <v>251</v>
      </c>
      <c r="C151" s="15" t="s">
        <v>252</v>
      </c>
      <c r="D151" s="16">
        <v>1895.4654161275282</v>
      </c>
      <c r="E151" s="20">
        <v>1819.6878315091337</v>
      </c>
      <c r="F151" s="21">
        <v>1819.6878315091337</v>
      </c>
      <c r="H151" t="s">
        <v>1035</v>
      </c>
    </row>
    <row r="152" spans="1:8" ht="15.75" thickBot="1" x14ac:dyDescent="0.3">
      <c r="A152" s="19">
        <v>5</v>
      </c>
      <c r="B152" s="15" t="s">
        <v>253</v>
      </c>
      <c r="C152" s="15" t="s">
        <v>254</v>
      </c>
      <c r="D152" s="16">
        <v>1889.110814092702</v>
      </c>
      <c r="E152" s="20">
        <v>1862.3573600985021</v>
      </c>
      <c r="F152" s="21">
        <v>1852.5892192097544</v>
      </c>
      <c r="H152" t="s">
        <v>1035</v>
      </c>
    </row>
    <row r="153" spans="1:8" ht="15.75" thickBot="1" x14ac:dyDescent="0.3">
      <c r="A153" s="19">
        <v>6</v>
      </c>
      <c r="B153" s="15" t="s">
        <v>255</v>
      </c>
      <c r="C153" s="15" t="s">
        <v>256</v>
      </c>
      <c r="D153" s="16">
        <v>1885.2929818149187</v>
      </c>
      <c r="E153" s="20">
        <v>1780.8711874278245</v>
      </c>
      <c r="F153" s="21">
        <v>1780.8711874278245</v>
      </c>
      <c r="H153" t="s">
        <v>1035</v>
      </c>
    </row>
    <row r="154" spans="1:8" ht="15.75" thickBot="1" x14ac:dyDescent="0.3">
      <c r="A154" s="19">
        <v>7</v>
      </c>
      <c r="B154" s="15" t="s">
        <v>257</v>
      </c>
      <c r="C154" s="15" t="s">
        <v>258</v>
      </c>
      <c r="D154" s="16">
        <v>1918.746719402327</v>
      </c>
      <c r="E154" s="20">
        <v>1941.9426922886557</v>
      </c>
      <c r="F154" s="21">
        <v>1928.6532904156654</v>
      </c>
      <c r="H154" t="s">
        <v>1035</v>
      </c>
    </row>
    <row r="155" spans="1:8" ht="15.75" thickBot="1" x14ac:dyDescent="0.3">
      <c r="A155" s="19">
        <v>8</v>
      </c>
      <c r="B155" s="15" t="s">
        <v>259</v>
      </c>
      <c r="C155" s="15" t="s">
        <v>260</v>
      </c>
      <c r="D155" s="16">
        <v>1876.31367263991</v>
      </c>
      <c r="E155" s="20">
        <v>1946.5126256938156</v>
      </c>
      <c r="F155" s="21">
        <v>1947.5770451023341</v>
      </c>
      <c r="H155" t="s">
        <v>1035</v>
      </c>
    </row>
    <row r="156" spans="1:8" ht="15.75" thickBot="1" x14ac:dyDescent="0.3">
      <c r="A156" s="19">
        <v>9</v>
      </c>
      <c r="B156" s="15" t="s">
        <v>261</v>
      </c>
      <c r="C156" s="15" t="s">
        <v>262</v>
      </c>
      <c r="D156" s="16">
        <v>1809.1480647862352</v>
      </c>
      <c r="E156" s="20">
        <v>1785.2095972783534</v>
      </c>
      <c r="F156" s="21">
        <v>1780.5921122747741</v>
      </c>
      <c r="H156" t="s">
        <v>1035</v>
      </c>
    </row>
    <row r="157" spans="1:8" ht="15.75" thickBot="1" x14ac:dyDescent="0.3">
      <c r="A157" s="33">
        <v>10</v>
      </c>
      <c r="B157" s="15" t="s">
        <v>263</v>
      </c>
      <c r="C157" s="15" t="s">
        <v>264</v>
      </c>
      <c r="D157" s="16">
        <v>1805.8700188425732</v>
      </c>
      <c r="E157" s="34">
        <v>1784.2796446529082</v>
      </c>
      <c r="F157" s="35">
        <v>1811.9546724182255</v>
      </c>
      <c r="H157" t="s">
        <v>1035</v>
      </c>
    </row>
    <row r="158" spans="1:8" x14ac:dyDescent="0.25">
      <c r="A158" s="65" t="s">
        <v>115</v>
      </c>
      <c r="B158" s="63"/>
      <c r="C158" s="63"/>
      <c r="D158" s="66"/>
      <c r="E158" s="63"/>
      <c r="F158" s="63"/>
      <c r="H158" t="s">
        <v>1035</v>
      </c>
    </row>
    <row r="159" spans="1:8" x14ac:dyDescent="0.25">
      <c r="A159" s="63" t="s">
        <v>245</v>
      </c>
      <c r="B159" s="63">
        <v>2112.5852906902842</v>
      </c>
      <c r="C159" s="63"/>
      <c r="D159" s="66"/>
      <c r="E159" s="63"/>
      <c r="F159" s="63"/>
      <c r="H159" t="s">
        <v>1035</v>
      </c>
    </row>
    <row r="160" spans="1:8" x14ac:dyDescent="0.25">
      <c r="A160" s="63" t="s">
        <v>251</v>
      </c>
      <c r="B160" s="63">
        <v>1819.6878315091337</v>
      </c>
      <c r="C160" s="63"/>
      <c r="D160" s="66"/>
      <c r="E160" s="63"/>
      <c r="F160" s="63"/>
      <c r="H160" t="s">
        <v>1035</v>
      </c>
    </row>
    <row r="161" spans="1:8" x14ac:dyDescent="0.25">
      <c r="A161" s="63" t="s">
        <v>253</v>
      </c>
      <c r="B161" s="63">
        <v>1862.3573600985021</v>
      </c>
      <c r="C161" s="63"/>
      <c r="D161" s="66"/>
      <c r="E161" s="63"/>
      <c r="F161" s="63"/>
      <c r="H161" t="s">
        <v>1035</v>
      </c>
    </row>
    <row r="162" spans="1:8" x14ac:dyDescent="0.25">
      <c r="A162" s="63" t="s">
        <v>259</v>
      </c>
      <c r="B162" s="63">
        <v>1946.5126256938156</v>
      </c>
      <c r="C162" s="63"/>
      <c r="D162" s="66"/>
      <c r="E162" s="63"/>
      <c r="F162" s="63"/>
      <c r="H162" t="s">
        <v>1035</v>
      </c>
    </row>
    <row r="163" spans="1:8" ht="15.75" thickBot="1" x14ac:dyDescent="0.3">
      <c r="A163" s="63" t="s">
        <v>261</v>
      </c>
      <c r="B163" s="63">
        <v>1785.2095972783534</v>
      </c>
      <c r="C163" s="63"/>
      <c r="D163" s="66"/>
      <c r="E163" s="63"/>
      <c r="F163" s="63"/>
      <c r="H163" t="s">
        <v>1035</v>
      </c>
    </row>
    <row r="164" spans="1:8" ht="15.75" thickBot="1" x14ac:dyDescent="0.3">
      <c r="A164" s="8" t="s">
        <v>9</v>
      </c>
      <c r="B164" s="9" t="s">
        <v>10</v>
      </c>
      <c r="C164" s="10" t="s">
        <v>11</v>
      </c>
      <c r="D164" s="11" t="s">
        <v>12</v>
      </c>
      <c r="E164" s="12" t="s">
        <v>13</v>
      </c>
      <c r="F164" s="11" t="s">
        <v>14</v>
      </c>
      <c r="H164" t="s">
        <v>1036</v>
      </c>
    </row>
    <row r="165" spans="1:8" ht="15.75" thickBot="1" x14ac:dyDescent="0.3">
      <c r="A165" s="14">
        <v>1</v>
      </c>
      <c r="B165" s="15" t="s">
        <v>267</v>
      </c>
      <c r="C165" s="15" t="s">
        <v>268</v>
      </c>
      <c r="D165" s="16">
        <v>1809.8475028761886</v>
      </c>
      <c r="E165" s="17">
        <v>1849.3640495575626</v>
      </c>
      <c r="F165" s="18">
        <v>1842.3261282509975</v>
      </c>
      <c r="H165" t="s">
        <v>1036</v>
      </c>
    </row>
    <row r="166" spans="1:8" ht="15.75" thickBot="1" x14ac:dyDescent="0.3">
      <c r="A166" s="19">
        <v>2</v>
      </c>
      <c r="B166" s="15" t="s">
        <v>269</v>
      </c>
      <c r="C166" s="15" t="s">
        <v>270</v>
      </c>
      <c r="D166" s="16">
        <v>1800</v>
      </c>
      <c r="E166" s="20">
        <v>1891.3497881492999</v>
      </c>
      <c r="F166" s="21">
        <v>1881.2483836659826</v>
      </c>
      <c r="H166" t="s">
        <v>1036</v>
      </c>
    </row>
    <row r="167" spans="1:8" ht="15.75" thickBot="1" x14ac:dyDescent="0.3">
      <c r="A167" s="19">
        <v>3</v>
      </c>
      <c r="B167" s="15" t="s">
        <v>271</v>
      </c>
      <c r="C167" s="15" t="s">
        <v>272</v>
      </c>
      <c r="D167" s="16">
        <v>1773.2758988569869</v>
      </c>
      <c r="E167" s="20">
        <v>1703.2366854565064</v>
      </c>
      <c r="F167" s="21">
        <v>1696.7559274545094</v>
      </c>
      <c r="H167" t="s">
        <v>1036</v>
      </c>
    </row>
    <row r="168" spans="1:8" ht="15.75" thickBot="1" x14ac:dyDescent="0.3">
      <c r="A168" s="19">
        <v>4</v>
      </c>
      <c r="B168" s="15" t="s">
        <v>273</v>
      </c>
      <c r="C168" s="15" t="s">
        <v>274</v>
      </c>
      <c r="D168" s="16">
        <v>1800</v>
      </c>
      <c r="E168" s="20">
        <v>1868.380243376394</v>
      </c>
      <c r="F168" s="21">
        <v>1890.7449469245469</v>
      </c>
      <c r="H168" t="s">
        <v>1036</v>
      </c>
    </row>
    <row r="169" spans="1:8" ht="15.75" thickBot="1" x14ac:dyDescent="0.3">
      <c r="A169" s="19">
        <v>5</v>
      </c>
      <c r="B169" s="15" t="s">
        <v>275</v>
      </c>
      <c r="C169" s="15" t="s">
        <v>276</v>
      </c>
      <c r="D169" s="16">
        <v>1748.8001298774316</v>
      </c>
      <c r="E169" s="20">
        <v>1692.0270354115453</v>
      </c>
      <c r="F169" s="21">
        <v>1685.4617602962937</v>
      </c>
      <c r="H169" t="s">
        <v>1036</v>
      </c>
    </row>
    <row r="170" spans="1:8" ht="15.75" thickBot="1" x14ac:dyDescent="0.3">
      <c r="A170" s="19">
        <v>6</v>
      </c>
      <c r="B170" s="15" t="s">
        <v>277</v>
      </c>
      <c r="C170" s="15" t="s">
        <v>278</v>
      </c>
      <c r="D170" s="16">
        <v>1746.3122871137466</v>
      </c>
      <c r="E170" s="20">
        <v>1755.0175598013802</v>
      </c>
      <c r="F170" s="21">
        <v>1746.2697448355425</v>
      </c>
      <c r="H170" t="s">
        <v>1036</v>
      </c>
    </row>
    <row r="171" spans="1:8" ht="15.75" thickBot="1" x14ac:dyDescent="0.3">
      <c r="A171" s="19">
        <v>7</v>
      </c>
      <c r="B171" s="15" t="s">
        <v>279</v>
      </c>
      <c r="C171" s="15" t="s">
        <v>280</v>
      </c>
      <c r="D171" s="16">
        <v>1733.1802264513806</v>
      </c>
      <c r="E171" s="20">
        <v>1654.9795718834444</v>
      </c>
      <c r="F171" s="21">
        <v>1654.9795718834444</v>
      </c>
      <c r="H171" t="s">
        <v>1036</v>
      </c>
    </row>
    <row r="172" spans="1:8" ht="15.75" thickBot="1" x14ac:dyDescent="0.3">
      <c r="A172" s="19">
        <v>8</v>
      </c>
      <c r="B172" s="15" t="s">
        <v>281</v>
      </c>
      <c r="C172" s="15" t="s">
        <v>282</v>
      </c>
      <c r="D172" s="16">
        <v>1729.7293688033053</v>
      </c>
      <c r="E172" s="20">
        <v>1770.0273105855756</v>
      </c>
      <c r="F172" s="21">
        <v>1791.8211586686618</v>
      </c>
      <c r="H172" t="s">
        <v>1036</v>
      </c>
    </row>
    <row r="173" spans="1:8" ht="15.75" thickBot="1" x14ac:dyDescent="0.3">
      <c r="A173" s="19">
        <v>9</v>
      </c>
      <c r="B173" s="15" t="s">
        <v>283</v>
      </c>
      <c r="C173" s="15" t="s">
        <v>284</v>
      </c>
      <c r="D173" s="16">
        <v>1705.4420103544176</v>
      </c>
      <c r="E173" s="20">
        <v>1614.0203729802658</v>
      </c>
      <c r="F173" s="21">
        <v>1614.0203729802658</v>
      </c>
      <c r="H173" t="s">
        <v>1036</v>
      </c>
    </row>
    <row r="174" spans="1:8" ht="15.75" thickBot="1" x14ac:dyDescent="0.3">
      <c r="A174" s="33">
        <v>10</v>
      </c>
      <c r="B174" s="15" t="s">
        <v>285</v>
      </c>
      <c r="C174" s="15" t="s">
        <v>286</v>
      </c>
      <c r="D174" s="16">
        <v>1694.4816920998894</v>
      </c>
      <c r="E174" s="34">
        <v>1742.6664992313727</v>
      </c>
      <c r="F174" s="35">
        <v>1737.4411214731022</v>
      </c>
      <c r="H174" t="s">
        <v>1036</v>
      </c>
    </row>
    <row r="175" spans="1:8" x14ac:dyDescent="0.25">
      <c r="A175" s="65" t="s">
        <v>115</v>
      </c>
      <c r="B175" s="63"/>
      <c r="C175" s="63"/>
      <c r="D175" s="66"/>
      <c r="E175" s="63"/>
      <c r="F175" s="63"/>
      <c r="H175" t="s">
        <v>1036</v>
      </c>
    </row>
    <row r="176" spans="1:8" x14ac:dyDescent="0.25">
      <c r="A176" s="63" t="s">
        <v>267</v>
      </c>
      <c r="B176" s="63">
        <v>1849.3640495575626</v>
      </c>
      <c r="C176" s="63"/>
      <c r="D176" s="66"/>
      <c r="E176" s="63"/>
      <c r="F176" s="63"/>
      <c r="H176" t="s">
        <v>1036</v>
      </c>
    </row>
    <row r="177" spans="1:8" x14ac:dyDescent="0.25">
      <c r="A177" s="63" t="s">
        <v>273</v>
      </c>
      <c r="B177" s="63">
        <v>1868.380243376394</v>
      </c>
      <c r="C177" s="63"/>
      <c r="D177" s="66"/>
      <c r="E177" s="63"/>
      <c r="F177" s="63"/>
      <c r="H177" t="s">
        <v>1036</v>
      </c>
    </row>
    <row r="178" spans="1:8" x14ac:dyDescent="0.25">
      <c r="A178" s="63" t="s">
        <v>275</v>
      </c>
      <c r="B178" s="63">
        <v>1692.0270354115453</v>
      </c>
      <c r="C178" s="63"/>
      <c r="D178" s="66"/>
      <c r="E178" s="63"/>
      <c r="F178" s="63"/>
      <c r="H178" t="s">
        <v>1036</v>
      </c>
    </row>
    <row r="179" spans="1:8" x14ac:dyDescent="0.25">
      <c r="A179" s="63" t="s">
        <v>281</v>
      </c>
      <c r="B179" s="63">
        <v>1770.0273105855756</v>
      </c>
      <c r="C179" s="63"/>
      <c r="D179" s="66"/>
      <c r="E179" s="63"/>
      <c r="F179" s="63"/>
      <c r="H179" t="s">
        <v>1036</v>
      </c>
    </row>
    <row r="180" spans="1:8" ht="15.75" thickBot="1" x14ac:dyDescent="0.3">
      <c r="A180" s="63" t="s">
        <v>283</v>
      </c>
      <c r="B180" s="63">
        <v>1614.0203729802658</v>
      </c>
      <c r="C180" s="63"/>
      <c r="D180" s="66"/>
      <c r="E180" s="63"/>
      <c r="F180" s="63"/>
      <c r="H180" t="s">
        <v>1036</v>
      </c>
    </row>
    <row r="181" spans="1:8" ht="15.75" thickBot="1" x14ac:dyDescent="0.3">
      <c r="A181" s="8" t="s">
        <v>9</v>
      </c>
      <c r="B181" s="9" t="s">
        <v>10</v>
      </c>
      <c r="C181" s="10" t="s">
        <v>11</v>
      </c>
      <c r="D181" s="11" t="s">
        <v>12</v>
      </c>
      <c r="E181" s="12" t="s">
        <v>13</v>
      </c>
      <c r="F181" s="11" t="s">
        <v>14</v>
      </c>
      <c r="H181" t="s">
        <v>1037</v>
      </c>
    </row>
    <row r="182" spans="1:8" ht="15.75" thickBot="1" x14ac:dyDescent="0.3">
      <c r="A182" s="14">
        <v>1</v>
      </c>
      <c r="B182" s="15" t="s">
        <v>172</v>
      </c>
      <c r="C182" s="15" t="s">
        <v>173</v>
      </c>
      <c r="D182" s="16">
        <v>2232.5282669272556</v>
      </c>
      <c r="E182" s="17">
        <v>2226.9917558737516</v>
      </c>
      <c r="F182" s="18">
        <v>2259.1775396240569</v>
      </c>
      <c r="H182" t="s">
        <v>1037</v>
      </c>
    </row>
    <row r="183" spans="1:8" ht="15.75" thickBot="1" x14ac:dyDescent="0.3">
      <c r="A183" s="19">
        <v>2</v>
      </c>
      <c r="B183" s="15" t="s">
        <v>178</v>
      </c>
      <c r="C183" s="15" t="s">
        <v>179</v>
      </c>
      <c r="D183" s="16">
        <v>2203.6952157273317</v>
      </c>
      <c r="E183" s="20">
        <v>2198.539024782257</v>
      </c>
      <c r="F183" s="21">
        <v>2182.5823517948334</v>
      </c>
      <c r="H183" t="s">
        <v>1037</v>
      </c>
    </row>
    <row r="184" spans="1:8" ht="15.75" thickBot="1" x14ac:dyDescent="0.3">
      <c r="A184" s="19">
        <v>3</v>
      </c>
      <c r="B184" s="15" t="s">
        <v>180</v>
      </c>
      <c r="C184" s="15" t="s">
        <v>181</v>
      </c>
      <c r="D184" s="16">
        <v>2200</v>
      </c>
      <c r="E184" s="20">
        <v>2260.1354067312764</v>
      </c>
      <c r="F184" s="21">
        <v>2242.6136983678898</v>
      </c>
      <c r="H184" t="s">
        <v>1037</v>
      </c>
    </row>
    <row r="185" spans="1:8" ht="15.75" thickBot="1" x14ac:dyDescent="0.3">
      <c r="A185" s="19">
        <v>4</v>
      </c>
      <c r="B185" s="15" t="s">
        <v>182</v>
      </c>
      <c r="C185" s="15" t="s">
        <v>183</v>
      </c>
      <c r="D185" s="16">
        <v>2200</v>
      </c>
      <c r="E185" s="20">
        <v>2174.7832696995929</v>
      </c>
      <c r="F185" s="21">
        <v>2189.6243126686718</v>
      </c>
      <c r="H185" t="s">
        <v>1037</v>
      </c>
    </row>
    <row r="186" spans="1:8" ht="15.75" thickBot="1" x14ac:dyDescent="0.3">
      <c r="A186" s="19">
        <v>5</v>
      </c>
      <c r="B186" s="15" t="s">
        <v>184</v>
      </c>
      <c r="C186" s="15" t="s">
        <v>185</v>
      </c>
      <c r="D186" s="16">
        <v>2138.2377521954518</v>
      </c>
      <c r="E186" s="20">
        <v>2199.479861205919</v>
      </c>
      <c r="F186" s="21">
        <v>2200.7724588064239</v>
      </c>
      <c r="H186" t="s">
        <v>1037</v>
      </c>
    </row>
    <row r="187" spans="1:8" ht="15.75" thickBot="1" x14ac:dyDescent="0.3">
      <c r="A187" s="19">
        <v>6</v>
      </c>
      <c r="B187" s="15" t="s">
        <v>186</v>
      </c>
      <c r="C187" s="15" t="s">
        <v>187</v>
      </c>
      <c r="D187" s="16">
        <v>2014.4481187300305</v>
      </c>
      <c r="E187" s="20">
        <v>1994.0183521730664</v>
      </c>
      <c r="F187" s="21">
        <v>1996.7557391443099</v>
      </c>
      <c r="H187" t="s">
        <v>1037</v>
      </c>
    </row>
    <row r="188" spans="1:8" ht="15.75" thickBot="1" x14ac:dyDescent="0.3">
      <c r="A188" s="19">
        <v>7</v>
      </c>
      <c r="B188" s="15" t="s">
        <v>188</v>
      </c>
      <c r="C188" s="15" t="s">
        <v>189</v>
      </c>
      <c r="D188" s="16">
        <v>1965.4518951526236</v>
      </c>
      <c r="E188" s="20">
        <v>1930.9024459233858</v>
      </c>
      <c r="F188" s="21">
        <v>1924.5920646598336</v>
      </c>
      <c r="H188" t="s">
        <v>1037</v>
      </c>
    </row>
    <row r="189" spans="1:8" ht="15.75" thickBot="1" x14ac:dyDescent="0.3">
      <c r="A189" s="19">
        <v>8</v>
      </c>
      <c r="B189" s="15" t="s">
        <v>190</v>
      </c>
      <c r="C189" s="15" t="s">
        <v>191</v>
      </c>
      <c r="D189" s="16">
        <v>1918.5906334054932</v>
      </c>
      <c r="E189" s="20">
        <v>1888.1017657489374</v>
      </c>
      <c r="F189" s="21">
        <v>1876.833717072167</v>
      </c>
      <c r="H189" t="s">
        <v>1037</v>
      </c>
    </row>
    <row r="190" spans="1:8" x14ac:dyDescent="0.25">
      <c r="A190" s="65" t="s">
        <v>115</v>
      </c>
      <c r="B190" s="63"/>
      <c r="C190" s="63"/>
      <c r="D190" s="66"/>
      <c r="E190" s="63"/>
      <c r="F190" s="63"/>
      <c r="H190" t="s">
        <v>1037</v>
      </c>
    </row>
    <row r="191" spans="1:8" x14ac:dyDescent="0.25">
      <c r="A191" s="63" t="s">
        <v>172</v>
      </c>
      <c r="B191" s="63">
        <v>2226.9917558737516</v>
      </c>
      <c r="C191" s="63"/>
      <c r="D191" s="66"/>
      <c r="E191" s="63"/>
      <c r="F191" s="63"/>
      <c r="H191" t="s">
        <v>1037</v>
      </c>
    </row>
    <row r="192" spans="1:8" x14ac:dyDescent="0.25">
      <c r="A192" s="63" t="s">
        <v>182</v>
      </c>
      <c r="B192" s="63">
        <v>2174.7832696995929</v>
      </c>
      <c r="C192" s="63"/>
      <c r="D192" s="66"/>
      <c r="E192" s="63"/>
      <c r="F192" s="63"/>
      <c r="H192" t="s">
        <v>1037</v>
      </c>
    </row>
    <row r="193" spans="1:8" x14ac:dyDescent="0.25">
      <c r="A193" s="63" t="s">
        <v>184</v>
      </c>
      <c r="B193" s="63">
        <v>2199.479861205919</v>
      </c>
      <c r="C193" s="63"/>
      <c r="D193" s="66"/>
      <c r="E193" s="63"/>
      <c r="F193" s="63"/>
      <c r="H193" t="s">
        <v>1037</v>
      </c>
    </row>
    <row r="194" spans="1:8" x14ac:dyDescent="0.25">
      <c r="A194" s="63" t="s">
        <v>190</v>
      </c>
      <c r="B194" s="63">
        <v>1888.1017657489374</v>
      </c>
      <c r="C194" s="63"/>
      <c r="D194" s="66"/>
      <c r="E194" s="63"/>
      <c r="F194" s="63"/>
      <c r="H194" t="s">
        <v>1037</v>
      </c>
    </row>
    <row r="195" spans="1:8" ht="15.75" thickBot="1" x14ac:dyDescent="0.3">
      <c r="A195" s="63">
        <v>0</v>
      </c>
      <c r="B195" s="63" t="e">
        <v>#N/A</v>
      </c>
      <c r="C195" s="63"/>
      <c r="D195" s="66"/>
      <c r="E195" s="63"/>
      <c r="F195" s="63"/>
      <c r="H195" t="s">
        <v>1037</v>
      </c>
    </row>
    <row r="196" spans="1:8" ht="15.75" thickBot="1" x14ac:dyDescent="0.3">
      <c r="A196" s="8" t="s">
        <v>9</v>
      </c>
      <c r="B196" s="9" t="s">
        <v>10</v>
      </c>
      <c r="C196" s="10" t="s">
        <v>11</v>
      </c>
      <c r="D196" s="11" t="s">
        <v>12</v>
      </c>
      <c r="E196" s="12" t="s">
        <v>13</v>
      </c>
      <c r="F196" s="11" t="s">
        <v>14</v>
      </c>
      <c r="H196" t="s">
        <v>1038</v>
      </c>
    </row>
    <row r="197" spans="1:8" ht="15.75" thickBot="1" x14ac:dyDescent="0.3">
      <c r="A197" s="14">
        <v>1</v>
      </c>
      <c r="B197" s="15" t="s">
        <v>289</v>
      </c>
      <c r="C197" s="15" t="s">
        <v>290</v>
      </c>
      <c r="D197" s="16">
        <v>1957.3259502278074</v>
      </c>
      <c r="E197" s="17">
        <v>1936.0960554101941</v>
      </c>
      <c r="F197" s="18">
        <v>1968.7059582012987</v>
      </c>
      <c r="H197" t="s">
        <v>1038</v>
      </c>
    </row>
    <row r="198" spans="1:8" ht="15.75" thickBot="1" x14ac:dyDescent="0.3">
      <c r="A198" s="19">
        <v>2</v>
      </c>
      <c r="B198" s="15" t="s">
        <v>291</v>
      </c>
      <c r="C198" s="15" t="s">
        <v>292</v>
      </c>
      <c r="D198" s="16">
        <v>1930.6477056485521</v>
      </c>
      <c r="E198" s="20">
        <v>2031.8497454633305</v>
      </c>
      <c r="F198" s="21">
        <v>2019.7195191341993</v>
      </c>
      <c r="H198" t="s">
        <v>1038</v>
      </c>
    </row>
    <row r="199" spans="1:8" ht="15.75" thickBot="1" x14ac:dyDescent="0.3">
      <c r="A199" s="19">
        <v>3</v>
      </c>
      <c r="B199" s="15" t="s">
        <v>293</v>
      </c>
      <c r="C199" s="15" t="s">
        <v>294</v>
      </c>
      <c r="D199" s="16">
        <v>1923.1880111835867</v>
      </c>
      <c r="E199" s="20">
        <v>1954.6709968609996</v>
      </c>
      <c r="F199" s="21">
        <v>1943.949964380706</v>
      </c>
      <c r="H199" t="s">
        <v>1038</v>
      </c>
    </row>
    <row r="200" spans="1:8" ht="15.75" thickBot="1" x14ac:dyDescent="0.3">
      <c r="A200" s="19">
        <v>4</v>
      </c>
      <c r="B200" s="15" t="s">
        <v>295</v>
      </c>
      <c r="C200" s="15" t="s">
        <v>296</v>
      </c>
      <c r="D200" s="16">
        <v>2000.3203057553364</v>
      </c>
      <c r="E200" s="20">
        <v>2073.7565728262616</v>
      </c>
      <c r="F200" s="21">
        <v>2102.5489256142664</v>
      </c>
      <c r="H200" t="s">
        <v>1038</v>
      </c>
    </row>
    <row r="201" spans="1:8" ht="15.75" thickBot="1" x14ac:dyDescent="0.3">
      <c r="A201" s="19">
        <v>5</v>
      </c>
      <c r="B201" s="15" t="s">
        <v>193</v>
      </c>
      <c r="C201" s="15" t="s">
        <v>194</v>
      </c>
      <c r="D201" s="16">
        <v>1825.171036313171</v>
      </c>
      <c r="E201" s="20">
        <v>1778.9256999946645</v>
      </c>
      <c r="F201" s="21">
        <v>1772.824914836184</v>
      </c>
      <c r="H201" t="s">
        <v>1038</v>
      </c>
    </row>
    <row r="202" spans="1:8" ht="15.75" thickBot="1" x14ac:dyDescent="0.3">
      <c r="A202" s="19">
        <v>6</v>
      </c>
      <c r="B202" s="15" t="s">
        <v>297</v>
      </c>
      <c r="C202" s="15" t="s">
        <v>298</v>
      </c>
      <c r="D202" s="16">
        <v>1909.4303022328752</v>
      </c>
      <c r="E202" s="20">
        <v>1862.6401854308592</v>
      </c>
      <c r="F202" s="21">
        <v>1849.9734355569628</v>
      </c>
      <c r="H202" t="s">
        <v>1038</v>
      </c>
    </row>
    <row r="203" spans="1:8" ht="15.75" thickBot="1" x14ac:dyDescent="0.3">
      <c r="A203" s="19">
        <v>7</v>
      </c>
      <c r="B203" s="15" t="s">
        <v>299</v>
      </c>
      <c r="C203" s="15" t="s">
        <v>300</v>
      </c>
      <c r="D203" s="16">
        <v>2115.980955417655</v>
      </c>
      <c r="E203" s="20">
        <v>2030.0860467274795</v>
      </c>
      <c r="F203" s="21">
        <v>2016.2436789687517</v>
      </c>
      <c r="H203" t="s">
        <v>1038</v>
      </c>
    </row>
    <row r="204" spans="1:8" ht="15.75" thickBot="1" x14ac:dyDescent="0.3">
      <c r="A204" s="19">
        <v>8</v>
      </c>
      <c r="B204" s="15" t="s">
        <v>195</v>
      </c>
      <c r="C204" s="15" t="s">
        <v>196</v>
      </c>
      <c r="D204" s="16">
        <v>2123.540387847499</v>
      </c>
      <c r="E204" s="20">
        <v>2117.5793519126942</v>
      </c>
      <c r="F204" s="21">
        <v>2111.6382579341143</v>
      </c>
      <c r="H204" t="s">
        <v>1038</v>
      </c>
    </row>
    <row r="205" spans="1:8" x14ac:dyDescent="0.25">
      <c r="A205" s="65" t="s">
        <v>115</v>
      </c>
      <c r="B205" s="63"/>
      <c r="C205" s="63"/>
      <c r="D205" s="66"/>
      <c r="E205" s="63"/>
      <c r="F205" s="63"/>
      <c r="H205" t="s">
        <v>1038</v>
      </c>
    </row>
    <row r="206" spans="1:8" x14ac:dyDescent="0.25">
      <c r="A206" s="63" t="s">
        <v>289</v>
      </c>
      <c r="B206" s="63">
        <v>1936.0960554101941</v>
      </c>
      <c r="C206" s="63"/>
      <c r="D206" s="66"/>
      <c r="E206" s="63"/>
      <c r="F206" s="63"/>
      <c r="H206" t="s">
        <v>1038</v>
      </c>
    </row>
    <row r="207" spans="1:8" x14ac:dyDescent="0.25">
      <c r="A207" s="63" t="s">
        <v>295</v>
      </c>
      <c r="B207" s="63">
        <v>2073.7565728262616</v>
      </c>
      <c r="C207" s="63"/>
      <c r="D207" s="66"/>
      <c r="E207" s="63"/>
      <c r="F207" s="63"/>
      <c r="H207" t="s">
        <v>1038</v>
      </c>
    </row>
    <row r="208" spans="1:8" x14ac:dyDescent="0.25">
      <c r="A208" s="63" t="s">
        <v>193</v>
      </c>
      <c r="B208" s="63">
        <v>1778.9256999946645</v>
      </c>
      <c r="C208" s="63"/>
      <c r="D208" s="66"/>
      <c r="E208" s="63"/>
      <c r="F208" s="63"/>
      <c r="H208" t="s">
        <v>1038</v>
      </c>
    </row>
    <row r="209" spans="1:8" x14ac:dyDescent="0.25">
      <c r="A209" s="63" t="s">
        <v>195</v>
      </c>
      <c r="B209" s="63">
        <v>2117.5793519126942</v>
      </c>
      <c r="C209" s="63"/>
      <c r="D209" s="66"/>
      <c r="E209" s="63"/>
      <c r="F209" s="63"/>
      <c r="H209" t="s">
        <v>1038</v>
      </c>
    </row>
    <row r="210" spans="1:8" ht="15.75" thickBot="1" x14ac:dyDescent="0.3">
      <c r="A210" s="63">
        <v>0</v>
      </c>
      <c r="B210" s="63" t="e">
        <v>#N/A</v>
      </c>
      <c r="C210" s="63"/>
      <c r="D210" s="66"/>
      <c r="E210" s="63"/>
      <c r="F210" s="63"/>
      <c r="H210" t="s">
        <v>1038</v>
      </c>
    </row>
    <row r="211" spans="1:8" ht="15.75" thickBot="1" x14ac:dyDescent="0.3">
      <c r="A211" s="8" t="s">
        <v>9</v>
      </c>
      <c r="B211" s="9" t="s">
        <v>10</v>
      </c>
      <c r="C211" s="10" t="s">
        <v>11</v>
      </c>
      <c r="D211" s="11" t="s">
        <v>12</v>
      </c>
      <c r="E211" s="12" t="s">
        <v>13</v>
      </c>
      <c r="F211" s="11" t="s">
        <v>14</v>
      </c>
      <c r="H211" t="s">
        <v>1039</v>
      </c>
    </row>
    <row r="212" spans="1:8" ht="15.75" thickBot="1" x14ac:dyDescent="0.3">
      <c r="A212" s="14">
        <v>1</v>
      </c>
      <c r="B212" s="15" t="s">
        <v>304</v>
      </c>
      <c r="C212" s="15" t="s">
        <v>305</v>
      </c>
      <c r="D212" s="16">
        <v>2550.4882821127521</v>
      </c>
      <c r="E212" s="17">
        <v>2582.6337956345133</v>
      </c>
      <c r="F212" s="18">
        <v>2602.0670906930518</v>
      </c>
      <c r="H212" t="s">
        <v>1039</v>
      </c>
    </row>
    <row r="213" spans="1:8" ht="15.75" thickBot="1" x14ac:dyDescent="0.3">
      <c r="A213" s="19">
        <v>2</v>
      </c>
      <c r="B213" s="15" t="s">
        <v>306</v>
      </c>
      <c r="C213" s="15" t="s">
        <v>307</v>
      </c>
      <c r="D213" s="16">
        <v>2504.8525408531418</v>
      </c>
      <c r="E213" s="20">
        <v>2497.3788195621469</v>
      </c>
      <c r="F213" s="21">
        <v>2485.2280075007443</v>
      </c>
      <c r="H213" t="s">
        <v>1039</v>
      </c>
    </row>
    <row r="214" spans="1:8" ht="15.75" thickBot="1" x14ac:dyDescent="0.3">
      <c r="A214" s="19">
        <v>3</v>
      </c>
      <c r="B214" s="15" t="s">
        <v>308</v>
      </c>
      <c r="C214" s="15" t="s">
        <v>309</v>
      </c>
      <c r="D214" s="16">
        <v>2200</v>
      </c>
      <c r="E214" s="20">
        <v>2362.6204348617684</v>
      </c>
      <c r="F214" s="21">
        <v>2375.211979799888</v>
      </c>
      <c r="H214" t="s">
        <v>1039</v>
      </c>
    </row>
    <row r="215" spans="1:8" ht="15.75" thickBot="1" x14ac:dyDescent="0.3">
      <c r="A215" s="19">
        <v>4</v>
      </c>
      <c r="B215" s="15" t="s">
        <v>310</v>
      </c>
      <c r="C215" s="15" t="s">
        <v>311</v>
      </c>
      <c r="D215" s="16">
        <v>2400</v>
      </c>
      <c r="E215" s="20">
        <v>2419.5058168561241</v>
      </c>
      <c r="F215" s="21">
        <v>2440.2815498712666</v>
      </c>
      <c r="H215" t="s">
        <v>1039</v>
      </c>
    </row>
    <row r="216" spans="1:8" ht="15.75" thickBot="1" x14ac:dyDescent="0.3">
      <c r="A216" s="19">
        <v>5</v>
      </c>
      <c r="B216" s="15" t="s">
        <v>312</v>
      </c>
      <c r="C216" s="15" t="s">
        <v>313</v>
      </c>
      <c r="D216" s="16">
        <v>2400</v>
      </c>
      <c r="E216" s="20">
        <v>2448.4481678791185</v>
      </c>
      <c r="F216" s="21">
        <v>2428.574139943863</v>
      </c>
      <c r="H216" t="s">
        <v>1039</v>
      </c>
    </row>
    <row r="217" spans="1:8" ht="15.75" thickBot="1" x14ac:dyDescent="0.3">
      <c r="A217" s="19">
        <v>6</v>
      </c>
      <c r="B217" s="15" t="s">
        <v>314</v>
      </c>
      <c r="C217" s="15" t="s">
        <v>315</v>
      </c>
      <c r="D217" s="16">
        <v>2366.6059849945268</v>
      </c>
      <c r="E217" s="20">
        <v>2348.8324742187001</v>
      </c>
      <c r="F217" s="21">
        <v>2337.9679777779384</v>
      </c>
      <c r="H217" t="s">
        <v>1039</v>
      </c>
    </row>
    <row r="218" spans="1:8" ht="15.75" thickBot="1" x14ac:dyDescent="0.3">
      <c r="A218" s="19">
        <v>7</v>
      </c>
      <c r="B218" s="15" t="s">
        <v>316</v>
      </c>
      <c r="C218" s="15" t="s">
        <v>317</v>
      </c>
      <c r="D218" s="16">
        <v>2330.3909835910367</v>
      </c>
      <c r="E218" s="20">
        <v>2236.6379994866888</v>
      </c>
      <c r="F218" s="21">
        <v>2228.3592034324347</v>
      </c>
      <c r="H218" t="s">
        <v>1039</v>
      </c>
    </row>
    <row r="219" spans="1:8" ht="15.75" thickBot="1" x14ac:dyDescent="0.3">
      <c r="A219" s="19">
        <v>8</v>
      </c>
      <c r="B219" s="15" t="s">
        <v>318</v>
      </c>
      <c r="C219" s="15" t="s">
        <v>319</v>
      </c>
      <c r="D219" s="16">
        <v>2314.8207408110184</v>
      </c>
      <c r="E219" s="20">
        <v>2227.3143583110036</v>
      </c>
      <c r="F219" s="21">
        <v>2227.3143583110036</v>
      </c>
      <c r="H219" t="s">
        <v>1039</v>
      </c>
    </row>
    <row r="220" spans="1:8" ht="15.75" thickBot="1" x14ac:dyDescent="0.3">
      <c r="A220" s="19">
        <v>9</v>
      </c>
      <c r="B220" s="15" t="s">
        <v>320</v>
      </c>
      <c r="C220" s="15" t="s">
        <v>321</v>
      </c>
      <c r="D220" s="16">
        <v>2266.9866046582174</v>
      </c>
      <c r="E220" s="20">
        <v>2254.3934889012285</v>
      </c>
      <c r="F220" s="21">
        <v>2252.7610483811018</v>
      </c>
      <c r="H220" t="s">
        <v>1039</v>
      </c>
    </row>
    <row r="221" spans="1:8" ht="15.75" thickBot="1" x14ac:dyDescent="0.3">
      <c r="A221" s="33">
        <v>10</v>
      </c>
      <c r="B221" s="15" t="s">
        <v>322</v>
      </c>
      <c r="C221" s="15" t="s">
        <v>323</v>
      </c>
      <c r="D221" s="16">
        <v>2201.5596850765965</v>
      </c>
      <c r="E221" s="34">
        <v>2157.9394663859975</v>
      </c>
      <c r="F221" s="35">
        <v>2157.9394663859975</v>
      </c>
      <c r="H221" t="s">
        <v>1039</v>
      </c>
    </row>
    <row r="222" spans="1:8" x14ac:dyDescent="0.25">
      <c r="A222" s="65" t="s">
        <v>115</v>
      </c>
      <c r="B222" s="63"/>
      <c r="C222" s="63"/>
      <c r="D222" s="66"/>
      <c r="E222" s="63"/>
      <c r="F222" s="63"/>
      <c r="H222" t="s">
        <v>1039</v>
      </c>
    </row>
    <row r="223" spans="1:8" x14ac:dyDescent="0.25">
      <c r="A223" s="63" t="s">
        <v>304</v>
      </c>
      <c r="B223" s="63">
        <v>2582.6337956345133</v>
      </c>
      <c r="C223" s="63"/>
      <c r="D223" s="66"/>
      <c r="E223" s="63"/>
      <c r="F223" s="63"/>
      <c r="H223" t="s">
        <v>1039</v>
      </c>
    </row>
    <row r="224" spans="1:8" x14ac:dyDescent="0.25">
      <c r="A224" s="63" t="s">
        <v>310</v>
      </c>
      <c r="B224" s="63">
        <v>2419.5058168561241</v>
      </c>
      <c r="C224" s="63"/>
      <c r="D224" s="66"/>
      <c r="E224" s="63"/>
      <c r="F224" s="63"/>
      <c r="H224" t="s">
        <v>1039</v>
      </c>
    </row>
    <row r="225" spans="1:8" x14ac:dyDescent="0.25">
      <c r="A225" s="63" t="s">
        <v>312</v>
      </c>
      <c r="B225" s="63">
        <v>2448.4481678791185</v>
      </c>
      <c r="C225" s="63"/>
      <c r="D225" s="66"/>
      <c r="E225" s="63"/>
      <c r="F225" s="63"/>
      <c r="H225" t="s">
        <v>1039</v>
      </c>
    </row>
    <row r="226" spans="1:8" x14ac:dyDescent="0.25">
      <c r="A226" s="63" t="s">
        <v>318</v>
      </c>
      <c r="B226" s="63">
        <v>2227.3143583110036</v>
      </c>
      <c r="C226" s="63"/>
      <c r="D226" s="66"/>
      <c r="E226" s="63"/>
      <c r="F226" s="63"/>
      <c r="H226" t="s">
        <v>1039</v>
      </c>
    </row>
    <row r="227" spans="1:8" ht="15.75" thickBot="1" x14ac:dyDescent="0.3">
      <c r="A227" s="63" t="s">
        <v>320</v>
      </c>
      <c r="B227" s="63">
        <v>2254.3934889012285</v>
      </c>
      <c r="C227" s="63"/>
      <c r="D227" s="66"/>
      <c r="E227" s="63"/>
      <c r="F227" s="63"/>
      <c r="H227" t="s">
        <v>1039</v>
      </c>
    </row>
    <row r="228" spans="1:8" ht="15.75" thickBot="1" x14ac:dyDescent="0.3">
      <c r="A228" s="8" t="s">
        <v>9</v>
      </c>
      <c r="B228" s="9" t="s">
        <v>10</v>
      </c>
      <c r="C228" s="10" t="s">
        <v>11</v>
      </c>
      <c r="D228" s="11" t="s">
        <v>12</v>
      </c>
      <c r="E228" s="12" t="s">
        <v>13</v>
      </c>
      <c r="F228" s="11" t="s">
        <v>14</v>
      </c>
      <c r="H228" t="s">
        <v>1040</v>
      </c>
    </row>
    <row r="229" spans="1:8" ht="15.75" thickBot="1" x14ac:dyDescent="0.3">
      <c r="A229" s="14">
        <v>1</v>
      </c>
      <c r="B229" s="15" t="s">
        <v>799</v>
      </c>
      <c r="C229" s="15" t="s">
        <v>797</v>
      </c>
      <c r="D229" s="16">
        <v>2258.8911105410434</v>
      </c>
      <c r="E229" s="17">
        <v>2325.7587268994484</v>
      </c>
      <c r="F229" s="18">
        <v>2316.2116999108894</v>
      </c>
      <c r="H229" t="s">
        <v>1040</v>
      </c>
    </row>
    <row r="230" spans="1:8" ht="15.75" thickBot="1" x14ac:dyDescent="0.3">
      <c r="A230" s="19">
        <v>2</v>
      </c>
      <c r="B230" s="15" t="s">
        <v>977</v>
      </c>
      <c r="C230" s="15" t="s">
        <v>978</v>
      </c>
      <c r="D230" s="16">
        <v>2200</v>
      </c>
      <c r="E230" s="20">
        <v>2300.7385559451241</v>
      </c>
      <c r="F230" s="21">
        <v>2311.4565337056633</v>
      </c>
      <c r="H230" t="s">
        <v>1040</v>
      </c>
    </row>
    <row r="231" spans="1:8" ht="15.75" thickBot="1" x14ac:dyDescent="0.3">
      <c r="A231" s="19">
        <v>3</v>
      </c>
      <c r="B231" s="15" t="s">
        <v>809</v>
      </c>
      <c r="C231" s="15" t="s">
        <v>808</v>
      </c>
      <c r="D231" s="16">
        <v>2200</v>
      </c>
      <c r="E231" s="20">
        <v>2114.1208503761477</v>
      </c>
      <c r="F231" s="21">
        <v>2114.1208503761477</v>
      </c>
      <c r="H231" t="s">
        <v>1040</v>
      </c>
    </row>
    <row r="232" spans="1:8" ht="15.75" thickBot="1" x14ac:dyDescent="0.3">
      <c r="A232" s="19">
        <v>4</v>
      </c>
      <c r="B232" s="15" t="s">
        <v>979</v>
      </c>
      <c r="C232" s="15" t="s">
        <v>980</v>
      </c>
      <c r="D232" s="16">
        <v>2200</v>
      </c>
      <c r="E232" s="20">
        <v>2176.91916326104</v>
      </c>
      <c r="F232" s="21">
        <v>2175.394029072223</v>
      </c>
      <c r="H232" t="s">
        <v>1040</v>
      </c>
    </row>
    <row r="233" spans="1:8" ht="15.75" thickBot="1" x14ac:dyDescent="0.3">
      <c r="A233" s="19">
        <v>5</v>
      </c>
      <c r="B233" s="15" t="s">
        <v>801</v>
      </c>
      <c r="C233" s="15" t="s">
        <v>800</v>
      </c>
      <c r="D233" s="16">
        <v>2166.7229327282698</v>
      </c>
      <c r="E233" s="20">
        <v>2183.1719405604113</v>
      </c>
      <c r="F233" s="21">
        <v>2177.7802114634451</v>
      </c>
      <c r="H233" t="s">
        <v>1040</v>
      </c>
    </row>
    <row r="234" spans="1:8" ht="15.75" thickBot="1" x14ac:dyDescent="0.3">
      <c r="A234" s="19">
        <v>6</v>
      </c>
      <c r="B234" s="15" t="s">
        <v>981</v>
      </c>
      <c r="C234" s="15" t="s">
        <v>982</v>
      </c>
      <c r="D234" s="16">
        <v>2200</v>
      </c>
      <c r="E234" s="20">
        <v>2257.7154062853579</v>
      </c>
      <c r="F234" s="21">
        <v>2261.9361846103438</v>
      </c>
      <c r="H234" t="s">
        <v>1040</v>
      </c>
    </row>
    <row r="235" spans="1:8" ht="15.75" thickBot="1" x14ac:dyDescent="0.3">
      <c r="A235" s="19">
        <v>7</v>
      </c>
      <c r="B235" s="15" t="s">
        <v>811</v>
      </c>
      <c r="C235" s="15" t="s">
        <v>810</v>
      </c>
      <c r="D235" s="16">
        <v>2159.5399863106313</v>
      </c>
      <c r="E235" s="20">
        <v>2171.8274567195708</v>
      </c>
      <c r="F235" s="21">
        <v>2189.9296425980651</v>
      </c>
      <c r="H235" t="s">
        <v>1040</v>
      </c>
    </row>
    <row r="236" spans="1:8" ht="15.75" thickBot="1" x14ac:dyDescent="0.3">
      <c r="A236" s="19">
        <v>8</v>
      </c>
      <c r="B236" s="15" t="s">
        <v>807</v>
      </c>
      <c r="C236" s="15" t="s">
        <v>806</v>
      </c>
      <c r="D236" s="16">
        <v>2102.1310809793767</v>
      </c>
      <c r="E236" s="20">
        <v>2119.7342603300549</v>
      </c>
      <c r="F236" s="21">
        <v>2119.7342603300549</v>
      </c>
      <c r="H236" t="s">
        <v>1040</v>
      </c>
    </row>
    <row r="237" spans="1:8" ht="15.75" thickBot="1" x14ac:dyDescent="0.3">
      <c r="A237" s="19">
        <v>9</v>
      </c>
      <c r="B237" s="15" t="s">
        <v>870</v>
      </c>
      <c r="C237" s="15" t="s">
        <v>869</v>
      </c>
      <c r="D237" s="16">
        <v>2337.7028474617719</v>
      </c>
      <c r="E237" s="20">
        <v>2259.8638806595072</v>
      </c>
      <c r="F237" s="21">
        <v>2249.8790654342693</v>
      </c>
      <c r="H237" t="s">
        <v>1040</v>
      </c>
    </row>
    <row r="238" spans="1:8" ht="15.75" thickBot="1" x14ac:dyDescent="0.3">
      <c r="A238" s="33">
        <v>10</v>
      </c>
      <c r="B238" s="15" t="s">
        <v>983</v>
      </c>
      <c r="C238" s="15" t="s">
        <v>984</v>
      </c>
      <c r="D238" s="16">
        <v>2200</v>
      </c>
      <c r="E238" s="34">
        <v>2115.1377169844309</v>
      </c>
      <c r="F238" s="35">
        <v>2108.5454805199915</v>
      </c>
      <c r="H238" t="s">
        <v>1040</v>
      </c>
    </row>
    <row r="239" spans="1:8" x14ac:dyDescent="0.25">
      <c r="A239" s="65" t="s">
        <v>115</v>
      </c>
      <c r="B239" s="63"/>
      <c r="C239" s="63"/>
      <c r="D239" s="66"/>
      <c r="E239" s="63"/>
      <c r="F239" s="63"/>
      <c r="H239" t="s">
        <v>1040</v>
      </c>
    </row>
    <row r="240" spans="1:8" x14ac:dyDescent="0.25">
      <c r="A240" s="63" t="s">
        <v>799</v>
      </c>
      <c r="B240" s="63">
        <v>2325.7587268994484</v>
      </c>
      <c r="C240" s="63"/>
      <c r="D240" s="66"/>
      <c r="E240" s="63"/>
      <c r="F240" s="63"/>
      <c r="H240" t="s">
        <v>1040</v>
      </c>
    </row>
    <row r="241" spans="1:8" x14ac:dyDescent="0.25">
      <c r="A241" s="63" t="s">
        <v>979</v>
      </c>
      <c r="B241" s="63">
        <v>2176.91916326104</v>
      </c>
      <c r="C241" s="63"/>
      <c r="D241" s="66"/>
      <c r="E241" s="63"/>
      <c r="F241" s="63"/>
      <c r="H241" t="s">
        <v>1040</v>
      </c>
    </row>
    <row r="242" spans="1:8" x14ac:dyDescent="0.25">
      <c r="A242" s="63" t="s">
        <v>801</v>
      </c>
      <c r="B242" s="63">
        <v>2183.1719405604113</v>
      </c>
      <c r="C242" s="63"/>
      <c r="D242" s="66"/>
      <c r="E242" s="63"/>
      <c r="F242" s="63"/>
      <c r="H242" t="s">
        <v>1040</v>
      </c>
    </row>
    <row r="243" spans="1:8" x14ac:dyDescent="0.25">
      <c r="A243" s="63" t="s">
        <v>807</v>
      </c>
      <c r="B243" s="63">
        <v>2119.7342603300549</v>
      </c>
      <c r="C243" s="63"/>
      <c r="D243" s="66"/>
      <c r="E243" s="63"/>
      <c r="F243" s="63"/>
      <c r="H243" t="s">
        <v>1040</v>
      </c>
    </row>
    <row r="244" spans="1:8" ht="15.75" thickBot="1" x14ac:dyDescent="0.3">
      <c r="A244" s="63" t="s">
        <v>870</v>
      </c>
      <c r="B244" s="63">
        <v>2259.8638806595072</v>
      </c>
      <c r="C244" s="63"/>
      <c r="D244" s="66"/>
      <c r="E244" s="63"/>
      <c r="F244" s="63"/>
      <c r="H244" t="s">
        <v>1040</v>
      </c>
    </row>
    <row r="245" spans="1:8" ht="15.75" thickBot="1" x14ac:dyDescent="0.3">
      <c r="A245" s="8" t="s">
        <v>9</v>
      </c>
      <c r="B245" s="9" t="s">
        <v>10</v>
      </c>
      <c r="C245" s="10" t="s">
        <v>11</v>
      </c>
      <c r="D245" s="11" t="s">
        <v>12</v>
      </c>
      <c r="E245" s="12" t="s">
        <v>13</v>
      </c>
      <c r="F245" s="11" t="s">
        <v>14</v>
      </c>
      <c r="H245" t="s">
        <v>1041</v>
      </c>
    </row>
    <row r="246" spans="1:8" ht="15.75" thickBot="1" x14ac:dyDescent="0.3">
      <c r="A246" s="14">
        <v>1</v>
      </c>
      <c r="B246" s="15" t="s">
        <v>325</v>
      </c>
      <c r="C246" s="15" t="s">
        <v>326</v>
      </c>
      <c r="D246" s="16">
        <v>2525.1096133091269</v>
      </c>
      <c r="E246" s="17">
        <v>2403.0662917192458</v>
      </c>
      <c r="F246" s="18">
        <v>2385.4518972414598</v>
      </c>
      <c r="H246" t="s">
        <v>1041</v>
      </c>
    </row>
    <row r="247" spans="1:8" ht="15.75" thickBot="1" x14ac:dyDescent="0.3">
      <c r="A247" s="19">
        <v>2</v>
      </c>
      <c r="B247" s="15" t="s">
        <v>328</v>
      </c>
      <c r="C247" s="15" t="s">
        <v>329</v>
      </c>
      <c r="D247" s="16">
        <v>2397.9058130222679</v>
      </c>
      <c r="E247" s="20">
        <v>2385.6215020953255</v>
      </c>
      <c r="F247" s="21">
        <v>2383.1397139572923</v>
      </c>
      <c r="H247" t="s">
        <v>1041</v>
      </c>
    </row>
    <row r="248" spans="1:8" ht="15.75" thickBot="1" x14ac:dyDescent="0.3">
      <c r="A248" s="19">
        <v>3</v>
      </c>
      <c r="B248" s="15" t="s">
        <v>330</v>
      </c>
      <c r="C248" s="15" t="s">
        <v>331</v>
      </c>
      <c r="D248" s="16">
        <v>2344.6275487157213</v>
      </c>
      <c r="E248" s="20">
        <v>2345.8418697032776</v>
      </c>
      <c r="F248" s="21">
        <v>2331.6658262868896</v>
      </c>
      <c r="H248" t="s">
        <v>1041</v>
      </c>
    </row>
    <row r="249" spans="1:8" ht="15.75" thickBot="1" x14ac:dyDescent="0.3">
      <c r="A249" s="19">
        <v>4</v>
      </c>
      <c r="B249" s="15" t="s">
        <v>332</v>
      </c>
      <c r="C249" s="15" t="s">
        <v>333</v>
      </c>
      <c r="D249" s="16">
        <v>2338.5089997355412</v>
      </c>
      <c r="E249" s="20">
        <v>2303.7318480220224</v>
      </c>
      <c r="F249" s="21">
        <v>2303.7318480220224</v>
      </c>
      <c r="H249" t="s">
        <v>1041</v>
      </c>
    </row>
    <row r="250" spans="1:8" ht="15.75" thickBot="1" x14ac:dyDescent="0.3">
      <c r="A250" s="33">
        <v>5</v>
      </c>
      <c r="B250" s="15" t="s">
        <v>334</v>
      </c>
      <c r="C250" s="15" t="s">
        <v>335</v>
      </c>
      <c r="D250" s="16">
        <v>2200</v>
      </c>
      <c r="E250" s="34">
        <v>2367.8904632427862</v>
      </c>
      <c r="F250" s="35">
        <v>2402.1626892749932</v>
      </c>
      <c r="H250" t="s">
        <v>1041</v>
      </c>
    </row>
    <row r="251" spans="1:8" x14ac:dyDescent="0.25">
      <c r="A251" s="65" t="s">
        <v>115</v>
      </c>
      <c r="B251" s="63"/>
      <c r="C251" s="63"/>
      <c r="D251" s="66"/>
      <c r="E251" s="63"/>
      <c r="F251" s="63"/>
      <c r="H251" t="s">
        <v>1041</v>
      </c>
    </row>
    <row r="252" spans="1:8" x14ac:dyDescent="0.25">
      <c r="A252" s="63" t="s">
        <v>325</v>
      </c>
      <c r="B252" s="63">
        <v>2403.0662917192458</v>
      </c>
      <c r="C252" s="63"/>
      <c r="D252" s="66"/>
      <c r="E252" s="63"/>
      <c r="F252" s="63"/>
      <c r="H252" t="s">
        <v>1041</v>
      </c>
    </row>
    <row r="253" spans="1:8" x14ac:dyDescent="0.25">
      <c r="A253" s="63" t="s">
        <v>328</v>
      </c>
      <c r="B253" s="63">
        <v>2385.6215020953255</v>
      </c>
      <c r="C253" s="63"/>
      <c r="D253" s="66"/>
      <c r="E253" s="63"/>
      <c r="F253" s="63"/>
      <c r="H253" t="s">
        <v>1041</v>
      </c>
    </row>
    <row r="254" spans="1:8" x14ac:dyDescent="0.25">
      <c r="A254" s="63" t="s">
        <v>330</v>
      </c>
      <c r="B254" s="63">
        <v>2345.8418697032776</v>
      </c>
      <c r="C254" s="63"/>
      <c r="D254" s="66"/>
      <c r="E254" s="63"/>
      <c r="F254" s="63"/>
      <c r="H254" t="s">
        <v>1041</v>
      </c>
    </row>
    <row r="255" spans="1:8" x14ac:dyDescent="0.25">
      <c r="A255" s="63" t="s">
        <v>332</v>
      </c>
      <c r="B255" s="63">
        <v>2303.7318480220224</v>
      </c>
      <c r="C255" s="63"/>
      <c r="D255" s="66"/>
      <c r="E255" s="63"/>
      <c r="F255" s="63"/>
      <c r="H255" t="s">
        <v>1041</v>
      </c>
    </row>
    <row r="256" spans="1:8" ht="15.75" thickBot="1" x14ac:dyDescent="0.3">
      <c r="A256" s="63" t="s">
        <v>334</v>
      </c>
      <c r="B256" s="63">
        <v>2367.8904632427862</v>
      </c>
      <c r="C256" s="63"/>
      <c r="D256" s="66"/>
      <c r="E256" s="63"/>
      <c r="F256" s="63"/>
      <c r="H256" t="s">
        <v>1041</v>
      </c>
    </row>
    <row r="257" spans="1:8" ht="15.75" thickBot="1" x14ac:dyDescent="0.3">
      <c r="A257" s="8" t="s">
        <v>9</v>
      </c>
      <c r="B257" s="9" t="s">
        <v>10</v>
      </c>
      <c r="C257" s="10" t="s">
        <v>11</v>
      </c>
      <c r="D257" s="11" t="s">
        <v>12</v>
      </c>
      <c r="E257" s="12" t="s">
        <v>13</v>
      </c>
      <c r="F257" s="11" t="s">
        <v>14</v>
      </c>
      <c r="H257" t="s">
        <v>1042</v>
      </c>
    </row>
    <row r="258" spans="1:8" ht="15.75" thickBot="1" x14ac:dyDescent="0.3">
      <c r="A258" s="14">
        <v>1</v>
      </c>
      <c r="B258" s="15" t="s">
        <v>907</v>
      </c>
      <c r="C258" s="15" t="s">
        <v>906</v>
      </c>
      <c r="D258" s="16">
        <v>2920</v>
      </c>
      <c r="E258" s="17">
        <v>2878.7634046932203</v>
      </c>
      <c r="F258" s="18">
        <v>2856.7353094689088</v>
      </c>
      <c r="H258" t="s">
        <v>1042</v>
      </c>
    </row>
    <row r="259" spans="1:8" ht="15.75" thickBot="1" x14ac:dyDescent="0.3">
      <c r="A259" s="19">
        <v>2</v>
      </c>
      <c r="B259" s="180" t="s">
        <v>986</v>
      </c>
      <c r="C259" s="181" t="s">
        <v>987</v>
      </c>
      <c r="D259" s="16">
        <v>2400</v>
      </c>
      <c r="E259" s="20">
        <v>2466.7379300254852</v>
      </c>
      <c r="F259" s="21">
        <v>2454.1833326686874</v>
      </c>
      <c r="H259" t="s">
        <v>1042</v>
      </c>
    </row>
    <row r="260" spans="1:8" ht="15.75" thickBot="1" x14ac:dyDescent="0.3">
      <c r="A260" s="19">
        <v>3</v>
      </c>
      <c r="B260" s="15" t="s">
        <v>864</v>
      </c>
      <c r="C260" s="15" t="s">
        <v>863</v>
      </c>
      <c r="D260" s="16">
        <v>2700</v>
      </c>
      <c r="E260" s="20">
        <v>2741.0838756749231</v>
      </c>
      <c r="F260" s="21">
        <v>2770.5404194699536</v>
      </c>
      <c r="H260" t="s">
        <v>1042</v>
      </c>
    </row>
    <row r="261" spans="1:8" ht="15.75" thickBot="1" x14ac:dyDescent="0.3">
      <c r="A261" s="19">
        <v>4</v>
      </c>
      <c r="B261" s="15" t="s">
        <v>915</v>
      </c>
      <c r="C261" s="15" t="s">
        <v>914</v>
      </c>
      <c r="D261" s="16">
        <v>2596.2496974466353</v>
      </c>
      <c r="E261" s="20">
        <v>2527.3185722496769</v>
      </c>
      <c r="F261" s="21">
        <v>2553.4369337621843</v>
      </c>
      <c r="H261" t="s">
        <v>1042</v>
      </c>
    </row>
    <row r="262" spans="1:8" ht="15.75" thickBot="1" x14ac:dyDescent="0.3">
      <c r="A262" s="19">
        <v>5</v>
      </c>
      <c r="B262" s="15" t="s">
        <v>925</v>
      </c>
      <c r="C262" s="15" t="s">
        <v>924</v>
      </c>
      <c r="D262" s="16">
        <v>2578.5617945802783</v>
      </c>
      <c r="E262" s="20">
        <v>2545.9859245078783</v>
      </c>
      <c r="F262" s="21">
        <v>2524.5863454487444</v>
      </c>
      <c r="H262" t="s">
        <v>1042</v>
      </c>
    </row>
    <row r="263" spans="1:8" ht="15.75" thickBot="1" x14ac:dyDescent="0.3">
      <c r="A263" s="19">
        <v>6</v>
      </c>
      <c r="B263" s="15" t="s">
        <v>961</v>
      </c>
      <c r="C263" s="15" t="s">
        <v>960</v>
      </c>
      <c r="D263" s="16">
        <v>2515.8622226546854</v>
      </c>
      <c r="E263" s="20">
        <v>2493.5068950266641</v>
      </c>
      <c r="F263" s="21">
        <v>2479.0590832625021</v>
      </c>
      <c r="H263" t="s">
        <v>1042</v>
      </c>
    </row>
    <row r="264" spans="1:8" ht="15.75" thickBot="1" x14ac:dyDescent="0.3">
      <c r="A264" s="19">
        <v>7</v>
      </c>
      <c r="B264" s="15" t="s">
        <v>919</v>
      </c>
      <c r="C264" s="15" t="s">
        <v>918</v>
      </c>
      <c r="D264" s="16">
        <v>2509.4195548725629</v>
      </c>
      <c r="E264" s="20">
        <v>2423.9530768001759</v>
      </c>
      <c r="F264" s="21">
        <v>2433.6821061109645</v>
      </c>
      <c r="H264" t="s">
        <v>1042</v>
      </c>
    </row>
    <row r="265" spans="1:8" ht="15.75" thickBot="1" x14ac:dyDescent="0.3">
      <c r="A265" s="19">
        <v>8</v>
      </c>
      <c r="B265" s="15" t="s">
        <v>792</v>
      </c>
      <c r="C265" s="15" t="s">
        <v>791</v>
      </c>
      <c r="D265" s="16">
        <v>2400</v>
      </c>
      <c r="E265" s="20">
        <v>2542.7435905761381</v>
      </c>
      <c r="F265" s="21">
        <v>2547.8697393622169</v>
      </c>
      <c r="H265" t="s">
        <v>1042</v>
      </c>
    </row>
    <row r="266" spans="1:8" x14ac:dyDescent="0.25">
      <c r="A266" s="65" t="s">
        <v>115</v>
      </c>
      <c r="B266" s="63"/>
      <c r="C266" s="63"/>
      <c r="D266" s="66"/>
      <c r="E266" s="63"/>
      <c r="F266" s="63"/>
      <c r="H266" t="s">
        <v>1042</v>
      </c>
    </row>
    <row r="267" spans="1:8" x14ac:dyDescent="0.25">
      <c r="A267" s="63" t="s">
        <v>907</v>
      </c>
      <c r="B267" s="63">
        <v>2878.7634046932203</v>
      </c>
      <c r="C267" s="63"/>
      <c r="D267" s="66"/>
      <c r="E267" s="63"/>
      <c r="F267" s="63"/>
      <c r="H267" t="s">
        <v>1042</v>
      </c>
    </row>
    <row r="268" spans="1:8" x14ac:dyDescent="0.25">
      <c r="A268" s="63" t="s">
        <v>915</v>
      </c>
      <c r="B268" s="63">
        <v>2527.3185722496769</v>
      </c>
      <c r="C268" s="63"/>
      <c r="D268" s="66"/>
      <c r="E268" s="63"/>
      <c r="F268" s="63"/>
      <c r="H268" t="s">
        <v>1042</v>
      </c>
    </row>
    <row r="269" spans="1:8" x14ac:dyDescent="0.25">
      <c r="A269" s="63" t="s">
        <v>925</v>
      </c>
      <c r="B269" s="63">
        <v>2545.9859245078783</v>
      </c>
      <c r="C269" s="63"/>
      <c r="D269" s="66"/>
      <c r="E269" s="63"/>
      <c r="F269" s="63"/>
      <c r="H269" t="s">
        <v>1042</v>
      </c>
    </row>
    <row r="270" spans="1:8" x14ac:dyDescent="0.25">
      <c r="A270" s="63" t="s">
        <v>792</v>
      </c>
      <c r="B270" s="63">
        <v>2542.7435905761381</v>
      </c>
      <c r="C270" s="63"/>
      <c r="D270" s="66"/>
      <c r="E270" s="63"/>
      <c r="F270" s="63"/>
      <c r="H270" t="s">
        <v>1042</v>
      </c>
    </row>
    <row r="271" spans="1:8" x14ac:dyDescent="0.25">
      <c r="A271" s="63">
        <v>0</v>
      </c>
      <c r="B271" s="63" t="e">
        <v>#N/A</v>
      </c>
      <c r="C271" s="63"/>
      <c r="D271" s="66"/>
      <c r="E271" s="63"/>
      <c r="F271" s="63"/>
      <c r="H271" t="s">
        <v>1042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89"/>
  <sheetViews>
    <sheetView topLeftCell="G1" workbookViewId="0">
      <selection activeCell="I388" sqref="I388"/>
    </sheetView>
  </sheetViews>
  <sheetFormatPr defaultRowHeight="15" x14ac:dyDescent="0.25"/>
  <cols>
    <col min="1" max="1" width="7.140625" style="175" bestFit="1" customWidth="1"/>
    <col min="2" max="2" width="3" style="175" customWidth="1"/>
    <col min="3" max="3" width="3" style="175" bestFit="1" customWidth="1"/>
    <col min="4" max="4" width="5.28515625" style="175" bestFit="1" customWidth="1"/>
    <col min="5" max="5" width="4.42578125" style="175" bestFit="1" customWidth="1"/>
    <col min="6" max="6" width="4.85546875" style="175" bestFit="1" customWidth="1"/>
    <col min="7" max="7" width="13.85546875" style="175" bestFit="1" customWidth="1"/>
    <col min="8" max="8" width="34.85546875" style="175" bestFit="1" customWidth="1"/>
    <col min="9" max="9" width="27.140625" style="175" bestFit="1" customWidth="1"/>
    <col min="10" max="10" width="6.7109375" style="175" bestFit="1" customWidth="1"/>
    <col min="11" max="11" width="7.7109375" style="178" bestFit="1" customWidth="1"/>
    <col min="12" max="12" width="7.5703125" style="175" bestFit="1" customWidth="1"/>
    <col min="13" max="13" width="10" style="178" bestFit="1" customWidth="1"/>
    <col min="14" max="14" width="10" style="178" customWidth="1"/>
    <col min="15" max="16" width="8.7109375" style="175" bestFit="1" customWidth="1"/>
    <col min="17" max="19" width="9.7109375" style="175" bestFit="1" customWidth="1"/>
    <col min="20" max="20" width="8.7109375" style="175" bestFit="1" customWidth="1"/>
    <col min="21" max="23" width="9.7109375" style="175" bestFit="1" customWidth="1"/>
    <col min="24" max="24" width="8.7109375" style="175" bestFit="1" customWidth="1"/>
    <col min="25" max="28" width="9.7109375" style="175" bestFit="1" customWidth="1"/>
    <col min="29" max="29" width="8.7109375" style="175" bestFit="1" customWidth="1"/>
    <col min="30" max="16384" width="9.140625" style="175"/>
  </cols>
  <sheetData>
    <row r="1" spans="1:35" s="174" customFormat="1" ht="30" x14ac:dyDescent="0.25">
      <c r="A1" s="171" t="s">
        <v>341</v>
      </c>
      <c r="B1" s="171"/>
      <c r="C1" s="171" t="s">
        <v>342</v>
      </c>
      <c r="D1" s="171" t="s">
        <v>343</v>
      </c>
      <c r="E1" s="171" t="s">
        <v>18</v>
      </c>
      <c r="F1" s="171" t="s">
        <v>344</v>
      </c>
      <c r="G1" s="171" t="s">
        <v>345</v>
      </c>
      <c r="H1" s="171" t="s">
        <v>346</v>
      </c>
      <c r="I1" s="171" t="s">
        <v>10</v>
      </c>
      <c r="J1" s="171" t="s">
        <v>347</v>
      </c>
      <c r="K1" s="172" t="s">
        <v>348</v>
      </c>
      <c r="L1" s="171"/>
      <c r="M1" s="172" t="s">
        <v>116</v>
      </c>
      <c r="N1" s="172"/>
      <c r="O1" s="173" t="s">
        <v>349</v>
      </c>
      <c r="P1" s="173" t="s">
        <v>350</v>
      </c>
      <c r="Q1" s="173">
        <v>42383</v>
      </c>
      <c r="R1" s="173">
        <f>Q1+7</f>
        <v>42390</v>
      </c>
      <c r="S1" s="173">
        <f t="shared" ref="S1:AC1" si="0">R1+7</f>
        <v>42397</v>
      </c>
      <c r="T1" s="173">
        <f t="shared" si="0"/>
        <v>42404</v>
      </c>
      <c r="U1" s="173">
        <f t="shared" si="0"/>
        <v>42411</v>
      </c>
      <c r="V1" s="173">
        <f t="shared" si="0"/>
        <v>42418</v>
      </c>
      <c r="W1" s="173">
        <f t="shared" si="0"/>
        <v>42425</v>
      </c>
      <c r="X1" s="173">
        <f t="shared" si="0"/>
        <v>42432</v>
      </c>
      <c r="Y1" s="173">
        <f t="shared" si="0"/>
        <v>42439</v>
      </c>
      <c r="Z1" s="173">
        <f t="shared" si="0"/>
        <v>42446</v>
      </c>
      <c r="AA1" s="173">
        <f t="shared" si="0"/>
        <v>42453</v>
      </c>
      <c r="AB1" s="173">
        <f t="shared" si="0"/>
        <v>42460</v>
      </c>
      <c r="AC1" s="173">
        <f t="shared" si="0"/>
        <v>42467</v>
      </c>
      <c r="AH1" s="175"/>
      <c r="AI1" s="175"/>
    </row>
    <row r="2" spans="1:35" x14ac:dyDescent="0.25">
      <c r="A2" s="176">
        <v>3</v>
      </c>
      <c r="B2" s="176"/>
      <c r="C2" s="176">
        <f t="shared" ref="C2:C65" si="1">IF(E2=E1,C1+1,1)</f>
        <v>1</v>
      </c>
      <c r="D2" s="176">
        <f t="shared" ref="D2:D65" si="2">IF(M2=M1,D1,C2)</f>
        <v>1</v>
      </c>
      <c r="E2" s="176">
        <f t="shared" ref="E2:E65" si="3">10+VALUE(RIGHT(LEFT(G2,3),1))</f>
        <v>11</v>
      </c>
      <c r="F2" s="176" t="str">
        <f t="shared" ref="F2:F65" si="4">RIGHT(G2,2) &amp; IF(A2&lt;2,"x","")</f>
        <v>pm</v>
      </c>
      <c r="G2" s="176" t="s">
        <v>351</v>
      </c>
      <c r="H2" s="176" t="s">
        <v>352</v>
      </c>
      <c r="I2" s="176" t="s">
        <v>353</v>
      </c>
      <c r="J2" s="177" t="s">
        <v>22</v>
      </c>
      <c r="K2" s="178">
        <f t="shared" ref="K2:K65" si="5">LOOKUP(1E+100,M2:AC2)</f>
        <v>1420.2491124742737</v>
      </c>
      <c r="L2" s="176"/>
      <c r="M2" s="178">
        <v>1600</v>
      </c>
      <c r="O2" s="178">
        <v>1473.3153485871062</v>
      </c>
      <c r="P2" s="178"/>
      <c r="Q2" s="178"/>
      <c r="R2" s="178"/>
      <c r="S2" s="178">
        <v>1420.2491124742737</v>
      </c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</row>
    <row r="3" spans="1:35" x14ac:dyDescent="0.25">
      <c r="A3" s="176">
        <v>3</v>
      </c>
      <c r="B3" s="176"/>
      <c r="C3" s="176">
        <f t="shared" si="1"/>
        <v>2</v>
      </c>
      <c r="D3" s="176">
        <f t="shared" si="2"/>
        <v>2</v>
      </c>
      <c r="E3" s="176">
        <f t="shared" si="3"/>
        <v>11</v>
      </c>
      <c r="F3" s="176" t="str">
        <f t="shared" si="4"/>
        <v>pm</v>
      </c>
      <c r="G3" s="176" t="s">
        <v>354</v>
      </c>
      <c r="H3" s="176" t="s">
        <v>355</v>
      </c>
      <c r="I3" s="176" t="s">
        <v>356</v>
      </c>
      <c r="J3" s="177" t="s">
        <v>21</v>
      </c>
      <c r="K3" s="178">
        <f t="shared" si="5"/>
        <v>1414.1860693632427</v>
      </c>
      <c r="L3" s="176"/>
      <c r="M3" s="178">
        <v>1400</v>
      </c>
      <c r="O3" s="178"/>
      <c r="P3" s="178"/>
      <c r="Q3" s="178"/>
      <c r="R3" s="178">
        <v>1414.1860693632427</v>
      </c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</row>
    <row r="4" spans="1:35" x14ac:dyDescent="0.25">
      <c r="A4" s="176">
        <v>5</v>
      </c>
      <c r="B4" s="176"/>
      <c r="C4" s="176">
        <f t="shared" si="1"/>
        <v>3</v>
      </c>
      <c r="D4" s="176">
        <f t="shared" si="2"/>
        <v>3</v>
      </c>
      <c r="E4" s="176">
        <f t="shared" si="3"/>
        <v>11</v>
      </c>
      <c r="F4" s="176" t="str">
        <f t="shared" si="4"/>
        <v>pm</v>
      </c>
      <c r="G4" s="176" t="s">
        <v>357</v>
      </c>
      <c r="H4" s="176" t="s">
        <v>358</v>
      </c>
      <c r="I4" s="176" t="s">
        <v>359</v>
      </c>
      <c r="J4" s="177" t="s">
        <v>360</v>
      </c>
      <c r="K4" s="178">
        <f t="shared" si="5"/>
        <v>1217.5505615019474</v>
      </c>
      <c r="L4" s="176"/>
      <c r="M4" s="178">
        <v>1200</v>
      </c>
      <c r="O4" s="178"/>
      <c r="P4" s="178"/>
      <c r="Q4" s="178"/>
      <c r="R4" s="178">
        <v>1217.5505615019474</v>
      </c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</row>
    <row r="5" spans="1:35" x14ac:dyDescent="0.25">
      <c r="A5" s="176">
        <v>2</v>
      </c>
      <c r="B5" s="176"/>
      <c r="C5" s="176">
        <f t="shared" si="1"/>
        <v>1</v>
      </c>
      <c r="D5" s="176">
        <f t="shared" si="2"/>
        <v>1</v>
      </c>
      <c r="E5" s="176">
        <f t="shared" si="3"/>
        <v>12</v>
      </c>
      <c r="F5" s="176" t="str">
        <f t="shared" si="4"/>
        <v>pm</v>
      </c>
      <c r="G5" s="176" t="s">
        <v>361</v>
      </c>
      <c r="H5" s="176" t="s">
        <v>362</v>
      </c>
      <c r="I5" s="176" t="s">
        <v>363</v>
      </c>
      <c r="J5" s="177" t="s">
        <v>22</v>
      </c>
      <c r="K5" s="178">
        <f t="shared" si="5"/>
        <v>1588.0546571711616</v>
      </c>
      <c r="L5" s="176"/>
      <c r="M5" s="178">
        <v>1600</v>
      </c>
      <c r="O5" s="178">
        <v>1588.0546571711616</v>
      </c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</row>
    <row r="6" spans="1:35" x14ac:dyDescent="0.25">
      <c r="A6" s="176">
        <v>4</v>
      </c>
      <c r="B6" s="176"/>
      <c r="C6" s="176">
        <f t="shared" si="1"/>
        <v>2</v>
      </c>
      <c r="D6" s="176">
        <f t="shared" si="2"/>
        <v>1</v>
      </c>
      <c r="E6" s="176">
        <f t="shared" si="3"/>
        <v>12</v>
      </c>
      <c r="F6" s="176" t="str">
        <f t="shared" si="4"/>
        <v>pm</v>
      </c>
      <c r="G6" s="176" t="s">
        <v>364</v>
      </c>
      <c r="H6" s="176" t="s">
        <v>365</v>
      </c>
      <c r="I6" s="176" t="s">
        <v>366</v>
      </c>
      <c r="J6" s="177" t="s">
        <v>22</v>
      </c>
      <c r="K6" s="178">
        <f t="shared" si="5"/>
        <v>1600</v>
      </c>
      <c r="L6" s="176"/>
      <c r="M6" s="178">
        <v>1600</v>
      </c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</row>
    <row r="7" spans="1:35" x14ac:dyDescent="0.25">
      <c r="A7" s="176">
        <v>7</v>
      </c>
      <c r="B7" s="176"/>
      <c r="C7" s="176">
        <f t="shared" si="1"/>
        <v>3</v>
      </c>
      <c r="D7" s="176">
        <f t="shared" si="2"/>
        <v>1</v>
      </c>
      <c r="E7" s="176">
        <f t="shared" si="3"/>
        <v>12</v>
      </c>
      <c r="F7" s="176" t="str">
        <f t="shared" si="4"/>
        <v>pm</v>
      </c>
      <c r="G7" s="176" t="s">
        <v>367</v>
      </c>
      <c r="H7" s="176" t="s">
        <v>368</v>
      </c>
      <c r="I7" s="176" t="s">
        <v>369</v>
      </c>
      <c r="J7" s="177" t="s">
        <v>22</v>
      </c>
      <c r="K7" s="178">
        <f t="shared" si="5"/>
        <v>1730.1249302111369</v>
      </c>
      <c r="L7" s="176"/>
      <c r="M7" s="178">
        <v>1600</v>
      </c>
      <c r="O7" s="178">
        <v>1636.9148649131555</v>
      </c>
      <c r="P7" s="178"/>
      <c r="Q7" s="178">
        <v>1746.8509792457253</v>
      </c>
      <c r="R7" s="178"/>
      <c r="S7" s="178">
        <v>1730.1249302111369</v>
      </c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</row>
    <row r="8" spans="1:35" x14ac:dyDescent="0.25">
      <c r="A8" s="176">
        <v>2</v>
      </c>
      <c r="B8" s="176"/>
      <c r="C8" s="176">
        <f t="shared" si="1"/>
        <v>4</v>
      </c>
      <c r="D8" s="176">
        <f t="shared" si="2"/>
        <v>1</v>
      </c>
      <c r="E8" s="176">
        <f t="shared" si="3"/>
        <v>12</v>
      </c>
      <c r="F8" s="176" t="str">
        <f t="shared" si="4"/>
        <v>pm</v>
      </c>
      <c r="G8" s="176" t="s">
        <v>370</v>
      </c>
      <c r="H8" s="176" t="s">
        <v>352</v>
      </c>
      <c r="I8" s="176" t="s">
        <v>371</v>
      </c>
      <c r="J8" s="177" t="s">
        <v>22</v>
      </c>
      <c r="K8" s="178">
        <f t="shared" si="5"/>
        <v>1707.8006673986267</v>
      </c>
      <c r="L8" s="176"/>
      <c r="M8" s="178">
        <v>1600</v>
      </c>
      <c r="O8" s="178">
        <v>1707.8006673986267</v>
      </c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</row>
    <row r="9" spans="1:35" x14ac:dyDescent="0.25">
      <c r="A9" s="176">
        <v>2</v>
      </c>
      <c r="B9" s="176"/>
      <c r="C9" s="176">
        <f t="shared" si="1"/>
        <v>5</v>
      </c>
      <c r="D9" s="176">
        <f t="shared" si="2"/>
        <v>1</v>
      </c>
      <c r="E9" s="176">
        <f t="shared" si="3"/>
        <v>12</v>
      </c>
      <c r="F9" s="176" t="str">
        <f t="shared" si="4"/>
        <v>pm</v>
      </c>
      <c r="G9" s="176" t="s">
        <v>372</v>
      </c>
      <c r="H9" s="176" t="s">
        <v>352</v>
      </c>
      <c r="I9" s="176" t="s">
        <v>373</v>
      </c>
      <c r="J9" s="177" t="s">
        <v>22</v>
      </c>
      <c r="K9" s="178">
        <f t="shared" si="5"/>
        <v>1536.8245779108793</v>
      </c>
      <c r="L9" s="176"/>
      <c r="M9" s="178">
        <v>1600</v>
      </c>
      <c r="O9" s="178">
        <v>1536.8245779108793</v>
      </c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</row>
    <row r="10" spans="1:35" x14ac:dyDescent="0.25">
      <c r="A10" s="176">
        <v>2</v>
      </c>
      <c r="B10" s="176"/>
      <c r="C10" s="176">
        <f t="shared" si="1"/>
        <v>6</v>
      </c>
      <c r="D10" s="176">
        <f t="shared" si="2"/>
        <v>1</v>
      </c>
      <c r="E10" s="176">
        <f t="shared" si="3"/>
        <v>12</v>
      </c>
      <c r="F10" s="176" t="str">
        <f t="shared" si="4"/>
        <v>pm</v>
      </c>
      <c r="G10" s="176" t="s">
        <v>374</v>
      </c>
      <c r="H10" s="176" t="s">
        <v>375</v>
      </c>
      <c r="I10" s="176" t="s">
        <v>376</v>
      </c>
      <c r="J10" s="177" t="s">
        <v>22</v>
      </c>
      <c r="K10" s="178">
        <f t="shared" si="5"/>
        <v>1600</v>
      </c>
      <c r="L10" s="176"/>
      <c r="M10" s="178">
        <v>1600</v>
      </c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</row>
    <row r="11" spans="1:35" x14ac:dyDescent="0.25">
      <c r="A11" s="176">
        <v>1</v>
      </c>
      <c r="B11" s="176"/>
      <c r="C11" s="176">
        <f t="shared" si="1"/>
        <v>7</v>
      </c>
      <c r="D11" s="176">
        <f t="shared" si="2"/>
        <v>1</v>
      </c>
      <c r="E11" s="176">
        <f t="shared" si="3"/>
        <v>12</v>
      </c>
      <c r="F11" s="176" t="str">
        <f t="shared" si="4"/>
        <v>pmx</v>
      </c>
      <c r="G11" s="176" t="s">
        <v>377</v>
      </c>
      <c r="H11" s="176" t="s">
        <v>378</v>
      </c>
      <c r="I11" s="176" t="s">
        <v>379</v>
      </c>
      <c r="J11" s="177" t="s">
        <v>22</v>
      </c>
      <c r="K11" s="178">
        <f t="shared" si="5"/>
        <v>1549.7575137856709</v>
      </c>
      <c r="L11" s="176"/>
      <c r="M11" s="178">
        <v>1600</v>
      </c>
      <c r="O11" s="178">
        <v>1549.7575137856709</v>
      </c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</row>
    <row r="12" spans="1:35" x14ac:dyDescent="0.25">
      <c r="A12" s="176"/>
      <c r="B12" s="176"/>
      <c r="C12" s="176">
        <f t="shared" si="1"/>
        <v>8</v>
      </c>
      <c r="D12" s="176">
        <f t="shared" si="2"/>
        <v>1</v>
      </c>
      <c r="E12" s="176">
        <f t="shared" si="3"/>
        <v>12</v>
      </c>
      <c r="F12" s="176" t="str">
        <f t="shared" si="4"/>
        <v>pmx</v>
      </c>
      <c r="G12" s="176" t="s">
        <v>377</v>
      </c>
      <c r="H12" s="176"/>
      <c r="I12" s="176" t="s">
        <v>380</v>
      </c>
      <c r="J12" s="177" t="s">
        <v>22</v>
      </c>
      <c r="K12" s="178">
        <f t="shared" si="5"/>
        <v>1600</v>
      </c>
      <c r="L12" s="176"/>
      <c r="M12" s="178">
        <v>1600</v>
      </c>
    </row>
    <row r="13" spans="1:35" x14ac:dyDescent="0.25">
      <c r="A13" s="176">
        <v>4</v>
      </c>
      <c r="B13" s="176"/>
      <c r="C13" s="176">
        <f t="shared" si="1"/>
        <v>9</v>
      </c>
      <c r="D13" s="176">
        <f t="shared" si="2"/>
        <v>9</v>
      </c>
      <c r="E13" s="176">
        <f t="shared" si="3"/>
        <v>12</v>
      </c>
      <c r="F13" s="176" t="str">
        <f t="shared" si="4"/>
        <v>pm</v>
      </c>
      <c r="G13" s="176" t="s">
        <v>232</v>
      </c>
      <c r="H13" s="176" t="s">
        <v>378</v>
      </c>
      <c r="I13" s="176" t="s">
        <v>231</v>
      </c>
      <c r="J13" s="177" t="s">
        <v>22</v>
      </c>
      <c r="K13" s="178">
        <f t="shared" si="5"/>
        <v>1683.9371318599437</v>
      </c>
      <c r="L13" s="176"/>
      <c r="M13" s="178">
        <v>1550</v>
      </c>
      <c r="O13" s="178">
        <v>1590.1567686677104</v>
      </c>
      <c r="P13" s="178"/>
      <c r="Q13" s="178"/>
      <c r="R13" s="178"/>
      <c r="S13" s="178">
        <v>1683.9371318599437</v>
      </c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</row>
    <row r="14" spans="1:35" x14ac:dyDescent="0.25">
      <c r="A14" s="176">
        <v>3</v>
      </c>
      <c r="B14" s="176"/>
      <c r="C14" s="176">
        <f t="shared" si="1"/>
        <v>10</v>
      </c>
      <c r="D14" s="176">
        <f t="shared" si="2"/>
        <v>10</v>
      </c>
      <c r="E14" s="176">
        <f t="shared" si="3"/>
        <v>12</v>
      </c>
      <c r="F14" s="176" t="str">
        <f t="shared" si="4"/>
        <v>pm</v>
      </c>
      <c r="G14" s="176" t="s">
        <v>381</v>
      </c>
      <c r="H14" s="176" t="s">
        <v>358</v>
      </c>
      <c r="I14" s="176" t="s">
        <v>382</v>
      </c>
      <c r="J14" s="177" t="s">
        <v>22</v>
      </c>
      <c r="K14" s="178">
        <f t="shared" si="5"/>
        <v>1601.107366554467</v>
      </c>
      <c r="L14" s="176"/>
      <c r="M14" s="178">
        <v>1533.3333333333333</v>
      </c>
      <c r="O14" s="178">
        <v>1601.107366554467</v>
      </c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</row>
    <row r="15" spans="1:35" x14ac:dyDescent="0.25">
      <c r="A15" s="176">
        <v>5</v>
      </c>
      <c r="B15" s="176"/>
      <c r="C15" s="176">
        <f t="shared" si="1"/>
        <v>11</v>
      </c>
      <c r="D15" s="176">
        <f t="shared" si="2"/>
        <v>11</v>
      </c>
      <c r="E15" s="176">
        <f t="shared" si="3"/>
        <v>12</v>
      </c>
      <c r="F15" s="176" t="str">
        <f t="shared" si="4"/>
        <v>pm</v>
      </c>
      <c r="G15" s="176" t="s">
        <v>383</v>
      </c>
      <c r="H15" s="176" t="s">
        <v>384</v>
      </c>
      <c r="I15" s="176" t="s">
        <v>385</v>
      </c>
      <c r="J15" s="177" t="s">
        <v>22</v>
      </c>
      <c r="K15" s="178">
        <f t="shared" si="5"/>
        <v>1449.5507700226187</v>
      </c>
      <c r="L15" s="176"/>
      <c r="M15" s="178">
        <v>1520</v>
      </c>
      <c r="O15" s="178">
        <v>1522.1891036154591</v>
      </c>
      <c r="P15" s="178"/>
      <c r="Q15" s="178"/>
      <c r="R15" s="178"/>
      <c r="S15" s="178">
        <v>1449.5507700226187</v>
      </c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</row>
    <row r="16" spans="1:35" x14ac:dyDescent="0.25">
      <c r="A16" s="176">
        <v>4</v>
      </c>
      <c r="B16" s="176"/>
      <c r="C16" s="176">
        <f t="shared" si="1"/>
        <v>12</v>
      </c>
      <c r="D16" s="176">
        <f t="shared" si="2"/>
        <v>12</v>
      </c>
      <c r="E16" s="176">
        <f t="shared" si="3"/>
        <v>12</v>
      </c>
      <c r="F16" s="176" t="str">
        <f t="shared" si="4"/>
        <v>pm</v>
      </c>
      <c r="G16" s="176" t="s">
        <v>386</v>
      </c>
      <c r="H16" s="176" t="s">
        <v>387</v>
      </c>
      <c r="I16" s="176" t="s">
        <v>388</v>
      </c>
      <c r="J16" s="177" t="s">
        <v>22</v>
      </c>
      <c r="K16" s="178">
        <f t="shared" si="5"/>
        <v>1579.837673206011</v>
      </c>
      <c r="L16" s="176"/>
      <c r="M16" s="178">
        <v>1500</v>
      </c>
      <c r="O16" s="178"/>
      <c r="P16" s="178">
        <v>1529.0989384029981</v>
      </c>
      <c r="Q16" s="178"/>
      <c r="R16" s="178">
        <v>1587.0203486316693</v>
      </c>
      <c r="S16" s="178">
        <v>1579.837673206011</v>
      </c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</row>
    <row r="17" spans="1:35" s="178" customFormat="1" x14ac:dyDescent="0.25">
      <c r="A17" s="176">
        <v>4</v>
      </c>
      <c r="B17" s="176"/>
      <c r="C17" s="176">
        <f t="shared" si="1"/>
        <v>13</v>
      </c>
      <c r="D17" s="176">
        <f t="shared" si="2"/>
        <v>12</v>
      </c>
      <c r="E17" s="176">
        <f t="shared" si="3"/>
        <v>12</v>
      </c>
      <c r="F17" s="176" t="str">
        <f t="shared" si="4"/>
        <v>pm</v>
      </c>
      <c r="G17" s="176" t="s">
        <v>202</v>
      </c>
      <c r="H17" s="176" t="s">
        <v>378</v>
      </c>
      <c r="I17" s="176" t="s">
        <v>201</v>
      </c>
      <c r="J17" s="177" t="s">
        <v>22</v>
      </c>
      <c r="K17" s="178">
        <f t="shared" si="5"/>
        <v>1545.8627202771247</v>
      </c>
      <c r="L17" s="176"/>
      <c r="M17" s="178">
        <v>1500</v>
      </c>
      <c r="O17" s="178">
        <v>1497.2124647290968</v>
      </c>
      <c r="S17" s="178">
        <v>1545.8627202771247</v>
      </c>
      <c r="AH17" s="175"/>
      <c r="AI17" s="175"/>
    </row>
    <row r="18" spans="1:35" s="178" customFormat="1" x14ac:dyDescent="0.25">
      <c r="A18" s="176">
        <v>2</v>
      </c>
      <c r="B18" s="176"/>
      <c r="C18" s="176">
        <f t="shared" si="1"/>
        <v>14</v>
      </c>
      <c r="D18" s="176">
        <f t="shared" si="2"/>
        <v>12</v>
      </c>
      <c r="E18" s="176">
        <f t="shared" si="3"/>
        <v>12</v>
      </c>
      <c r="F18" s="176" t="str">
        <f t="shared" si="4"/>
        <v>pm</v>
      </c>
      <c r="G18" s="176" t="s">
        <v>389</v>
      </c>
      <c r="H18" s="176" t="s">
        <v>390</v>
      </c>
      <c r="I18" s="176" t="s">
        <v>391</v>
      </c>
      <c r="J18" s="177" t="s">
        <v>22</v>
      </c>
      <c r="K18" s="178">
        <f t="shared" si="5"/>
        <v>1495.1518906606425</v>
      </c>
      <c r="L18" s="176"/>
      <c r="M18" s="178">
        <v>1500</v>
      </c>
      <c r="R18" s="178">
        <v>1495.1518906606425</v>
      </c>
      <c r="AH18" s="175"/>
      <c r="AI18" s="175"/>
    </row>
    <row r="19" spans="1:35" s="178" customFormat="1" x14ac:dyDescent="0.25">
      <c r="A19" s="176">
        <v>6</v>
      </c>
      <c r="B19" s="176"/>
      <c r="C19" s="176">
        <f t="shared" si="1"/>
        <v>15</v>
      </c>
      <c r="D19" s="176">
        <f t="shared" si="2"/>
        <v>15</v>
      </c>
      <c r="E19" s="176">
        <f t="shared" si="3"/>
        <v>12</v>
      </c>
      <c r="F19" s="176" t="str">
        <f t="shared" si="4"/>
        <v>pm</v>
      </c>
      <c r="G19" s="176" t="s">
        <v>39</v>
      </c>
      <c r="H19" s="176" t="s">
        <v>392</v>
      </c>
      <c r="I19" s="176" t="s">
        <v>38</v>
      </c>
      <c r="J19" s="177" t="s">
        <v>21</v>
      </c>
      <c r="K19" s="178">
        <f t="shared" si="5"/>
        <v>1393.502057373001</v>
      </c>
      <c r="L19" s="176"/>
      <c r="M19" s="178">
        <v>1466.6666666666667</v>
      </c>
      <c r="R19" s="178">
        <v>1393.502057373001</v>
      </c>
      <c r="AH19" s="175"/>
      <c r="AI19" s="175"/>
    </row>
    <row r="20" spans="1:35" s="178" customFormat="1" x14ac:dyDescent="0.25">
      <c r="A20" s="176">
        <v>4</v>
      </c>
      <c r="B20" s="176"/>
      <c r="C20" s="176">
        <f t="shared" si="1"/>
        <v>16</v>
      </c>
      <c r="D20" s="176">
        <f t="shared" si="2"/>
        <v>16</v>
      </c>
      <c r="E20" s="176">
        <f t="shared" si="3"/>
        <v>12</v>
      </c>
      <c r="F20" s="176" t="str">
        <f t="shared" si="4"/>
        <v>pm</v>
      </c>
      <c r="G20" s="176" t="s">
        <v>212</v>
      </c>
      <c r="H20" s="176" t="s">
        <v>393</v>
      </c>
      <c r="I20" s="176" t="s">
        <v>211</v>
      </c>
      <c r="J20" s="177" t="s">
        <v>21</v>
      </c>
      <c r="K20" s="178">
        <f t="shared" si="5"/>
        <v>1426.4507672949526</v>
      </c>
      <c r="L20" s="176"/>
      <c r="M20" s="178">
        <v>1450</v>
      </c>
      <c r="Q20" s="178">
        <v>1426.4507672949526</v>
      </c>
      <c r="AH20" s="175"/>
      <c r="AI20" s="175"/>
    </row>
    <row r="21" spans="1:35" s="178" customFormat="1" x14ac:dyDescent="0.25">
      <c r="A21" s="176">
        <v>3</v>
      </c>
      <c r="B21" s="176"/>
      <c r="C21" s="176">
        <f t="shared" si="1"/>
        <v>17</v>
      </c>
      <c r="D21" s="176">
        <f t="shared" si="2"/>
        <v>17</v>
      </c>
      <c r="E21" s="176">
        <f t="shared" si="3"/>
        <v>12</v>
      </c>
      <c r="F21" s="176" t="str">
        <f t="shared" si="4"/>
        <v>pm</v>
      </c>
      <c r="G21" s="176" t="s">
        <v>394</v>
      </c>
      <c r="H21" s="176" t="s">
        <v>355</v>
      </c>
      <c r="I21" s="176" t="s">
        <v>395</v>
      </c>
      <c r="J21" s="177" t="s">
        <v>21</v>
      </c>
      <c r="K21" s="178">
        <f t="shared" si="5"/>
        <v>1441.797756397913</v>
      </c>
      <c r="L21" s="176"/>
      <c r="M21" s="178">
        <v>1400</v>
      </c>
      <c r="P21" s="178">
        <v>1354.5958072424739</v>
      </c>
      <c r="R21" s="178">
        <v>1441.797756397913</v>
      </c>
      <c r="AH21" s="175"/>
      <c r="AI21" s="175"/>
    </row>
    <row r="22" spans="1:35" s="178" customFormat="1" x14ac:dyDescent="0.25">
      <c r="A22" s="176">
        <v>3</v>
      </c>
      <c r="B22" s="176"/>
      <c r="C22" s="176">
        <f t="shared" si="1"/>
        <v>18</v>
      </c>
      <c r="D22" s="176">
        <f t="shared" si="2"/>
        <v>17</v>
      </c>
      <c r="E22" s="176">
        <f t="shared" si="3"/>
        <v>12</v>
      </c>
      <c r="F22" s="176" t="str">
        <f t="shared" si="4"/>
        <v>pm</v>
      </c>
      <c r="G22" s="176" t="s">
        <v>396</v>
      </c>
      <c r="H22" s="176" t="s">
        <v>355</v>
      </c>
      <c r="I22" s="176" t="s">
        <v>397</v>
      </c>
      <c r="J22" s="177" t="s">
        <v>21</v>
      </c>
      <c r="K22" s="178">
        <f t="shared" si="5"/>
        <v>1396.2512544527322</v>
      </c>
      <c r="L22" s="176"/>
      <c r="M22" s="178">
        <v>1400</v>
      </c>
      <c r="R22" s="178">
        <v>1396.2512544527322</v>
      </c>
      <c r="AH22" s="175"/>
      <c r="AI22" s="175"/>
    </row>
    <row r="23" spans="1:35" s="178" customFormat="1" x14ac:dyDescent="0.25">
      <c r="A23" s="176">
        <v>3</v>
      </c>
      <c r="B23" s="176"/>
      <c r="C23" s="176">
        <f t="shared" si="1"/>
        <v>19</v>
      </c>
      <c r="D23" s="176">
        <f t="shared" si="2"/>
        <v>17</v>
      </c>
      <c r="E23" s="176">
        <f t="shared" si="3"/>
        <v>12</v>
      </c>
      <c r="F23" s="176" t="str">
        <f t="shared" si="4"/>
        <v>pm</v>
      </c>
      <c r="G23" s="176" t="s">
        <v>398</v>
      </c>
      <c r="H23" s="176" t="s">
        <v>355</v>
      </c>
      <c r="I23" s="176" t="s">
        <v>399</v>
      </c>
      <c r="J23" s="177" t="s">
        <v>21</v>
      </c>
      <c r="K23" s="178">
        <f t="shared" si="5"/>
        <v>1441.0927735916528</v>
      </c>
      <c r="L23" s="176"/>
      <c r="M23" s="178">
        <v>1400</v>
      </c>
      <c r="R23" s="178">
        <v>1441.0927735916528</v>
      </c>
      <c r="AH23" s="175"/>
      <c r="AI23" s="175"/>
    </row>
    <row r="24" spans="1:35" s="178" customFormat="1" x14ac:dyDescent="0.25">
      <c r="A24" s="176">
        <v>4</v>
      </c>
      <c r="B24" s="176"/>
      <c r="C24" s="176">
        <f t="shared" si="1"/>
        <v>20</v>
      </c>
      <c r="D24" s="176">
        <f t="shared" si="2"/>
        <v>17</v>
      </c>
      <c r="E24" s="176">
        <f t="shared" si="3"/>
        <v>12</v>
      </c>
      <c r="F24" s="176" t="str">
        <f t="shared" si="4"/>
        <v>pm</v>
      </c>
      <c r="G24" s="176" t="s">
        <v>218</v>
      </c>
      <c r="H24" s="176" t="s">
        <v>400</v>
      </c>
      <c r="I24" s="176" t="s">
        <v>217</v>
      </c>
      <c r="J24" s="177" t="s">
        <v>21</v>
      </c>
      <c r="K24" s="178">
        <f t="shared" si="5"/>
        <v>1400.1815869502536</v>
      </c>
      <c r="L24" s="176"/>
      <c r="M24" s="178">
        <v>1400</v>
      </c>
      <c r="R24" s="178">
        <v>1400.1815869502536</v>
      </c>
      <c r="AH24" s="175"/>
      <c r="AI24" s="175"/>
    </row>
    <row r="25" spans="1:35" s="178" customFormat="1" x14ac:dyDescent="0.25">
      <c r="A25" s="176">
        <v>6</v>
      </c>
      <c r="B25" s="176"/>
      <c r="C25" s="176">
        <f t="shared" si="1"/>
        <v>21</v>
      </c>
      <c r="D25" s="176">
        <f t="shared" si="2"/>
        <v>17</v>
      </c>
      <c r="E25" s="176">
        <f t="shared" si="3"/>
        <v>12</v>
      </c>
      <c r="F25" s="176" t="str">
        <f t="shared" si="4"/>
        <v>pm</v>
      </c>
      <c r="G25" s="176" t="s">
        <v>216</v>
      </c>
      <c r="H25" s="176" t="s">
        <v>401</v>
      </c>
      <c r="I25" s="176" t="s">
        <v>215</v>
      </c>
      <c r="J25" s="177" t="s">
        <v>21</v>
      </c>
      <c r="K25" s="178">
        <f t="shared" si="5"/>
        <v>1417.7394943703641</v>
      </c>
      <c r="L25" s="176"/>
      <c r="M25" s="178">
        <v>1400</v>
      </c>
      <c r="R25" s="178">
        <v>1417.7394943703641</v>
      </c>
      <c r="AH25" s="175"/>
      <c r="AI25" s="175"/>
    </row>
    <row r="26" spans="1:35" s="178" customFormat="1" x14ac:dyDescent="0.25">
      <c r="A26" s="176">
        <v>6</v>
      </c>
      <c r="B26" s="176"/>
      <c r="C26" s="176">
        <f t="shared" si="1"/>
        <v>22</v>
      </c>
      <c r="D26" s="176">
        <f t="shared" si="2"/>
        <v>17</v>
      </c>
      <c r="E26" s="176">
        <f t="shared" si="3"/>
        <v>12</v>
      </c>
      <c r="F26" s="176" t="str">
        <f t="shared" si="4"/>
        <v>pm</v>
      </c>
      <c r="G26" s="176" t="s">
        <v>51</v>
      </c>
      <c r="H26" s="176" t="s">
        <v>401</v>
      </c>
      <c r="I26" s="176" t="s">
        <v>50</v>
      </c>
      <c r="J26" s="177" t="s">
        <v>21</v>
      </c>
      <c r="K26" s="178">
        <f t="shared" si="5"/>
        <v>1373.7743082657332</v>
      </c>
      <c r="L26" s="176"/>
      <c r="M26" s="178">
        <v>1400</v>
      </c>
      <c r="R26" s="178">
        <v>1373.7743082657332</v>
      </c>
      <c r="AH26" s="175"/>
      <c r="AI26" s="175"/>
    </row>
    <row r="27" spans="1:35" s="178" customFormat="1" x14ac:dyDescent="0.25">
      <c r="A27" s="176">
        <v>6</v>
      </c>
      <c r="B27" s="176"/>
      <c r="C27" s="176">
        <f t="shared" si="1"/>
        <v>23</v>
      </c>
      <c r="D27" s="176">
        <f t="shared" si="2"/>
        <v>17</v>
      </c>
      <c r="E27" s="176">
        <f t="shared" si="3"/>
        <v>12</v>
      </c>
      <c r="F27" s="176" t="str">
        <f t="shared" si="4"/>
        <v>pm</v>
      </c>
      <c r="G27" s="176" t="s">
        <v>48</v>
      </c>
      <c r="H27" s="176" t="s">
        <v>402</v>
      </c>
      <c r="I27" s="176" t="s">
        <v>47</v>
      </c>
      <c r="J27" s="177" t="s">
        <v>21</v>
      </c>
      <c r="K27" s="178">
        <f t="shared" si="5"/>
        <v>1375.6647897871101</v>
      </c>
      <c r="L27" s="176"/>
      <c r="M27" s="178">
        <v>1400</v>
      </c>
      <c r="R27" s="178">
        <v>1375.6647897871101</v>
      </c>
      <c r="AH27" s="175"/>
      <c r="AI27" s="175"/>
    </row>
    <row r="28" spans="1:35" s="178" customFormat="1" x14ac:dyDescent="0.25">
      <c r="A28" s="176">
        <v>6</v>
      </c>
      <c r="B28" s="176"/>
      <c r="C28" s="176">
        <f t="shared" si="1"/>
        <v>24</v>
      </c>
      <c r="D28" s="176">
        <f t="shared" si="2"/>
        <v>17</v>
      </c>
      <c r="E28" s="176">
        <f t="shared" si="3"/>
        <v>12</v>
      </c>
      <c r="F28" s="176" t="str">
        <f t="shared" si="4"/>
        <v>pm</v>
      </c>
      <c r="G28" s="176" t="s">
        <v>214</v>
      </c>
      <c r="H28" s="176" t="s">
        <v>402</v>
      </c>
      <c r="I28" s="176" t="s">
        <v>213</v>
      </c>
      <c r="J28" s="177" t="s">
        <v>21</v>
      </c>
      <c r="K28" s="178">
        <f t="shared" si="5"/>
        <v>1418.8311236422678</v>
      </c>
      <c r="L28" s="176"/>
      <c r="M28" s="178">
        <v>1400</v>
      </c>
      <c r="R28" s="178">
        <v>1418.8311236422678</v>
      </c>
      <c r="AH28" s="175"/>
      <c r="AI28" s="175"/>
    </row>
    <row r="29" spans="1:35" s="178" customFormat="1" x14ac:dyDescent="0.25">
      <c r="A29" s="176">
        <v>4</v>
      </c>
      <c r="B29" s="176"/>
      <c r="C29" s="176">
        <f t="shared" si="1"/>
        <v>25</v>
      </c>
      <c r="D29" s="176">
        <f t="shared" si="2"/>
        <v>17</v>
      </c>
      <c r="E29" s="176">
        <f t="shared" si="3"/>
        <v>12</v>
      </c>
      <c r="F29" s="176" t="str">
        <f t="shared" si="4"/>
        <v>pm</v>
      </c>
      <c r="G29" s="176" t="s">
        <v>403</v>
      </c>
      <c r="H29" s="176" t="s">
        <v>358</v>
      </c>
      <c r="I29" s="176" t="s">
        <v>404</v>
      </c>
      <c r="J29" s="177" t="s">
        <v>21</v>
      </c>
      <c r="K29" s="178">
        <f t="shared" si="5"/>
        <v>1318.2541648485399</v>
      </c>
      <c r="L29" s="176"/>
      <c r="M29" s="178">
        <v>1400</v>
      </c>
      <c r="P29" s="178">
        <v>1375.0523383535012</v>
      </c>
      <c r="R29" s="178">
        <v>1318.2541648485399</v>
      </c>
      <c r="AH29" s="175"/>
      <c r="AI29" s="175"/>
    </row>
    <row r="30" spans="1:35" s="178" customFormat="1" x14ac:dyDescent="0.25">
      <c r="A30" s="176">
        <v>4</v>
      </c>
      <c r="B30" s="176"/>
      <c r="C30" s="176">
        <f t="shared" si="1"/>
        <v>26</v>
      </c>
      <c r="D30" s="176">
        <f t="shared" si="2"/>
        <v>17</v>
      </c>
      <c r="E30" s="176">
        <f t="shared" si="3"/>
        <v>12</v>
      </c>
      <c r="F30" s="176" t="str">
        <f t="shared" si="4"/>
        <v>pm</v>
      </c>
      <c r="G30" s="176" t="s">
        <v>405</v>
      </c>
      <c r="H30" s="176" t="s">
        <v>406</v>
      </c>
      <c r="I30" s="176" t="s">
        <v>407</v>
      </c>
      <c r="J30" s="177" t="s">
        <v>21</v>
      </c>
      <c r="K30" s="178">
        <f t="shared" si="5"/>
        <v>1497.5998860297041</v>
      </c>
      <c r="L30" s="176"/>
      <c r="M30" s="178">
        <v>1400</v>
      </c>
      <c r="P30" s="178">
        <v>1437.3487614330793</v>
      </c>
      <c r="R30" s="178">
        <v>1497.5998860297041</v>
      </c>
      <c r="AH30" s="175"/>
      <c r="AI30" s="175"/>
    </row>
    <row r="31" spans="1:35" s="178" customFormat="1" x14ac:dyDescent="0.25">
      <c r="A31" s="176">
        <v>3</v>
      </c>
      <c r="B31" s="176"/>
      <c r="C31" s="176">
        <f t="shared" si="1"/>
        <v>27</v>
      </c>
      <c r="D31" s="176">
        <f t="shared" si="2"/>
        <v>17</v>
      </c>
      <c r="E31" s="176">
        <f t="shared" si="3"/>
        <v>12</v>
      </c>
      <c r="F31" s="176" t="str">
        <f t="shared" si="4"/>
        <v>pm</v>
      </c>
      <c r="G31" s="176" t="s">
        <v>220</v>
      </c>
      <c r="H31" s="176" t="s">
        <v>408</v>
      </c>
      <c r="I31" s="176" t="s">
        <v>219</v>
      </c>
      <c r="J31" s="177" t="s">
        <v>21</v>
      </c>
      <c r="K31" s="178">
        <f t="shared" si="5"/>
        <v>1400</v>
      </c>
      <c r="L31" s="176"/>
      <c r="M31" s="178">
        <v>1400</v>
      </c>
      <c r="AH31" s="175"/>
      <c r="AI31" s="175"/>
    </row>
    <row r="32" spans="1:35" s="178" customFormat="1" x14ac:dyDescent="0.25">
      <c r="A32" s="176">
        <v>1</v>
      </c>
      <c r="B32" s="176"/>
      <c r="C32" s="176">
        <f t="shared" si="1"/>
        <v>28</v>
      </c>
      <c r="D32" s="176">
        <f t="shared" si="2"/>
        <v>17</v>
      </c>
      <c r="E32" s="176">
        <f t="shared" si="3"/>
        <v>12</v>
      </c>
      <c r="F32" s="176" t="str">
        <f t="shared" si="4"/>
        <v>pmx</v>
      </c>
      <c r="G32" s="176" t="s">
        <v>409</v>
      </c>
      <c r="H32" s="176" t="s">
        <v>410</v>
      </c>
      <c r="I32" s="176" t="s">
        <v>411</v>
      </c>
      <c r="J32" s="177" t="s">
        <v>21</v>
      </c>
      <c r="K32" s="178">
        <f t="shared" si="5"/>
        <v>1491.818053534166</v>
      </c>
      <c r="L32" s="176"/>
      <c r="M32" s="178">
        <v>1400</v>
      </c>
      <c r="P32" s="178">
        <v>1491.818053534166</v>
      </c>
      <c r="AH32" s="175"/>
      <c r="AI32" s="175"/>
    </row>
    <row r="33" spans="1:35" s="178" customFormat="1" x14ac:dyDescent="0.25">
      <c r="A33" s="176">
        <v>6</v>
      </c>
      <c r="B33" s="176"/>
      <c r="C33" s="176">
        <f t="shared" si="1"/>
        <v>29</v>
      </c>
      <c r="D33" s="176">
        <f t="shared" si="2"/>
        <v>17</v>
      </c>
      <c r="E33" s="176">
        <f t="shared" si="3"/>
        <v>12</v>
      </c>
      <c r="F33" s="176" t="str">
        <f t="shared" si="4"/>
        <v>pm</v>
      </c>
      <c r="G33" s="176" t="s">
        <v>54</v>
      </c>
      <c r="H33" s="176" t="s">
        <v>412</v>
      </c>
      <c r="I33" s="176" t="s">
        <v>53</v>
      </c>
      <c r="J33" s="177" t="s">
        <v>21</v>
      </c>
      <c r="K33" s="178">
        <f t="shared" si="5"/>
        <v>1368.3041030693962</v>
      </c>
      <c r="L33" s="176"/>
      <c r="M33" s="178">
        <v>1400</v>
      </c>
      <c r="R33" s="178">
        <v>1368.3041030693962</v>
      </c>
      <c r="AH33" s="175"/>
      <c r="AI33" s="175"/>
    </row>
    <row r="34" spans="1:35" s="178" customFormat="1" x14ac:dyDescent="0.25">
      <c r="A34" s="176">
        <v>6</v>
      </c>
      <c r="B34" s="176"/>
      <c r="C34" s="176">
        <f t="shared" si="1"/>
        <v>30</v>
      </c>
      <c r="D34" s="176">
        <f t="shared" si="2"/>
        <v>17</v>
      </c>
      <c r="E34" s="176">
        <f t="shared" si="3"/>
        <v>12</v>
      </c>
      <c r="F34" s="176" t="str">
        <f t="shared" si="4"/>
        <v>pm</v>
      </c>
      <c r="G34" s="176" t="s">
        <v>210</v>
      </c>
      <c r="H34" s="176" t="s">
        <v>412</v>
      </c>
      <c r="I34" s="176" t="s">
        <v>209</v>
      </c>
      <c r="J34" s="177" t="s">
        <v>21</v>
      </c>
      <c r="K34" s="178">
        <f t="shared" si="5"/>
        <v>1443.6793957766529</v>
      </c>
      <c r="L34" s="176"/>
      <c r="M34" s="178">
        <v>1400</v>
      </c>
      <c r="R34" s="178">
        <v>1443.6793957766529</v>
      </c>
      <c r="AH34" s="175"/>
      <c r="AI34" s="175"/>
    </row>
    <row r="35" spans="1:35" s="178" customFormat="1" x14ac:dyDescent="0.25">
      <c r="A35" s="176">
        <v>4</v>
      </c>
      <c r="B35" s="176"/>
      <c r="C35" s="176">
        <f t="shared" si="1"/>
        <v>31</v>
      </c>
      <c r="D35" s="176">
        <f t="shared" si="2"/>
        <v>17</v>
      </c>
      <c r="E35" s="176">
        <f t="shared" si="3"/>
        <v>12</v>
      </c>
      <c r="F35" s="176" t="str">
        <f t="shared" si="4"/>
        <v>pm</v>
      </c>
      <c r="G35" s="176" t="s">
        <v>24</v>
      </c>
      <c r="H35" s="176" t="s">
        <v>365</v>
      </c>
      <c r="I35" s="176" t="s">
        <v>23</v>
      </c>
      <c r="J35" s="177" t="s">
        <v>21</v>
      </c>
      <c r="K35" s="178">
        <f t="shared" si="5"/>
        <v>1400</v>
      </c>
      <c r="L35" s="176"/>
      <c r="M35" s="178">
        <v>1400</v>
      </c>
      <c r="AH35" s="175"/>
      <c r="AI35" s="175"/>
    </row>
    <row r="36" spans="1:35" s="178" customFormat="1" x14ac:dyDescent="0.25">
      <c r="A36" s="176">
        <v>3</v>
      </c>
      <c r="B36" s="176"/>
      <c r="C36" s="176">
        <f t="shared" si="1"/>
        <v>32</v>
      </c>
      <c r="D36" s="176">
        <f t="shared" si="2"/>
        <v>17</v>
      </c>
      <c r="E36" s="176">
        <f t="shared" si="3"/>
        <v>12</v>
      </c>
      <c r="F36" s="176" t="str">
        <f t="shared" si="4"/>
        <v>pm</v>
      </c>
      <c r="G36" s="176" t="s">
        <v>413</v>
      </c>
      <c r="H36" s="176" t="s">
        <v>387</v>
      </c>
      <c r="I36" s="176" t="s">
        <v>414</v>
      </c>
      <c r="J36" s="177" t="s">
        <v>21</v>
      </c>
      <c r="K36" s="178">
        <f t="shared" si="5"/>
        <v>1503.5614357480144</v>
      </c>
      <c r="L36" s="176"/>
      <c r="M36" s="178">
        <v>1400</v>
      </c>
      <c r="R36" s="178">
        <v>1503.5614357480144</v>
      </c>
      <c r="AH36" s="175"/>
      <c r="AI36" s="175"/>
    </row>
    <row r="37" spans="1:35" s="178" customFormat="1" x14ac:dyDescent="0.25">
      <c r="A37" s="176">
        <v>2</v>
      </c>
      <c r="B37" s="176"/>
      <c r="C37" s="176">
        <f t="shared" si="1"/>
        <v>33</v>
      </c>
      <c r="D37" s="176">
        <f t="shared" si="2"/>
        <v>17</v>
      </c>
      <c r="E37" s="176">
        <f t="shared" si="3"/>
        <v>12</v>
      </c>
      <c r="F37" s="176" t="str">
        <f t="shared" si="4"/>
        <v>pm</v>
      </c>
      <c r="G37" s="176" t="s">
        <v>415</v>
      </c>
      <c r="H37" s="176" t="s">
        <v>387</v>
      </c>
      <c r="I37" s="176" t="s">
        <v>416</v>
      </c>
      <c r="J37" s="177" t="s">
        <v>21</v>
      </c>
      <c r="K37" s="178">
        <f t="shared" si="5"/>
        <v>1339.761735911097</v>
      </c>
      <c r="L37" s="176"/>
      <c r="M37" s="178">
        <v>1400</v>
      </c>
      <c r="R37" s="178">
        <v>1339.761735911097</v>
      </c>
      <c r="AH37" s="175"/>
      <c r="AI37" s="175"/>
    </row>
    <row r="38" spans="1:35" s="178" customFormat="1" x14ac:dyDescent="0.25">
      <c r="A38" s="176">
        <v>2</v>
      </c>
      <c r="B38" s="176"/>
      <c r="C38" s="176">
        <f t="shared" si="1"/>
        <v>34</v>
      </c>
      <c r="D38" s="176">
        <f t="shared" si="2"/>
        <v>17</v>
      </c>
      <c r="E38" s="176">
        <f t="shared" si="3"/>
        <v>12</v>
      </c>
      <c r="F38" s="176" t="str">
        <f t="shared" si="4"/>
        <v>pm</v>
      </c>
      <c r="G38" s="176" t="s">
        <v>417</v>
      </c>
      <c r="H38" s="176" t="s">
        <v>387</v>
      </c>
      <c r="I38" s="176" t="s">
        <v>418</v>
      </c>
      <c r="J38" s="177" t="s">
        <v>21</v>
      </c>
      <c r="K38" s="178">
        <f t="shared" si="5"/>
        <v>1279.5314323800401</v>
      </c>
      <c r="L38" s="176"/>
      <c r="M38" s="178">
        <v>1400</v>
      </c>
      <c r="R38" s="178">
        <v>1279.5314323800401</v>
      </c>
      <c r="AH38" s="175"/>
      <c r="AI38" s="175"/>
    </row>
    <row r="39" spans="1:35" s="178" customFormat="1" x14ac:dyDescent="0.25">
      <c r="A39" s="176">
        <v>3</v>
      </c>
      <c r="B39" s="176"/>
      <c r="C39" s="176">
        <f t="shared" si="1"/>
        <v>35</v>
      </c>
      <c r="D39" s="176">
        <f t="shared" si="2"/>
        <v>17</v>
      </c>
      <c r="E39" s="176">
        <f t="shared" si="3"/>
        <v>12</v>
      </c>
      <c r="F39" s="176" t="str">
        <f t="shared" si="4"/>
        <v>pm</v>
      </c>
      <c r="G39" s="176" t="s">
        <v>419</v>
      </c>
      <c r="H39" s="176" t="s">
        <v>387</v>
      </c>
      <c r="I39" s="176" t="s">
        <v>420</v>
      </c>
      <c r="J39" s="177" t="s">
        <v>21</v>
      </c>
      <c r="K39" s="178">
        <f t="shared" si="5"/>
        <v>1371.0061506271329</v>
      </c>
      <c r="L39" s="176"/>
      <c r="M39" s="178">
        <v>1400</v>
      </c>
      <c r="R39" s="178">
        <v>1371.0061506271329</v>
      </c>
      <c r="AH39" s="175"/>
      <c r="AI39" s="175"/>
    </row>
    <row r="40" spans="1:35" s="178" customFormat="1" x14ac:dyDescent="0.25">
      <c r="A40" s="176">
        <v>6</v>
      </c>
      <c r="B40" s="176"/>
      <c r="C40" s="176">
        <f t="shared" si="1"/>
        <v>36</v>
      </c>
      <c r="D40" s="176">
        <f t="shared" si="2"/>
        <v>17</v>
      </c>
      <c r="E40" s="176">
        <f t="shared" si="3"/>
        <v>12</v>
      </c>
      <c r="F40" s="176" t="str">
        <f t="shared" si="4"/>
        <v>pm</v>
      </c>
      <c r="G40" s="176" t="s">
        <v>63</v>
      </c>
      <c r="H40" s="176" t="s">
        <v>392</v>
      </c>
      <c r="I40" s="176" t="s">
        <v>62</v>
      </c>
      <c r="J40" s="177" t="s">
        <v>21</v>
      </c>
      <c r="K40" s="178">
        <f t="shared" si="5"/>
        <v>1321.2738836240517</v>
      </c>
      <c r="L40" s="176"/>
      <c r="M40" s="178">
        <v>1400</v>
      </c>
      <c r="R40" s="178">
        <v>1321.2738836240517</v>
      </c>
      <c r="AH40" s="175"/>
      <c r="AI40" s="175"/>
    </row>
    <row r="41" spans="1:35" s="178" customFormat="1" x14ac:dyDescent="0.25">
      <c r="A41" s="176">
        <v>5</v>
      </c>
      <c r="B41" s="176"/>
      <c r="C41" s="176">
        <f t="shared" si="1"/>
        <v>37</v>
      </c>
      <c r="D41" s="176">
        <f t="shared" si="2"/>
        <v>17</v>
      </c>
      <c r="E41" s="176">
        <f t="shared" si="3"/>
        <v>12</v>
      </c>
      <c r="F41" s="176" t="str">
        <f t="shared" si="4"/>
        <v>pm</v>
      </c>
      <c r="G41" s="176" t="s">
        <v>208</v>
      </c>
      <c r="H41" s="176" t="s">
        <v>421</v>
      </c>
      <c r="I41" s="176" t="s">
        <v>207</v>
      </c>
      <c r="J41" s="177" t="s">
        <v>21</v>
      </c>
      <c r="K41" s="178">
        <f t="shared" si="5"/>
        <v>1450.7912672511281</v>
      </c>
      <c r="L41" s="176"/>
      <c r="M41" s="178">
        <v>1400</v>
      </c>
      <c r="R41" s="178">
        <v>1450.7912672511281</v>
      </c>
      <c r="AH41" s="175"/>
      <c r="AI41" s="175"/>
    </row>
    <row r="42" spans="1:35" s="178" customFormat="1" x14ac:dyDescent="0.25">
      <c r="A42" s="176">
        <v>7</v>
      </c>
      <c r="B42" s="176"/>
      <c r="C42" s="176">
        <f t="shared" si="1"/>
        <v>38</v>
      </c>
      <c r="D42" s="176">
        <f t="shared" si="2"/>
        <v>38</v>
      </c>
      <c r="E42" s="176">
        <f t="shared" si="3"/>
        <v>12</v>
      </c>
      <c r="F42" s="176" t="str">
        <f t="shared" si="4"/>
        <v>pm</v>
      </c>
      <c r="G42" s="176" t="s">
        <v>57</v>
      </c>
      <c r="H42" s="176" t="s">
        <v>412</v>
      </c>
      <c r="I42" s="176" t="s">
        <v>56</v>
      </c>
      <c r="J42" s="177" t="s">
        <v>21</v>
      </c>
      <c r="K42" s="178">
        <f t="shared" si="5"/>
        <v>1345.1281772310635</v>
      </c>
      <c r="L42" s="176"/>
      <c r="M42" s="178">
        <v>1371.4285714285713</v>
      </c>
      <c r="R42" s="178">
        <v>1345.1281772310635</v>
      </c>
      <c r="AH42" s="175"/>
      <c r="AI42" s="175"/>
    </row>
    <row r="43" spans="1:35" s="178" customFormat="1" x14ac:dyDescent="0.25">
      <c r="A43" s="176">
        <v>4</v>
      </c>
      <c r="B43" s="176"/>
      <c r="C43" s="176">
        <f t="shared" si="1"/>
        <v>39</v>
      </c>
      <c r="D43" s="176">
        <f t="shared" si="2"/>
        <v>39</v>
      </c>
      <c r="E43" s="176">
        <f t="shared" si="3"/>
        <v>12</v>
      </c>
      <c r="F43" s="176" t="str">
        <f t="shared" si="4"/>
        <v>pm</v>
      </c>
      <c r="G43" s="176" t="s">
        <v>60</v>
      </c>
      <c r="H43" s="176" t="s">
        <v>422</v>
      </c>
      <c r="I43" s="176" t="s">
        <v>59</v>
      </c>
      <c r="J43" s="177" t="s">
        <v>21</v>
      </c>
      <c r="K43" s="178">
        <f t="shared" si="5"/>
        <v>1212.6460682694362</v>
      </c>
      <c r="L43" s="176"/>
      <c r="M43" s="178">
        <v>1350</v>
      </c>
      <c r="P43" s="178">
        <v>1262.0861010337815</v>
      </c>
      <c r="R43" s="178">
        <v>1212.6460682694362</v>
      </c>
      <c r="AH43" s="175"/>
      <c r="AI43" s="175"/>
    </row>
    <row r="44" spans="1:35" s="178" customFormat="1" x14ac:dyDescent="0.25">
      <c r="A44" s="176">
        <v>6</v>
      </c>
      <c r="B44" s="176"/>
      <c r="C44" s="176">
        <f t="shared" si="1"/>
        <v>40</v>
      </c>
      <c r="D44" s="176">
        <f t="shared" si="2"/>
        <v>40</v>
      </c>
      <c r="E44" s="176">
        <f t="shared" si="3"/>
        <v>12</v>
      </c>
      <c r="F44" s="176" t="str">
        <f t="shared" si="4"/>
        <v>pm</v>
      </c>
      <c r="G44" s="176" t="s">
        <v>206</v>
      </c>
      <c r="H44" s="176" t="s">
        <v>392</v>
      </c>
      <c r="I44" s="176" t="s">
        <v>205</v>
      </c>
      <c r="J44" s="177" t="s">
        <v>21</v>
      </c>
      <c r="K44" s="178">
        <f t="shared" si="5"/>
        <v>1456.291164140775</v>
      </c>
      <c r="L44" s="176"/>
      <c r="M44" s="178">
        <v>1333.3333333333333</v>
      </c>
      <c r="R44" s="178">
        <v>1456.291164140775</v>
      </c>
      <c r="AH44" s="175"/>
      <c r="AI44" s="175"/>
    </row>
    <row r="45" spans="1:35" s="178" customFormat="1" x14ac:dyDescent="0.25">
      <c r="A45" s="176">
        <v>2</v>
      </c>
      <c r="B45" s="176"/>
      <c r="C45" s="176">
        <f t="shared" si="1"/>
        <v>41</v>
      </c>
      <c r="D45" s="176">
        <f t="shared" si="2"/>
        <v>41</v>
      </c>
      <c r="E45" s="176">
        <f t="shared" si="3"/>
        <v>12</v>
      </c>
      <c r="F45" s="176" t="str">
        <f t="shared" si="4"/>
        <v>pm</v>
      </c>
      <c r="G45" s="176" t="s">
        <v>423</v>
      </c>
      <c r="H45" s="176" t="s">
        <v>390</v>
      </c>
      <c r="I45" s="176" t="s">
        <v>424</v>
      </c>
      <c r="J45" s="177" t="s">
        <v>21</v>
      </c>
      <c r="K45" s="178">
        <f t="shared" si="5"/>
        <v>1293.619933628122</v>
      </c>
      <c r="L45" s="176"/>
      <c r="M45" s="178">
        <v>1300</v>
      </c>
      <c r="R45" s="178">
        <v>1293.619933628122</v>
      </c>
      <c r="AH45" s="175"/>
      <c r="AI45" s="175"/>
    </row>
    <row r="46" spans="1:35" s="178" customFormat="1" x14ac:dyDescent="0.25">
      <c r="A46" s="176">
        <v>3</v>
      </c>
      <c r="B46" s="176"/>
      <c r="C46" s="176">
        <f t="shared" si="1"/>
        <v>42</v>
      </c>
      <c r="D46" s="176">
        <f t="shared" si="2"/>
        <v>42</v>
      </c>
      <c r="E46" s="176">
        <f t="shared" si="3"/>
        <v>12</v>
      </c>
      <c r="F46" s="176" t="str">
        <f t="shared" si="4"/>
        <v>pm</v>
      </c>
      <c r="G46" s="176" t="s">
        <v>425</v>
      </c>
      <c r="H46" s="176" t="s">
        <v>355</v>
      </c>
      <c r="I46" s="176" t="s">
        <v>426</v>
      </c>
      <c r="J46" s="177" t="s">
        <v>360</v>
      </c>
      <c r="K46" s="178">
        <f t="shared" si="5"/>
        <v>1208.4683851329539</v>
      </c>
      <c r="L46" s="176"/>
      <c r="M46" s="178">
        <v>1200</v>
      </c>
      <c r="R46" s="178">
        <v>1208.4683851329539</v>
      </c>
      <c r="AH46" s="175"/>
      <c r="AI46" s="175"/>
    </row>
    <row r="47" spans="1:35" s="178" customFormat="1" x14ac:dyDescent="0.25">
      <c r="A47" s="176">
        <v>3</v>
      </c>
      <c r="B47" s="176"/>
      <c r="C47" s="176">
        <f t="shared" si="1"/>
        <v>43</v>
      </c>
      <c r="D47" s="176">
        <f t="shared" si="2"/>
        <v>42</v>
      </c>
      <c r="E47" s="176">
        <f t="shared" si="3"/>
        <v>12</v>
      </c>
      <c r="F47" s="176" t="str">
        <f t="shared" si="4"/>
        <v>pm</v>
      </c>
      <c r="G47" s="176" t="s">
        <v>427</v>
      </c>
      <c r="H47" s="176" t="s">
        <v>355</v>
      </c>
      <c r="I47" s="176" t="s">
        <v>428</v>
      </c>
      <c r="J47" s="177" t="s">
        <v>360</v>
      </c>
      <c r="K47" s="178">
        <f t="shared" si="5"/>
        <v>1292.6373253209092</v>
      </c>
      <c r="L47" s="176"/>
      <c r="M47" s="178">
        <v>1200</v>
      </c>
      <c r="R47" s="178">
        <v>1292.6373253209092</v>
      </c>
      <c r="AH47" s="175"/>
      <c r="AI47" s="175"/>
    </row>
    <row r="48" spans="1:35" s="178" customFormat="1" x14ac:dyDescent="0.25">
      <c r="A48" s="176">
        <v>3</v>
      </c>
      <c r="B48" s="176"/>
      <c r="C48" s="176">
        <f t="shared" si="1"/>
        <v>44</v>
      </c>
      <c r="D48" s="176">
        <f t="shared" si="2"/>
        <v>42</v>
      </c>
      <c r="E48" s="176">
        <f t="shared" si="3"/>
        <v>12</v>
      </c>
      <c r="F48" s="176" t="str">
        <f t="shared" si="4"/>
        <v>pm</v>
      </c>
      <c r="G48" s="176" t="s">
        <v>429</v>
      </c>
      <c r="H48" s="176" t="s">
        <v>355</v>
      </c>
      <c r="I48" s="176" t="s">
        <v>430</v>
      </c>
      <c r="J48" s="177" t="s">
        <v>360</v>
      </c>
      <c r="K48" s="178">
        <f t="shared" si="5"/>
        <v>1233.1715808383456</v>
      </c>
      <c r="L48" s="176"/>
      <c r="M48" s="178">
        <v>1200</v>
      </c>
      <c r="R48" s="178">
        <v>1233.1715808383456</v>
      </c>
      <c r="AH48" s="175"/>
      <c r="AI48" s="175"/>
    </row>
    <row r="49" spans="1:35" s="178" customFormat="1" x14ac:dyDescent="0.25">
      <c r="A49" s="176">
        <v>4</v>
      </c>
      <c r="B49" s="176"/>
      <c r="C49" s="176">
        <f t="shared" si="1"/>
        <v>45</v>
      </c>
      <c r="D49" s="176">
        <f t="shared" si="2"/>
        <v>42</v>
      </c>
      <c r="E49" s="176">
        <f t="shared" si="3"/>
        <v>12</v>
      </c>
      <c r="F49" s="176" t="str">
        <f t="shared" si="4"/>
        <v>pm</v>
      </c>
      <c r="G49" s="176" t="s">
        <v>431</v>
      </c>
      <c r="H49" s="176" t="s">
        <v>432</v>
      </c>
      <c r="I49" s="176" t="s">
        <v>433</v>
      </c>
      <c r="J49" s="177" t="s">
        <v>360</v>
      </c>
      <c r="K49" s="178">
        <f t="shared" si="5"/>
        <v>1274.9503770355423</v>
      </c>
      <c r="L49" s="176"/>
      <c r="M49" s="178">
        <v>1200</v>
      </c>
      <c r="R49" s="178">
        <v>1274.9503770355423</v>
      </c>
      <c r="AH49" s="175"/>
      <c r="AI49" s="175"/>
    </row>
    <row r="50" spans="1:35" s="178" customFormat="1" x14ac:dyDescent="0.25">
      <c r="A50" s="176">
        <v>4</v>
      </c>
      <c r="B50" s="176"/>
      <c r="C50" s="176">
        <f t="shared" si="1"/>
        <v>46</v>
      </c>
      <c r="D50" s="176">
        <f t="shared" si="2"/>
        <v>42</v>
      </c>
      <c r="E50" s="176">
        <f t="shared" si="3"/>
        <v>12</v>
      </c>
      <c r="F50" s="176" t="str">
        <f t="shared" si="4"/>
        <v>pm</v>
      </c>
      <c r="G50" s="176" t="s">
        <v>434</v>
      </c>
      <c r="H50" s="176" t="s">
        <v>406</v>
      </c>
      <c r="I50" s="176" t="s">
        <v>435</v>
      </c>
      <c r="J50" s="177" t="s">
        <v>360</v>
      </c>
      <c r="K50" s="178">
        <f t="shared" si="5"/>
        <v>1157.9314597187015</v>
      </c>
      <c r="L50" s="176"/>
      <c r="M50" s="178">
        <v>1200</v>
      </c>
      <c r="R50" s="178">
        <v>1157.9314597187015</v>
      </c>
      <c r="AH50" s="175"/>
      <c r="AI50" s="175"/>
    </row>
    <row r="51" spans="1:35" s="178" customFormat="1" x14ac:dyDescent="0.25">
      <c r="A51" s="176">
        <v>4</v>
      </c>
      <c r="B51" s="176"/>
      <c r="C51" s="176">
        <f t="shared" si="1"/>
        <v>47</v>
      </c>
      <c r="D51" s="176">
        <f t="shared" si="2"/>
        <v>42</v>
      </c>
      <c r="E51" s="176">
        <f t="shared" si="3"/>
        <v>12</v>
      </c>
      <c r="F51" s="176" t="str">
        <f t="shared" si="4"/>
        <v>pm</v>
      </c>
      <c r="G51" s="176" t="s">
        <v>436</v>
      </c>
      <c r="H51" s="176" t="s">
        <v>406</v>
      </c>
      <c r="I51" s="176" t="s">
        <v>437</v>
      </c>
      <c r="J51" s="177" t="s">
        <v>360</v>
      </c>
      <c r="K51" s="178">
        <f t="shared" si="5"/>
        <v>1202.1576214335375</v>
      </c>
      <c r="L51" s="176"/>
      <c r="M51" s="178">
        <v>1200</v>
      </c>
      <c r="R51" s="178">
        <v>1202.1576214335375</v>
      </c>
      <c r="AH51" s="175"/>
      <c r="AI51" s="175"/>
    </row>
    <row r="52" spans="1:35" s="178" customFormat="1" x14ac:dyDescent="0.25">
      <c r="A52" s="176">
        <v>4</v>
      </c>
      <c r="B52" s="176"/>
      <c r="C52" s="176">
        <f t="shared" si="1"/>
        <v>48</v>
      </c>
      <c r="D52" s="176">
        <f t="shared" si="2"/>
        <v>42</v>
      </c>
      <c r="E52" s="176">
        <f t="shared" si="3"/>
        <v>12</v>
      </c>
      <c r="F52" s="176" t="str">
        <f t="shared" si="4"/>
        <v>pm</v>
      </c>
      <c r="G52" s="176" t="s">
        <v>438</v>
      </c>
      <c r="H52" s="176" t="s">
        <v>406</v>
      </c>
      <c r="I52" s="176" t="s">
        <v>439</v>
      </c>
      <c r="J52" s="177" t="s">
        <v>360</v>
      </c>
      <c r="K52" s="178">
        <f t="shared" si="5"/>
        <v>1203.1411394635875</v>
      </c>
      <c r="L52" s="176"/>
      <c r="M52" s="178">
        <v>1200</v>
      </c>
      <c r="R52" s="178">
        <v>1203.1411394635875</v>
      </c>
      <c r="AH52" s="175"/>
      <c r="AI52" s="175"/>
    </row>
    <row r="53" spans="1:35" s="178" customFormat="1" x14ac:dyDescent="0.25">
      <c r="A53" s="176">
        <v>3</v>
      </c>
      <c r="B53" s="176"/>
      <c r="C53" s="176">
        <f t="shared" si="1"/>
        <v>49</v>
      </c>
      <c r="D53" s="176">
        <f t="shared" si="2"/>
        <v>42</v>
      </c>
      <c r="E53" s="176">
        <f t="shared" si="3"/>
        <v>12</v>
      </c>
      <c r="F53" s="176" t="str">
        <f t="shared" si="4"/>
        <v>pm</v>
      </c>
      <c r="G53" s="176" t="s">
        <v>440</v>
      </c>
      <c r="H53" s="176" t="s">
        <v>412</v>
      </c>
      <c r="I53" s="176" t="s">
        <v>441</v>
      </c>
      <c r="J53" s="177" t="s">
        <v>360</v>
      </c>
      <c r="K53" s="178">
        <f t="shared" si="5"/>
        <v>1238.5911205484977</v>
      </c>
      <c r="L53" s="176"/>
      <c r="M53" s="178">
        <v>1200</v>
      </c>
      <c r="R53" s="178">
        <v>1238.5911205484977</v>
      </c>
      <c r="AH53" s="175"/>
      <c r="AI53" s="175"/>
    </row>
    <row r="54" spans="1:35" s="178" customFormat="1" x14ac:dyDescent="0.25">
      <c r="A54" s="176">
        <v>3</v>
      </c>
      <c r="B54" s="176"/>
      <c r="C54" s="176">
        <f t="shared" si="1"/>
        <v>50</v>
      </c>
      <c r="D54" s="176">
        <f t="shared" si="2"/>
        <v>42</v>
      </c>
      <c r="E54" s="176">
        <f t="shared" si="3"/>
        <v>12</v>
      </c>
      <c r="F54" s="176" t="str">
        <f t="shared" si="4"/>
        <v>pm</v>
      </c>
      <c r="G54" s="176" t="s">
        <v>442</v>
      </c>
      <c r="H54" s="176" t="s">
        <v>412</v>
      </c>
      <c r="I54" s="176" t="s">
        <v>443</v>
      </c>
      <c r="J54" s="177" t="s">
        <v>360</v>
      </c>
      <c r="K54" s="178">
        <f t="shared" si="5"/>
        <v>1110.6532770275439</v>
      </c>
      <c r="L54" s="176"/>
      <c r="M54" s="178">
        <v>1200</v>
      </c>
      <c r="R54" s="178">
        <v>1110.6532770275439</v>
      </c>
      <c r="AH54" s="175"/>
      <c r="AI54" s="175"/>
    </row>
    <row r="55" spans="1:35" s="178" customFormat="1" x14ac:dyDescent="0.25">
      <c r="A55" s="176">
        <v>2</v>
      </c>
      <c r="B55" s="176"/>
      <c r="C55" s="176">
        <f t="shared" si="1"/>
        <v>51</v>
      </c>
      <c r="D55" s="176">
        <f t="shared" si="2"/>
        <v>42</v>
      </c>
      <c r="E55" s="176">
        <f t="shared" si="3"/>
        <v>12</v>
      </c>
      <c r="F55" s="176" t="str">
        <f t="shared" si="4"/>
        <v>pm</v>
      </c>
      <c r="G55" s="176" t="s">
        <v>444</v>
      </c>
      <c r="H55" s="176" t="s">
        <v>365</v>
      </c>
      <c r="I55" s="176" t="s">
        <v>445</v>
      </c>
      <c r="J55" s="177" t="s">
        <v>360</v>
      </c>
      <c r="K55" s="178">
        <f t="shared" si="5"/>
        <v>1200</v>
      </c>
      <c r="L55" s="176"/>
      <c r="M55" s="178">
        <v>1200</v>
      </c>
      <c r="AH55" s="175"/>
      <c r="AI55" s="175"/>
    </row>
    <row r="56" spans="1:35" s="178" customFormat="1" x14ac:dyDescent="0.25">
      <c r="A56" s="176">
        <v>2</v>
      </c>
      <c r="B56" s="176"/>
      <c r="C56" s="176">
        <f t="shared" si="1"/>
        <v>52</v>
      </c>
      <c r="D56" s="176">
        <f t="shared" si="2"/>
        <v>42</v>
      </c>
      <c r="E56" s="176">
        <f t="shared" si="3"/>
        <v>12</v>
      </c>
      <c r="F56" s="176" t="str">
        <f t="shared" si="4"/>
        <v>pm</v>
      </c>
      <c r="G56" s="176" t="s">
        <v>446</v>
      </c>
      <c r="H56" s="176" t="s">
        <v>365</v>
      </c>
      <c r="I56" s="176" t="s">
        <v>447</v>
      </c>
      <c r="J56" s="177" t="s">
        <v>360</v>
      </c>
      <c r="K56" s="178">
        <f t="shared" si="5"/>
        <v>1200</v>
      </c>
      <c r="L56" s="176"/>
      <c r="M56" s="178">
        <v>1200</v>
      </c>
      <c r="AH56" s="175"/>
      <c r="AI56" s="175"/>
    </row>
    <row r="57" spans="1:35" s="178" customFormat="1" x14ac:dyDescent="0.25">
      <c r="A57" s="176">
        <v>1</v>
      </c>
      <c r="B57" s="176"/>
      <c r="C57" s="176">
        <f t="shared" si="1"/>
        <v>53</v>
      </c>
      <c r="D57" s="176">
        <f t="shared" si="2"/>
        <v>42</v>
      </c>
      <c r="E57" s="176">
        <f t="shared" si="3"/>
        <v>12</v>
      </c>
      <c r="F57" s="176" t="str">
        <f t="shared" si="4"/>
        <v>pmx</v>
      </c>
      <c r="G57" s="176" t="s">
        <v>448</v>
      </c>
      <c r="H57" s="176" t="s">
        <v>449</v>
      </c>
      <c r="I57" s="176" t="s">
        <v>450</v>
      </c>
      <c r="J57" s="177" t="s">
        <v>360</v>
      </c>
      <c r="K57" s="178">
        <f t="shared" si="5"/>
        <v>1200</v>
      </c>
      <c r="L57" s="176"/>
      <c r="M57" s="178">
        <v>1200</v>
      </c>
      <c r="AH57" s="175"/>
      <c r="AI57" s="175"/>
    </row>
    <row r="58" spans="1:35" s="178" customFormat="1" x14ac:dyDescent="0.25">
      <c r="A58" s="176">
        <v>1</v>
      </c>
      <c r="B58" s="176"/>
      <c r="C58" s="176">
        <f t="shared" si="1"/>
        <v>54</v>
      </c>
      <c r="D58" s="176">
        <f t="shared" si="2"/>
        <v>42</v>
      </c>
      <c r="E58" s="176">
        <f t="shared" si="3"/>
        <v>12</v>
      </c>
      <c r="F58" s="176" t="str">
        <f t="shared" si="4"/>
        <v>pmx</v>
      </c>
      <c r="G58" s="176" t="s">
        <v>451</v>
      </c>
      <c r="H58" s="176" t="s">
        <v>387</v>
      </c>
      <c r="I58" s="176" t="s">
        <v>452</v>
      </c>
      <c r="J58" s="177" t="s">
        <v>360</v>
      </c>
      <c r="K58" s="178">
        <f t="shared" si="5"/>
        <v>1158.7524498540417</v>
      </c>
      <c r="L58" s="176"/>
      <c r="M58" s="178">
        <v>1200</v>
      </c>
      <c r="R58" s="178">
        <v>1158.7524498540417</v>
      </c>
      <c r="AH58" s="175"/>
      <c r="AI58" s="175"/>
    </row>
    <row r="59" spans="1:35" s="178" customFormat="1" x14ac:dyDescent="0.25">
      <c r="A59" s="176">
        <v>3</v>
      </c>
      <c r="B59" s="176"/>
      <c r="C59" s="176">
        <f t="shared" si="1"/>
        <v>55</v>
      </c>
      <c r="D59" s="176">
        <f t="shared" si="2"/>
        <v>42</v>
      </c>
      <c r="E59" s="176">
        <f t="shared" si="3"/>
        <v>12</v>
      </c>
      <c r="F59" s="176" t="str">
        <f t="shared" si="4"/>
        <v>pm</v>
      </c>
      <c r="G59" s="176" t="s">
        <v>453</v>
      </c>
      <c r="H59" s="176" t="s">
        <v>454</v>
      </c>
      <c r="I59" s="176" t="s">
        <v>455</v>
      </c>
      <c r="J59" s="177" t="s">
        <v>360</v>
      </c>
      <c r="K59" s="178">
        <f t="shared" si="5"/>
        <v>1231.5000238061393</v>
      </c>
      <c r="L59" s="176"/>
      <c r="M59" s="178">
        <v>1200</v>
      </c>
      <c r="R59" s="178">
        <v>1231.5000238061393</v>
      </c>
      <c r="AH59" s="175"/>
      <c r="AI59" s="175"/>
    </row>
    <row r="60" spans="1:35" s="178" customFormat="1" x14ac:dyDescent="0.25">
      <c r="A60" s="176">
        <v>5</v>
      </c>
      <c r="B60" s="176"/>
      <c r="C60" s="176">
        <f t="shared" si="1"/>
        <v>56</v>
      </c>
      <c r="D60" s="176">
        <f t="shared" si="2"/>
        <v>42</v>
      </c>
      <c r="E60" s="176">
        <f t="shared" si="3"/>
        <v>12</v>
      </c>
      <c r="F60" s="176" t="str">
        <f t="shared" si="4"/>
        <v>pm</v>
      </c>
      <c r="G60" s="176" t="s">
        <v>456</v>
      </c>
      <c r="H60" s="176" t="s">
        <v>392</v>
      </c>
      <c r="I60" s="176" t="s">
        <v>457</v>
      </c>
      <c r="J60" s="177" t="s">
        <v>360</v>
      </c>
      <c r="K60" s="178">
        <f t="shared" si="5"/>
        <v>1166.1154316050067</v>
      </c>
      <c r="L60" s="176"/>
      <c r="M60" s="178">
        <v>1200</v>
      </c>
      <c r="R60" s="178">
        <v>1166.1154316050067</v>
      </c>
      <c r="AH60" s="175"/>
      <c r="AI60" s="175"/>
    </row>
    <row r="61" spans="1:35" s="178" customFormat="1" x14ac:dyDescent="0.25">
      <c r="A61" s="176">
        <v>5</v>
      </c>
      <c r="B61" s="176"/>
      <c r="C61" s="176">
        <f t="shared" si="1"/>
        <v>57</v>
      </c>
      <c r="D61" s="176">
        <f t="shared" si="2"/>
        <v>42</v>
      </c>
      <c r="E61" s="176">
        <f t="shared" si="3"/>
        <v>12</v>
      </c>
      <c r="F61" s="176" t="str">
        <f t="shared" si="4"/>
        <v>pm</v>
      </c>
      <c r="G61" s="176" t="s">
        <v>458</v>
      </c>
      <c r="H61" s="176" t="s">
        <v>392</v>
      </c>
      <c r="I61" s="176" t="s">
        <v>459</v>
      </c>
      <c r="J61" s="177" t="s">
        <v>360</v>
      </c>
      <c r="K61" s="178">
        <f t="shared" si="5"/>
        <v>1166.3348618337313</v>
      </c>
      <c r="L61" s="176"/>
      <c r="M61" s="178">
        <v>1200</v>
      </c>
      <c r="R61" s="178">
        <v>1166.3348618337313</v>
      </c>
      <c r="AH61" s="175"/>
      <c r="AI61" s="175"/>
    </row>
    <row r="62" spans="1:35" s="178" customFormat="1" x14ac:dyDescent="0.25">
      <c r="A62" s="176">
        <v>3</v>
      </c>
      <c r="B62" s="176"/>
      <c r="C62" s="176">
        <f t="shared" si="1"/>
        <v>1</v>
      </c>
      <c r="D62" s="176">
        <f t="shared" si="2"/>
        <v>1</v>
      </c>
      <c r="E62" s="176">
        <f t="shared" si="3"/>
        <v>13</v>
      </c>
      <c r="F62" s="176" t="str">
        <f t="shared" si="4"/>
        <v>pm</v>
      </c>
      <c r="G62" s="176" t="s">
        <v>460</v>
      </c>
      <c r="H62" s="176" t="s">
        <v>461</v>
      </c>
      <c r="I62" s="176" t="s">
        <v>462</v>
      </c>
      <c r="J62" s="177" t="s">
        <v>22</v>
      </c>
      <c r="K62" s="178">
        <f t="shared" si="5"/>
        <v>1937.4919528089513</v>
      </c>
      <c r="L62" s="176"/>
      <c r="M62" s="178">
        <v>2000</v>
      </c>
      <c r="O62" s="178">
        <v>1937.4919528089513</v>
      </c>
      <c r="AH62" s="175"/>
      <c r="AI62" s="175"/>
    </row>
    <row r="63" spans="1:35" s="178" customFormat="1" x14ac:dyDescent="0.25">
      <c r="A63" s="176">
        <v>3</v>
      </c>
      <c r="B63" s="176"/>
      <c r="C63" s="176">
        <f t="shared" si="1"/>
        <v>2</v>
      </c>
      <c r="D63" s="176">
        <f t="shared" si="2"/>
        <v>1</v>
      </c>
      <c r="E63" s="176">
        <f t="shared" si="3"/>
        <v>13</v>
      </c>
      <c r="F63" s="176" t="str">
        <f t="shared" si="4"/>
        <v>pm</v>
      </c>
      <c r="G63" s="176" t="s">
        <v>463</v>
      </c>
      <c r="H63" s="176" t="s">
        <v>355</v>
      </c>
      <c r="I63" s="176" t="s">
        <v>464</v>
      </c>
      <c r="J63" s="177" t="s">
        <v>22</v>
      </c>
      <c r="K63" s="178">
        <f t="shared" si="5"/>
        <v>2152.6882339125423</v>
      </c>
      <c r="L63" s="176"/>
      <c r="M63" s="178">
        <v>2000</v>
      </c>
      <c r="O63" s="178">
        <v>2152.6882339125423</v>
      </c>
      <c r="AH63" s="175"/>
      <c r="AI63" s="175"/>
    </row>
    <row r="64" spans="1:35" s="178" customFormat="1" x14ac:dyDescent="0.25">
      <c r="A64" s="176">
        <v>4</v>
      </c>
      <c r="B64" s="176"/>
      <c r="C64" s="176">
        <f t="shared" si="1"/>
        <v>3</v>
      </c>
      <c r="D64" s="176">
        <f t="shared" si="2"/>
        <v>1</v>
      </c>
      <c r="E64" s="176">
        <f t="shared" si="3"/>
        <v>13</v>
      </c>
      <c r="F64" s="176" t="str">
        <f t="shared" si="4"/>
        <v>pm</v>
      </c>
      <c r="G64" s="176" t="s">
        <v>465</v>
      </c>
      <c r="H64" s="176" t="s">
        <v>355</v>
      </c>
      <c r="I64" s="176" t="s">
        <v>466</v>
      </c>
      <c r="J64" s="177" t="s">
        <v>22</v>
      </c>
      <c r="K64" s="178">
        <f t="shared" si="5"/>
        <v>1942.7428613495103</v>
      </c>
      <c r="L64" s="176"/>
      <c r="M64" s="178">
        <v>2000</v>
      </c>
      <c r="O64" s="178">
        <v>1942.7428613495103</v>
      </c>
      <c r="AH64" s="175"/>
      <c r="AI64" s="175"/>
    </row>
    <row r="65" spans="1:35" s="178" customFormat="1" x14ac:dyDescent="0.25">
      <c r="A65" s="176">
        <v>5</v>
      </c>
      <c r="B65" s="176"/>
      <c r="C65" s="176">
        <f t="shared" si="1"/>
        <v>4</v>
      </c>
      <c r="D65" s="176">
        <f t="shared" si="2"/>
        <v>1</v>
      </c>
      <c r="E65" s="176">
        <f t="shared" si="3"/>
        <v>13</v>
      </c>
      <c r="F65" s="176" t="str">
        <f t="shared" si="4"/>
        <v>pm</v>
      </c>
      <c r="G65" s="176" t="s">
        <v>467</v>
      </c>
      <c r="H65" s="176" t="s">
        <v>400</v>
      </c>
      <c r="I65" s="176" t="s">
        <v>468</v>
      </c>
      <c r="J65" s="177" t="s">
        <v>22</v>
      </c>
      <c r="K65" s="178">
        <f t="shared" si="5"/>
        <v>2090.0660361022765</v>
      </c>
      <c r="L65" s="176"/>
      <c r="M65" s="178">
        <v>2000</v>
      </c>
      <c r="O65" s="178">
        <v>2090.0660361022765</v>
      </c>
      <c r="AH65" s="175"/>
      <c r="AI65" s="175"/>
    </row>
    <row r="66" spans="1:35" s="178" customFormat="1" x14ac:dyDescent="0.25">
      <c r="A66" s="176">
        <v>7</v>
      </c>
      <c r="B66" s="176"/>
      <c r="C66" s="176">
        <f t="shared" ref="C66:C129" si="6">IF(E66=E65,C65+1,1)</f>
        <v>5</v>
      </c>
      <c r="D66" s="176">
        <f t="shared" ref="D66:D129" si="7">IF(M66=M65,D65,C66)</f>
        <v>1</v>
      </c>
      <c r="E66" s="176">
        <f t="shared" ref="E66:E129" si="8">10+VALUE(RIGHT(LEFT(G66,3),1))</f>
        <v>13</v>
      </c>
      <c r="F66" s="176" t="str">
        <f t="shared" ref="F66:F129" si="9">RIGHT(G66,2) &amp; IF(A66&lt;2,"x","")</f>
        <v>pm</v>
      </c>
      <c r="G66" s="176" t="s">
        <v>469</v>
      </c>
      <c r="H66" s="176" t="s">
        <v>401</v>
      </c>
      <c r="I66" s="176" t="s">
        <v>470</v>
      </c>
      <c r="J66" s="177" t="s">
        <v>22</v>
      </c>
      <c r="K66" s="178">
        <f t="shared" ref="K66:K129" si="10">LOOKUP(1E+100,M66:AC66)</f>
        <v>1958.1634755038049</v>
      </c>
      <c r="L66" s="176"/>
      <c r="M66" s="178">
        <v>2000</v>
      </c>
      <c r="O66" s="178">
        <v>1943.416124532403</v>
      </c>
      <c r="Q66" s="178">
        <v>1966.1656268304903</v>
      </c>
      <c r="S66" s="178">
        <v>1958.1634755038049</v>
      </c>
      <c r="AH66" s="175"/>
      <c r="AI66" s="175"/>
    </row>
    <row r="67" spans="1:35" s="178" customFormat="1" x14ac:dyDescent="0.25">
      <c r="A67" s="176">
        <v>4</v>
      </c>
      <c r="B67" s="176"/>
      <c r="C67" s="176">
        <f t="shared" si="6"/>
        <v>6</v>
      </c>
      <c r="D67" s="176">
        <f t="shared" si="7"/>
        <v>1</v>
      </c>
      <c r="E67" s="176">
        <f t="shared" si="8"/>
        <v>13</v>
      </c>
      <c r="F67" s="176" t="str">
        <f t="shared" si="9"/>
        <v>pm</v>
      </c>
      <c r="G67" s="176" t="s">
        <v>471</v>
      </c>
      <c r="H67" s="176" t="s">
        <v>412</v>
      </c>
      <c r="I67" s="176" t="s">
        <v>472</v>
      </c>
      <c r="J67" s="177" t="s">
        <v>22</v>
      </c>
      <c r="K67" s="178">
        <f t="shared" si="10"/>
        <v>2000</v>
      </c>
      <c r="L67" s="176"/>
      <c r="M67" s="178">
        <v>2000</v>
      </c>
      <c r="AH67" s="175"/>
      <c r="AI67" s="175"/>
    </row>
    <row r="68" spans="1:35" s="178" customFormat="1" x14ac:dyDescent="0.25">
      <c r="A68" s="176">
        <v>1</v>
      </c>
      <c r="B68" s="176"/>
      <c r="C68" s="176">
        <f t="shared" si="6"/>
        <v>7</v>
      </c>
      <c r="D68" s="176">
        <f t="shared" si="7"/>
        <v>1</v>
      </c>
      <c r="E68" s="176">
        <f t="shared" si="8"/>
        <v>13</v>
      </c>
      <c r="F68" s="176" t="str">
        <f t="shared" si="9"/>
        <v>pmx</v>
      </c>
      <c r="G68" s="176" t="s">
        <v>473</v>
      </c>
      <c r="H68" s="176" t="s">
        <v>387</v>
      </c>
      <c r="I68" s="176" t="s">
        <v>474</v>
      </c>
      <c r="J68" s="177" t="s">
        <v>22</v>
      </c>
      <c r="K68" s="178">
        <f t="shared" si="10"/>
        <v>2047.5215589916952</v>
      </c>
      <c r="L68" s="176"/>
      <c r="M68" s="178">
        <v>2000</v>
      </c>
      <c r="S68" s="178">
        <v>2047.5215589916952</v>
      </c>
      <c r="AH68" s="175"/>
      <c r="AI68" s="175"/>
    </row>
    <row r="69" spans="1:35" s="178" customFormat="1" x14ac:dyDescent="0.25">
      <c r="A69" s="176">
        <v>1</v>
      </c>
      <c r="B69" s="176"/>
      <c r="C69" s="176">
        <f t="shared" si="6"/>
        <v>8</v>
      </c>
      <c r="D69" s="176">
        <f t="shared" si="7"/>
        <v>1</v>
      </c>
      <c r="E69" s="176">
        <f t="shared" si="8"/>
        <v>13</v>
      </c>
      <c r="F69" s="176" t="str">
        <f t="shared" si="9"/>
        <v>pmx</v>
      </c>
      <c r="G69" s="176" t="s">
        <v>475</v>
      </c>
      <c r="H69" s="176" t="s">
        <v>352</v>
      </c>
      <c r="I69" s="176" t="s">
        <v>476</v>
      </c>
      <c r="J69" s="177" t="s">
        <v>22</v>
      </c>
      <c r="K69" s="178">
        <f t="shared" si="10"/>
        <v>2000</v>
      </c>
      <c r="L69" s="176"/>
      <c r="M69" s="178">
        <v>2000</v>
      </c>
      <c r="AH69" s="175"/>
      <c r="AI69" s="175"/>
    </row>
    <row r="70" spans="1:35" s="178" customFormat="1" x14ac:dyDescent="0.25">
      <c r="A70" s="176">
        <v>1</v>
      </c>
      <c r="B70" s="176"/>
      <c r="C70" s="176">
        <f t="shared" si="6"/>
        <v>9</v>
      </c>
      <c r="D70" s="176">
        <f t="shared" si="7"/>
        <v>1</v>
      </c>
      <c r="E70" s="176">
        <f t="shared" si="8"/>
        <v>13</v>
      </c>
      <c r="F70" s="176" t="str">
        <f t="shared" si="9"/>
        <v>pmx</v>
      </c>
      <c r="G70" s="176" t="s">
        <v>477</v>
      </c>
      <c r="H70" s="176" t="s">
        <v>352</v>
      </c>
      <c r="I70" s="176" t="s">
        <v>478</v>
      </c>
      <c r="J70" s="177" t="s">
        <v>22</v>
      </c>
      <c r="K70" s="178">
        <f t="shared" si="10"/>
        <v>2000</v>
      </c>
      <c r="L70" s="176"/>
      <c r="M70" s="178">
        <v>2000</v>
      </c>
      <c r="AH70" s="175"/>
      <c r="AI70" s="175"/>
    </row>
    <row r="71" spans="1:35" s="178" customFormat="1" x14ac:dyDescent="0.25">
      <c r="A71" s="176">
        <v>3</v>
      </c>
      <c r="B71" s="176"/>
      <c r="C71" s="176">
        <f t="shared" si="6"/>
        <v>10</v>
      </c>
      <c r="D71" s="176">
        <f t="shared" si="7"/>
        <v>1</v>
      </c>
      <c r="E71" s="176">
        <f t="shared" si="8"/>
        <v>13</v>
      </c>
      <c r="F71" s="176" t="str">
        <f t="shared" si="9"/>
        <v>pm</v>
      </c>
      <c r="G71" s="176" t="s">
        <v>479</v>
      </c>
      <c r="H71" s="176" t="s">
        <v>352</v>
      </c>
      <c r="I71" s="176" t="s">
        <v>480</v>
      </c>
      <c r="J71" s="177" t="s">
        <v>22</v>
      </c>
      <c r="K71" s="178">
        <f t="shared" si="10"/>
        <v>1821.6037506813182</v>
      </c>
      <c r="L71" s="176"/>
      <c r="M71" s="178">
        <v>2000</v>
      </c>
      <c r="O71" s="178">
        <v>1915.8645173769876</v>
      </c>
      <c r="S71" s="178">
        <v>1821.6037506813182</v>
      </c>
      <c r="AH71" s="175"/>
      <c r="AI71" s="175"/>
    </row>
    <row r="72" spans="1:35" s="178" customFormat="1" x14ac:dyDescent="0.25">
      <c r="A72" s="176">
        <v>3</v>
      </c>
      <c r="B72" s="176"/>
      <c r="C72" s="176">
        <f t="shared" si="6"/>
        <v>11</v>
      </c>
      <c r="D72" s="176">
        <f t="shared" si="7"/>
        <v>1</v>
      </c>
      <c r="E72" s="176">
        <f t="shared" si="8"/>
        <v>13</v>
      </c>
      <c r="F72" s="176" t="str">
        <f t="shared" si="9"/>
        <v>pm</v>
      </c>
      <c r="G72" s="176" t="s">
        <v>481</v>
      </c>
      <c r="H72" s="176" t="s">
        <v>378</v>
      </c>
      <c r="I72" s="176" t="s">
        <v>482</v>
      </c>
      <c r="J72" s="177" t="s">
        <v>22</v>
      </c>
      <c r="K72" s="178">
        <f t="shared" si="10"/>
        <v>2100.0545135197281</v>
      </c>
      <c r="L72" s="176"/>
      <c r="M72" s="178">
        <v>2000</v>
      </c>
      <c r="O72" s="178">
        <v>2039.0534480015622</v>
      </c>
      <c r="S72" s="178">
        <v>2100.0545135197281</v>
      </c>
      <c r="AH72" s="175"/>
      <c r="AI72" s="175"/>
    </row>
    <row r="73" spans="1:35" s="178" customFormat="1" x14ac:dyDescent="0.25">
      <c r="A73" s="176">
        <v>2</v>
      </c>
      <c r="B73" s="176"/>
      <c r="C73" s="176">
        <f t="shared" si="6"/>
        <v>12</v>
      </c>
      <c r="D73" s="176">
        <f t="shared" si="7"/>
        <v>1</v>
      </c>
      <c r="E73" s="176">
        <f t="shared" si="8"/>
        <v>13</v>
      </c>
      <c r="F73" s="176" t="str">
        <f t="shared" si="9"/>
        <v>pm</v>
      </c>
      <c r="G73" s="176" t="s">
        <v>483</v>
      </c>
      <c r="H73" s="176" t="s">
        <v>375</v>
      </c>
      <c r="I73" s="176" t="s">
        <v>484</v>
      </c>
      <c r="J73" s="177" t="s">
        <v>22</v>
      </c>
      <c r="K73" s="178">
        <f t="shared" si="10"/>
        <v>2033.2515181332528</v>
      </c>
      <c r="L73" s="176"/>
      <c r="M73" s="178">
        <v>2000</v>
      </c>
      <c r="S73" s="178">
        <v>2033.2515181332528</v>
      </c>
      <c r="AH73" s="175"/>
      <c r="AI73" s="175"/>
    </row>
    <row r="74" spans="1:35" s="178" customFormat="1" x14ac:dyDescent="0.25">
      <c r="A74" s="176">
        <v>7</v>
      </c>
      <c r="B74" s="176"/>
      <c r="C74" s="176">
        <f t="shared" si="6"/>
        <v>13</v>
      </c>
      <c r="D74" s="176">
        <f t="shared" si="7"/>
        <v>13</v>
      </c>
      <c r="E74" s="176">
        <f t="shared" si="8"/>
        <v>13</v>
      </c>
      <c r="F74" s="176" t="str">
        <f t="shared" si="9"/>
        <v>pm</v>
      </c>
      <c r="G74" s="176" t="s">
        <v>485</v>
      </c>
      <c r="H74" s="176" t="s">
        <v>392</v>
      </c>
      <c r="I74" s="176" t="s">
        <v>486</v>
      </c>
      <c r="J74" s="177" t="s">
        <v>22</v>
      </c>
      <c r="K74" s="178">
        <f t="shared" si="10"/>
        <v>1873.5532472996633</v>
      </c>
      <c r="L74" s="176"/>
      <c r="M74" s="178">
        <v>1942.8571428571429</v>
      </c>
      <c r="Q74" s="178">
        <v>1852.3713067755587</v>
      </c>
      <c r="S74" s="178">
        <v>1873.5532472996633</v>
      </c>
      <c r="AH74" s="175"/>
      <c r="AI74" s="175"/>
    </row>
    <row r="75" spans="1:35" s="178" customFormat="1" x14ac:dyDescent="0.25">
      <c r="A75" s="176">
        <v>4</v>
      </c>
      <c r="B75" s="176"/>
      <c r="C75" s="176">
        <f t="shared" si="6"/>
        <v>14</v>
      </c>
      <c r="D75" s="176">
        <f t="shared" si="7"/>
        <v>14</v>
      </c>
      <c r="E75" s="176">
        <f t="shared" si="8"/>
        <v>13</v>
      </c>
      <c r="F75" s="176" t="str">
        <f t="shared" si="9"/>
        <v>pm</v>
      </c>
      <c r="G75" s="176" t="s">
        <v>487</v>
      </c>
      <c r="H75" s="176" t="s">
        <v>378</v>
      </c>
      <c r="I75" s="176" t="s">
        <v>488</v>
      </c>
      <c r="J75" s="177" t="s">
        <v>22</v>
      </c>
      <c r="K75" s="178">
        <f t="shared" si="10"/>
        <v>1896.502812306353</v>
      </c>
      <c r="L75" s="176"/>
      <c r="M75" s="178">
        <v>1900</v>
      </c>
      <c r="O75" s="178">
        <v>1896.502812306353</v>
      </c>
      <c r="AH75" s="175"/>
      <c r="AI75" s="175"/>
    </row>
    <row r="76" spans="1:35" s="178" customFormat="1" x14ac:dyDescent="0.25">
      <c r="A76" s="176">
        <v>3</v>
      </c>
      <c r="B76" s="176"/>
      <c r="C76" s="176">
        <f t="shared" si="6"/>
        <v>15</v>
      </c>
      <c r="D76" s="176">
        <f t="shared" si="7"/>
        <v>15</v>
      </c>
      <c r="E76" s="176">
        <f t="shared" si="8"/>
        <v>13</v>
      </c>
      <c r="F76" s="176" t="str">
        <f t="shared" si="9"/>
        <v>pm</v>
      </c>
      <c r="G76" s="176" t="s">
        <v>489</v>
      </c>
      <c r="H76" s="176" t="s">
        <v>387</v>
      </c>
      <c r="I76" s="176" t="s">
        <v>490</v>
      </c>
      <c r="J76" s="177" t="s">
        <v>21</v>
      </c>
      <c r="K76" s="178">
        <f t="shared" si="10"/>
        <v>1581.2933664625068</v>
      </c>
      <c r="L76" s="176"/>
      <c r="M76" s="178">
        <v>1733.3333333333333</v>
      </c>
      <c r="R76" s="178">
        <v>1596.5625330002313</v>
      </c>
      <c r="S76" s="178">
        <v>1581.2933664625068</v>
      </c>
      <c r="AH76" s="175"/>
      <c r="AI76" s="175"/>
    </row>
    <row r="77" spans="1:35" s="178" customFormat="1" x14ac:dyDescent="0.25">
      <c r="A77" s="176">
        <v>3</v>
      </c>
      <c r="B77" s="176"/>
      <c r="C77" s="176">
        <f t="shared" si="6"/>
        <v>16</v>
      </c>
      <c r="D77" s="176">
        <f t="shared" si="7"/>
        <v>15</v>
      </c>
      <c r="E77" s="176">
        <f t="shared" si="8"/>
        <v>13</v>
      </c>
      <c r="F77" s="176" t="str">
        <f t="shared" si="9"/>
        <v>pm</v>
      </c>
      <c r="G77" s="176" t="s">
        <v>491</v>
      </c>
      <c r="H77" s="176" t="s">
        <v>375</v>
      </c>
      <c r="I77" s="176" t="s">
        <v>492</v>
      </c>
      <c r="J77" s="177" t="s">
        <v>21</v>
      </c>
      <c r="K77" s="178">
        <f t="shared" si="10"/>
        <v>1889.9786980074723</v>
      </c>
      <c r="L77" s="176"/>
      <c r="M77" s="178">
        <v>1733.3333333333333</v>
      </c>
      <c r="O77" s="178">
        <v>1854.2018399827273</v>
      </c>
      <c r="R77" s="178">
        <v>1889.9786980074723</v>
      </c>
      <c r="AH77" s="175"/>
      <c r="AI77" s="175"/>
    </row>
    <row r="78" spans="1:35" s="178" customFormat="1" x14ac:dyDescent="0.25">
      <c r="A78" s="176">
        <v>4</v>
      </c>
      <c r="B78" s="176"/>
      <c r="C78" s="176">
        <f t="shared" si="6"/>
        <v>17</v>
      </c>
      <c r="D78" s="176">
        <f t="shared" si="7"/>
        <v>17</v>
      </c>
      <c r="E78" s="176">
        <f t="shared" si="8"/>
        <v>13</v>
      </c>
      <c r="F78" s="176" t="str">
        <f t="shared" si="9"/>
        <v>pm</v>
      </c>
      <c r="G78" s="176" t="s">
        <v>493</v>
      </c>
      <c r="H78" s="176" t="s">
        <v>378</v>
      </c>
      <c r="I78" s="176" t="s">
        <v>494</v>
      </c>
      <c r="J78" s="177" t="s">
        <v>21</v>
      </c>
      <c r="K78" s="178">
        <f t="shared" si="10"/>
        <v>1657.3872938785414</v>
      </c>
      <c r="L78" s="176"/>
      <c r="M78" s="178">
        <v>1700</v>
      </c>
      <c r="O78" s="178">
        <v>1693.6375418300127</v>
      </c>
      <c r="R78" s="178">
        <v>1657.3872938785414</v>
      </c>
      <c r="AH78" s="175"/>
      <c r="AI78" s="175"/>
    </row>
    <row r="79" spans="1:35" s="178" customFormat="1" x14ac:dyDescent="0.25">
      <c r="A79" s="176">
        <v>6</v>
      </c>
      <c r="B79" s="176"/>
      <c r="C79" s="176">
        <f t="shared" si="6"/>
        <v>18</v>
      </c>
      <c r="D79" s="176">
        <f t="shared" si="7"/>
        <v>18</v>
      </c>
      <c r="E79" s="176">
        <f t="shared" si="8"/>
        <v>13</v>
      </c>
      <c r="F79" s="176" t="str">
        <f t="shared" si="9"/>
        <v>pm</v>
      </c>
      <c r="G79" s="176" t="s">
        <v>495</v>
      </c>
      <c r="H79" s="176" t="s">
        <v>461</v>
      </c>
      <c r="I79" s="176" t="s">
        <v>496</v>
      </c>
      <c r="J79" s="177" t="s">
        <v>21</v>
      </c>
      <c r="K79" s="178">
        <f t="shared" si="10"/>
        <v>1641.6440767325234</v>
      </c>
      <c r="L79" s="176"/>
      <c r="M79" s="178">
        <v>1666.6666666666667</v>
      </c>
      <c r="O79" s="178">
        <v>1693.5789788646412</v>
      </c>
      <c r="R79" s="178">
        <v>1641.6440767325234</v>
      </c>
      <c r="AH79" s="175"/>
      <c r="AI79" s="175"/>
    </row>
    <row r="80" spans="1:35" s="178" customFormat="1" x14ac:dyDescent="0.25">
      <c r="A80" s="176">
        <v>6</v>
      </c>
      <c r="B80" s="176"/>
      <c r="C80" s="176">
        <f t="shared" si="6"/>
        <v>19</v>
      </c>
      <c r="D80" s="176">
        <f t="shared" si="7"/>
        <v>18</v>
      </c>
      <c r="E80" s="176">
        <f t="shared" si="8"/>
        <v>13</v>
      </c>
      <c r="F80" s="176" t="str">
        <f t="shared" si="9"/>
        <v>pm</v>
      </c>
      <c r="G80" s="176" t="s">
        <v>497</v>
      </c>
      <c r="H80" s="176" t="s">
        <v>408</v>
      </c>
      <c r="I80" s="176" t="s">
        <v>498</v>
      </c>
      <c r="J80" s="177" t="s">
        <v>21</v>
      </c>
      <c r="K80" s="178">
        <f t="shared" si="10"/>
        <v>1728.1310461413079</v>
      </c>
      <c r="L80" s="176"/>
      <c r="M80" s="178">
        <v>1666.6666666666667</v>
      </c>
      <c r="P80" s="178">
        <v>1728.1310461413079</v>
      </c>
      <c r="AH80" s="175"/>
      <c r="AI80" s="175"/>
    </row>
    <row r="81" spans="1:35" s="178" customFormat="1" x14ac:dyDescent="0.25">
      <c r="A81" s="176">
        <v>3</v>
      </c>
      <c r="B81" s="176"/>
      <c r="C81" s="176">
        <f t="shared" si="6"/>
        <v>20</v>
      </c>
      <c r="D81" s="176">
        <f t="shared" si="7"/>
        <v>20</v>
      </c>
      <c r="E81" s="176">
        <f t="shared" si="8"/>
        <v>13</v>
      </c>
      <c r="F81" s="176" t="str">
        <f t="shared" si="9"/>
        <v>pm</v>
      </c>
      <c r="G81" s="176" t="s">
        <v>499</v>
      </c>
      <c r="H81" s="176" t="s">
        <v>355</v>
      </c>
      <c r="I81" s="176" t="s">
        <v>500</v>
      </c>
      <c r="J81" s="177" t="s">
        <v>21</v>
      </c>
      <c r="K81" s="178">
        <f t="shared" si="10"/>
        <v>1684.9021174510051</v>
      </c>
      <c r="L81" s="176"/>
      <c r="M81" s="178">
        <v>1600</v>
      </c>
      <c r="P81" s="178">
        <v>1559.7550744981997</v>
      </c>
      <c r="R81" s="178">
        <v>1684.9021174510051</v>
      </c>
      <c r="AH81" s="175"/>
      <c r="AI81" s="175"/>
    </row>
    <row r="82" spans="1:35" s="178" customFormat="1" x14ac:dyDescent="0.25">
      <c r="A82" s="176">
        <v>3</v>
      </c>
      <c r="B82" s="176"/>
      <c r="C82" s="176">
        <f t="shared" si="6"/>
        <v>21</v>
      </c>
      <c r="D82" s="176">
        <f t="shared" si="7"/>
        <v>20</v>
      </c>
      <c r="E82" s="176">
        <f t="shared" si="8"/>
        <v>13</v>
      </c>
      <c r="F82" s="176" t="str">
        <f t="shared" si="9"/>
        <v>pm</v>
      </c>
      <c r="G82" s="176" t="s">
        <v>501</v>
      </c>
      <c r="H82" s="176" t="s">
        <v>355</v>
      </c>
      <c r="I82" s="176" t="s">
        <v>502</v>
      </c>
      <c r="J82" s="177" t="s">
        <v>21</v>
      </c>
      <c r="K82" s="178">
        <f t="shared" si="10"/>
        <v>1663.7820960089477</v>
      </c>
      <c r="L82" s="176"/>
      <c r="M82" s="178">
        <v>1600</v>
      </c>
      <c r="P82" s="178">
        <v>1590.1315477575743</v>
      </c>
      <c r="R82" s="178">
        <v>1663.7820960089477</v>
      </c>
      <c r="AH82" s="175"/>
      <c r="AI82" s="175"/>
    </row>
    <row r="83" spans="1:35" s="178" customFormat="1" x14ac:dyDescent="0.25">
      <c r="A83" s="176">
        <v>3</v>
      </c>
      <c r="B83" s="176"/>
      <c r="C83" s="176">
        <f t="shared" si="6"/>
        <v>22</v>
      </c>
      <c r="D83" s="176">
        <f t="shared" si="7"/>
        <v>20</v>
      </c>
      <c r="E83" s="176">
        <f t="shared" si="8"/>
        <v>13</v>
      </c>
      <c r="F83" s="176" t="str">
        <f t="shared" si="9"/>
        <v>pm</v>
      </c>
      <c r="G83" s="176" t="s">
        <v>503</v>
      </c>
      <c r="H83" s="176" t="s">
        <v>355</v>
      </c>
      <c r="I83" s="176" t="s">
        <v>504</v>
      </c>
      <c r="J83" s="177" t="s">
        <v>21</v>
      </c>
      <c r="K83" s="178">
        <f t="shared" si="10"/>
        <v>1602.913856020094</v>
      </c>
      <c r="L83" s="176"/>
      <c r="M83" s="178">
        <v>1600</v>
      </c>
      <c r="R83" s="178">
        <v>1602.913856020094</v>
      </c>
      <c r="AH83" s="175"/>
      <c r="AI83" s="175"/>
    </row>
    <row r="84" spans="1:35" s="178" customFormat="1" x14ac:dyDescent="0.25">
      <c r="A84" s="176">
        <v>5</v>
      </c>
      <c r="B84" s="176"/>
      <c r="C84" s="176">
        <f t="shared" si="6"/>
        <v>23</v>
      </c>
      <c r="D84" s="176">
        <f t="shared" si="7"/>
        <v>20</v>
      </c>
      <c r="E84" s="176">
        <f t="shared" si="8"/>
        <v>13</v>
      </c>
      <c r="F84" s="176" t="str">
        <f t="shared" si="9"/>
        <v>pm</v>
      </c>
      <c r="G84" s="176" t="s">
        <v>505</v>
      </c>
      <c r="H84" s="176" t="s">
        <v>400</v>
      </c>
      <c r="I84" s="176" t="s">
        <v>506</v>
      </c>
      <c r="J84" s="177" t="s">
        <v>21</v>
      </c>
      <c r="K84" s="178">
        <f t="shared" si="10"/>
        <v>1640.1661561444348</v>
      </c>
      <c r="L84" s="176"/>
      <c r="M84" s="178">
        <v>1600</v>
      </c>
      <c r="P84" s="178">
        <v>1633.9324219018492</v>
      </c>
      <c r="R84" s="178">
        <v>1640.1661561444348</v>
      </c>
      <c r="AH84" s="175"/>
      <c r="AI84" s="175"/>
    </row>
    <row r="85" spans="1:35" s="178" customFormat="1" x14ac:dyDescent="0.25">
      <c r="A85" s="176">
        <v>6</v>
      </c>
      <c r="B85" s="176"/>
      <c r="C85" s="176">
        <f t="shared" si="6"/>
        <v>24</v>
      </c>
      <c r="D85" s="176">
        <f t="shared" si="7"/>
        <v>20</v>
      </c>
      <c r="E85" s="176">
        <f t="shared" si="8"/>
        <v>13</v>
      </c>
      <c r="F85" s="176" t="str">
        <f t="shared" si="9"/>
        <v>pm</v>
      </c>
      <c r="G85" s="176" t="s">
        <v>238</v>
      </c>
      <c r="H85" s="176" t="s">
        <v>401</v>
      </c>
      <c r="I85" s="176" t="s">
        <v>237</v>
      </c>
      <c r="J85" s="177" t="s">
        <v>21</v>
      </c>
      <c r="K85" s="178">
        <f t="shared" si="10"/>
        <v>1568.2233091455873</v>
      </c>
      <c r="L85" s="176"/>
      <c r="M85" s="178">
        <v>1600</v>
      </c>
      <c r="R85" s="178">
        <v>1568.2233091455873</v>
      </c>
      <c r="AH85" s="175"/>
      <c r="AI85" s="175"/>
    </row>
    <row r="86" spans="1:35" s="178" customFormat="1" x14ac:dyDescent="0.25">
      <c r="A86" s="176">
        <v>4</v>
      </c>
      <c r="B86" s="176"/>
      <c r="C86" s="176">
        <f t="shared" si="6"/>
        <v>25</v>
      </c>
      <c r="D86" s="176">
        <f t="shared" si="7"/>
        <v>20</v>
      </c>
      <c r="E86" s="176">
        <f t="shared" si="8"/>
        <v>13</v>
      </c>
      <c r="F86" s="176" t="str">
        <f t="shared" si="9"/>
        <v>pm</v>
      </c>
      <c r="G86" s="176" t="s">
        <v>507</v>
      </c>
      <c r="H86" s="176" t="s">
        <v>406</v>
      </c>
      <c r="I86" s="176" t="s">
        <v>508</v>
      </c>
      <c r="J86" s="177" t="s">
        <v>21</v>
      </c>
      <c r="K86" s="178">
        <f t="shared" si="10"/>
        <v>1638.9168688111979</v>
      </c>
      <c r="L86" s="176"/>
      <c r="M86" s="178">
        <v>1600</v>
      </c>
      <c r="P86" s="178">
        <v>1552.9187728513743</v>
      </c>
      <c r="R86" s="178">
        <v>1638.9168688111979</v>
      </c>
      <c r="AH86" s="175"/>
      <c r="AI86" s="175"/>
    </row>
    <row r="87" spans="1:35" s="178" customFormat="1" x14ac:dyDescent="0.25">
      <c r="A87" s="176">
        <v>5</v>
      </c>
      <c r="B87" s="176"/>
      <c r="C87" s="176">
        <f t="shared" si="6"/>
        <v>26</v>
      </c>
      <c r="D87" s="176">
        <f t="shared" si="7"/>
        <v>20</v>
      </c>
      <c r="E87" s="176">
        <f t="shared" si="8"/>
        <v>13</v>
      </c>
      <c r="F87" s="176" t="str">
        <f t="shared" si="9"/>
        <v>pm</v>
      </c>
      <c r="G87" s="176" t="s">
        <v>509</v>
      </c>
      <c r="H87" s="176" t="s">
        <v>408</v>
      </c>
      <c r="I87" s="176" t="s">
        <v>510</v>
      </c>
      <c r="J87" s="177" t="s">
        <v>21</v>
      </c>
      <c r="K87" s="178">
        <f t="shared" si="10"/>
        <v>1789.2595678161492</v>
      </c>
      <c r="L87" s="176"/>
      <c r="M87" s="178">
        <v>1600</v>
      </c>
      <c r="P87" s="178">
        <v>1715.7263580857598</v>
      </c>
      <c r="R87" s="178">
        <v>1789.2595678161492</v>
      </c>
      <c r="AH87" s="175"/>
      <c r="AI87" s="175"/>
    </row>
    <row r="88" spans="1:35" s="178" customFormat="1" x14ac:dyDescent="0.25">
      <c r="A88" s="176">
        <v>6</v>
      </c>
      <c r="B88" s="176"/>
      <c r="C88" s="176">
        <f t="shared" si="6"/>
        <v>27</v>
      </c>
      <c r="D88" s="176">
        <f t="shared" si="7"/>
        <v>20</v>
      </c>
      <c r="E88" s="176">
        <f t="shared" si="8"/>
        <v>13</v>
      </c>
      <c r="F88" s="176" t="str">
        <f t="shared" si="9"/>
        <v>pm</v>
      </c>
      <c r="G88" s="176" t="s">
        <v>236</v>
      </c>
      <c r="H88" s="176" t="s">
        <v>412</v>
      </c>
      <c r="I88" s="176" t="s">
        <v>235</v>
      </c>
      <c r="J88" s="177" t="s">
        <v>21</v>
      </c>
      <c r="K88" s="178">
        <f t="shared" si="10"/>
        <v>1568.3090521625732</v>
      </c>
      <c r="L88" s="176"/>
      <c r="M88" s="178">
        <v>1600</v>
      </c>
      <c r="R88" s="178">
        <v>1568.3090521625732</v>
      </c>
      <c r="AH88" s="175"/>
      <c r="AI88" s="175"/>
    </row>
    <row r="89" spans="1:35" s="178" customFormat="1" x14ac:dyDescent="0.25">
      <c r="A89" s="176">
        <v>6</v>
      </c>
      <c r="B89" s="176"/>
      <c r="C89" s="176">
        <f t="shared" si="6"/>
        <v>28</v>
      </c>
      <c r="D89" s="176">
        <f t="shared" si="7"/>
        <v>20</v>
      </c>
      <c r="E89" s="176">
        <f t="shared" si="8"/>
        <v>13</v>
      </c>
      <c r="F89" s="176" t="str">
        <f t="shared" si="9"/>
        <v>pm</v>
      </c>
      <c r="G89" s="176" t="s">
        <v>204</v>
      </c>
      <c r="H89" s="176" t="s">
        <v>412</v>
      </c>
      <c r="I89" s="176" t="s">
        <v>203</v>
      </c>
      <c r="J89" s="177" t="s">
        <v>21</v>
      </c>
      <c r="K89" s="178">
        <f t="shared" si="10"/>
        <v>1475.1822078119806</v>
      </c>
      <c r="L89" s="176"/>
      <c r="M89" s="178">
        <v>1600</v>
      </c>
      <c r="R89" s="178">
        <v>1475.1822078119806</v>
      </c>
      <c r="AH89" s="175"/>
      <c r="AI89" s="175"/>
    </row>
    <row r="90" spans="1:35" s="178" customFormat="1" x14ac:dyDescent="0.25">
      <c r="A90" s="176">
        <v>6</v>
      </c>
      <c r="B90" s="176"/>
      <c r="C90" s="176">
        <f t="shared" si="6"/>
        <v>29</v>
      </c>
      <c r="D90" s="176">
        <f t="shared" si="7"/>
        <v>20</v>
      </c>
      <c r="E90" s="176">
        <f t="shared" si="8"/>
        <v>13</v>
      </c>
      <c r="F90" s="176" t="str">
        <f t="shared" si="9"/>
        <v>pm</v>
      </c>
      <c r="G90" s="176" t="s">
        <v>511</v>
      </c>
      <c r="H90" s="176" t="s">
        <v>412</v>
      </c>
      <c r="I90" s="176" t="s">
        <v>512</v>
      </c>
      <c r="J90" s="177" t="s">
        <v>21</v>
      </c>
      <c r="K90" s="178">
        <f t="shared" si="10"/>
        <v>1624.823853549269</v>
      </c>
      <c r="L90" s="176"/>
      <c r="M90" s="178">
        <v>1600</v>
      </c>
      <c r="R90" s="178">
        <v>1624.823853549269</v>
      </c>
      <c r="AH90" s="175"/>
      <c r="AI90" s="175"/>
    </row>
    <row r="91" spans="1:35" s="178" customFormat="1" x14ac:dyDescent="0.25">
      <c r="A91" s="176">
        <v>4</v>
      </c>
      <c r="B91" s="176"/>
      <c r="C91" s="176">
        <f t="shared" si="6"/>
        <v>30</v>
      </c>
      <c r="D91" s="176">
        <f t="shared" si="7"/>
        <v>20</v>
      </c>
      <c r="E91" s="176">
        <f t="shared" si="8"/>
        <v>13</v>
      </c>
      <c r="F91" s="176" t="str">
        <f t="shared" si="9"/>
        <v>pm</v>
      </c>
      <c r="G91" s="176" t="s">
        <v>513</v>
      </c>
      <c r="H91" s="176" t="s">
        <v>365</v>
      </c>
      <c r="I91" s="176" t="s">
        <v>514</v>
      </c>
      <c r="J91" s="177" t="s">
        <v>21</v>
      </c>
      <c r="K91" s="178">
        <f t="shared" si="10"/>
        <v>1600</v>
      </c>
      <c r="L91" s="176"/>
      <c r="M91" s="178">
        <v>1600</v>
      </c>
      <c r="AH91" s="175"/>
      <c r="AI91" s="175"/>
    </row>
    <row r="92" spans="1:35" s="178" customFormat="1" x14ac:dyDescent="0.25">
      <c r="A92" s="176">
        <v>5</v>
      </c>
      <c r="B92" s="176"/>
      <c r="C92" s="176">
        <f t="shared" si="6"/>
        <v>31</v>
      </c>
      <c r="D92" s="176">
        <f t="shared" si="7"/>
        <v>20</v>
      </c>
      <c r="E92" s="176">
        <f t="shared" si="8"/>
        <v>13</v>
      </c>
      <c r="F92" s="176" t="str">
        <f t="shared" si="9"/>
        <v>pm</v>
      </c>
      <c r="G92" s="176" t="s">
        <v>240</v>
      </c>
      <c r="H92" s="176" t="s">
        <v>515</v>
      </c>
      <c r="I92" s="176" t="s">
        <v>239</v>
      </c>
      <c r="J92" s="177" t="s">
        <v>21</v>
      </c>
      <c r="K92" s="178">
        <f t="shared" si="10"/>
        <v>1540.9289312215133</v>
      </c>
      <c r="L92" s="176"/>
      <c r="M92" s="178">
        <v>1600</v>
      </c>
      <c r="R92" s="178">
        <v>1540.9289312215133</v>
      </c>
      <c r="AH92" s="175"/>
      <c r="AI92" s="175"/>
    </row>
    <row r="93" spans="1:35" s="178" customFormat="1" x14ac:dyDescent="0.25">
      <c r="A93" s="176">
        <v>5</v>
      </c>
      <c r="B93" s="176"/>
      <c r="C93" s="176">
        <f t="shared" si="6"/>
        <v>32</v>
      </c>
      <c r="D93" s="176">
        <f t="shared" si="7"/>
        <v>20</v>
      </c>
      <c r="E93" s="176">
        <f t="shared" si="8"/>
        <v>13</v>
      </c>
      <c r="F93" s="176" t="str">
        <f t="shared" si="9"/>
        <v>pm</v>
      </c>
      <c r="G93" s="176" t="s">
        <v>516</v>
      </c>
      <c r="H93" s="176" t="s">
        <v>515</v>
      </c>
      <c r="I93" s="176" t="s">
        <v>517</v>
      </c>
      <c r="J93" s="177" t="s">
        <v>21</v>
      </c>
      <c r="K93" s="178">
        <f t="shared" si="10"/>
        <v>1624.3375045624421</v>
      </c>
      <c r="L93" s="176"/>
      <c r="M93" s="178">
        <v>1600</v>
      </c>
      <c r="R93" s="178">
        <v>1624.3375045624421</v>
      </c>
      <c r="AH93" s="175"/>
      <c r="AI93" s="175"/>
    </row>
    <row r="94" spans="1:35" s="178" customFormat="1" x14ac:dyDescent="0.25">
      <c r="A94" s="176">
        <v>7</v>
      </c>
      <c r="B94" s="176"/>
      <c r="C94" s="176">
        <f t="shared" si="6"/>
        <v>33</v>
      </c>
      <c r="D94" s="176">
        <f t="shared" si="7"/>
        <v>20</v>
      </c>
      <c r="E94" s="176">
        <f t="shared" si="8"/>
        <v>13</v>
      </c>
      <c r="F94" s="176" t="str">
        <f t="shared" si="9"/>
        <v>pm</v>
      </c>
      <c r="G94" s="176" t="s">
        <v>234</v>
      </c>
      <c r="H94" s="176" t="s">
        <v>518</v>
      </c>
      <c r="I94" s="176" t="s">
        <v>233</v>
      </c>
      <c r="J94" s="177" t="s">
        <v>21</v>
      </c>
      <c r="K94" s="178">
        <f t="shared" si="10"/>
        <v>1576.7047718940707</v>
      </c>
      <c r="L94" s="176"/>
      <c r="M94" s="178">
        <v>1600</v>
      </c>
      <c r="P94" s="178">
        <v>1540.0355769325172</v>
      </c>
      <c r="R94" s="178">
        <v>1576.7047718940707</v>
      </c>
      <c r="AH94" s="175"/>
      <c r="AI94" s="175"/>
    </row>
    <row r="95" spans="1:35" s="178" customFormat="1" x14ac:dyDescent="0.25">
      <c r="A95" s="176">
        <v>3</v>
      </c>
      <c r="B95" s="176"/>
      <c r="C95" s="176">
        <f t="shared" si="6"/>
        <v>34</v>
      </c>
      <c r="D95" s="176">
        <f t="shared" si="7"/>
        <v>20</v>
      </c>
      <c r="E95" s="176">
        <f t="shared" si="8"/>
        <v>13</v>
      </c>
      <c r="F95" s="176" t="str">
        <f t="shared" si="9"/>
        <v>pm</v>
      </c>
      <c r="G95" s="176" t="s">
        <v>519</v>
      </c>
      <c r="H95" s="176" t="s">
        <v>454</v>
      </c>
      <c r="I95" s="176" t="s">
        <v>520</v>
      </c>
      <c r="J95" s="177" t="s">
        <v>21</v>
      </c>
      <c r="K95" s="178">
        <f t="shared" si="10"/>
        <v>1590.7069587238871</v>
      </c>
      <c r="L95" s="176"/>
      <c r="M95" s="178">
        <v>1600</v>
      </c>
      <c r="R95" s="178">
        <v>1590.7069587238871</v>
      </c>
      <c r="AH95" s="175"/>
      <c r="AI95" s="175"/>
    </row>
    <row r="96" spans="1:35" s="178" customFormat="1" x14ac:dyDescent="0.25">
      <c r="A96" s="176">
        <v>4</v>
      </c>
      <c r="B96" s="176"/>
      <c r="C96" s="176">
        <f t="shared" si="6"/>
        <v>35</v>
      </c>
      <c r="D96" s="176">
        <f t="shared" si="7"/>
        <v>20</v>
      </c>
      <c r="E96" s="176">
        <f t="shared" si="8"/>
        <v>13</v>
      </c>
      <c r="F96" s="176" t="str">
        <f t="shared" si="9"/>
        <v>pm</v>
      </c>
      <c r="G96" s="176" t="s">
        <v>521</v>
      </c>
      <c r="H96" s="176" t="s">
        <v>522</v>
      </c>
      <c r="I96" s="176" t="s">
        <v>229</v>
      </c>
      <c r="J96" s="177" t="s">
        <v>21</v>
      </c>
      <c r="K96" s="178">
        <f t="shared" si="10"/>
        <v>1546.0358684980845</v>
      </c>
      <c r="L96" s="176"/>
      <c r="M96" s="178">
        <v>1600</v>
      </c>
      <c r="P96" s="178">
        <v>1546.0358684980845</v>
      </c>
      <c r="AH96" s="175"/>
      <c r="AI96" s="175"/>
    </row>
    <row r="97" spans="1:35" s="178" customFormat="1" x14ac:dyDescent="0.25">
      <c r="A97" s="176">
        <v>6</v>
      </c>
      <c r="B97" s="176"/>
      <c r="C97" s="176">
        <f t="shared" si="6"/>
        <v>36</v>
      </c>
      <c r="D97" s="176">
        <f t="shared" si="7"/>
        <v>20</v>
      </c>
      <c r="E97" s="176">
        <f t="shared" si="8"/>
        <v>13</v>
      </c>
      <c r="F97" s="176" t="str">
        <f t="shared" si="9"/>
        <v>pm</v>
      </c>
      <c r="G97" s="176" t="s">
        <v>523</v>
      </c>
      <c r="H97" s="176" t="s">
        <v>392</v>
      </c>
      <c r="I97" s="176" t="s">
        <v>524</v>
      </c>
      <c r="J97" s="177" t="s">
        <v>21</v>
      </c>
      <c r="K97" s="178">
        <f t="shared" si="10"/>
        <v>1616.8234096527883</v>
      </c>
      <c r="L97" s="176"/>
      <c r="M97" s="178">
        <v>1600</v>
      </c>
      <c r="R97" s="178">
        <v>1616.8234096527883</v>
      </c>
      <c r="AH97" s="175"/>
      <c r="AI97" s="175"/>
    </row>
    <row r="98" spans="1:35" s="178" customFormat="1" x14ac:dyDescent="0.25">
      <c r="A98" s="176">
        <v>6</v>
      </c>
      <c r="B98" s="176"/>
      <c r="C98" s="176">
        <f t="shared" si="6"/>
        <v>37</v>
      </c>
      <c r="D98" s="176">
        <f t="shared" si="7"/>
        <v>20</v>
      </c>
      <c r="E98" s="176">
        <f t="shared" si="8"/>
        <v>13</v>
      </c>
      <c r="F98" s="176" t="str">
        <f t="shared" si="9"/>
        <v>pm</v>
      </c>
      <c r="G98" s="176" t="s">
        <v>242</v>
      </c>
      <c r="H98" s="176" t="s">
        <v>392</v>
      </c>
      <c r="I98" s="176" t="s">
        <v>241</v>
      </c>
      <c r="J98" s="177" t="s">
        <v>21</v>
      </c>
      <c r="K98" s="178">
        <f t="shared" si="10"/>
        <v>1511.9591340892896</v>
      </c>
      <c r="L98" s="176"/>
      <c r="M98" s="178">
        <v>1600</v>
      </c>
      <c r="R98" s="178">
        <v>1511.9591340892896</v>
      </c>
      <c r="AH98" s="175"/>
      <c r="AI98" s="175"/>
    </row>
    <row r="99" spans="1:35" s="178" customFormat="1" x14ac:dyDescent="0.25">
      <c r="A99" s="176">
        <v>5</v>
      </c>
      <c r="B99" s="176"/>
      <c r="C99" s="176">
        <f t="shared" si="6"/>
        <v>38</v>
      </c>
      <c r="D99" s="176">
        <f t="shared" si="7"/>
        <v>20</v>
      </c>
      <c r="E99" s="176">
        <f t="shared" si="8"/>
        <v>13</v>
      </c>
      <c r="F99" s="176" t="str">
        <f t="shared" si="9"/>
        <v>pm</v>
      </c>
      <c r="G99" s="176" t="s">
        <v>525</v>
      </c>
      <c r="H99" s="176" t="s">
        <v>421</v>
      </c>
      <c r="I99" s="176" t="s">
        <v>526</v>
      </c>
      <c r="J99" s="177" t="s">
        <v>21</v>
      </c>
      <c r="K99" s="178">
        <f t="shared" si="10"/>
        <v>1647.4740230165003</v>
      </c>
      <c r="L99" s="176"/>
      <c r="M99" s="178">
        <v>1600</v>
      </c>
      <c r="R99" s="178">
        <v>1647.4740230165003</v>
      </c>
      <c r="AH99" s="175"/>
      <c r="AI99" s="175"/>
    </row>
    <row r="100" spans="1:35" s="178" customFormat="1" x14ac:dyDescent="0.25">
      <c r="A100" s="176">
        <v>5</v>
      </c>
      <c r="B100" s="176"/>
      <c r="C100" s="176">
        <f t="shared" si="6"/>
        <v>39</v>
      </c>
      <c r="D100" s="176">
        <f t="shared" si="7"/>
        <v>20</v>
      </c>
      <c r="E100" s="176">
        <f t="shared" si="8"/>
        <v>13</v>
      </c>
      <c r="F100" s="176" t="str">
        <f t="shared" si="9"/>
        <v>pm</v>
      </c>
      <c r="G100" s="176" t="s">
        <v>527</v>
      </c>
      <c r="H100" s="176" t="s">
        <v>528</v>
      </c>
      <c r="I100" s="176" t="s">
        <v>529</v>
      </c>
      <c r="J100" s="177" t="s">
        <v>21</v>
      </c>
      <c r="K100" s="178">
        <f t="shared" si="10"/>
        <v>1639.4730821157075</v>
      </c>
      <c r="L100" s="176"/>
      <c r="M100" s="178">
        <v>1600</v>
      </c>
      <c r="R100" s="178">
        <v>1639.4730821157075</v>
      </c>
      <c r="AH100" s="175"/>
      <c r="AI100" s="175"/>
    </row>
    <row r="101" spans="1:35" s="178" customFormat="1" x14ac:dyDescent="0.25">
      <c r="A101" s="176">
        <v>3</v>
      </c>
      <c r="B101" s="176"/>
      <c r="C101" s="176">
        <f t="shared" si="6"/>
        <v>40</v>
      </c>
      <c r="D101" s="176">
        <f t="shared" si="7"/>
        <v>20</v>
      </c>
      <c r="E101" s="176">
        <f t="shared" si="8"/>
        <v>13</v>
      </c>
      <c r="F101" s="176" t="str">
        <f t="shared" si="9"/>
        <v>pm</v>
      </c>
      <c r="G101" s="176" t="s">
        <v>530</v>
      </c>
      <c r="H101" s="176" t="s">
        <v>390</v>
      </c>
      <c r="I101" s="176" t="s">
        <v>531</v>
      </c>
      <c r="J101" s="177" t="s">
        <v>21</v>
      </c>
      <c r="K101" s="178">
        <f t="shared" si="10"/>
        <v>1600</v>
      </c>
      <c r="L101" s="176"/>
      <c r="M101" s="178">
        <v>1600</v>
      </c>
      <c r="AH101" s="175"/>
      <c r="AI101" s="175"/>
    </row>
    <row r="102" spans="1:35" s="178" customFormat="1" x14ac:dyDescent="0.25">
      <c r="A102" s="176">
        <v>3</v>
      </c>
      <c r="B102" s="176"/>
      <c r="C102" s="176">
        <f t="shared" si="6"/>
        <v>41</v>
      </c>
      <c r="D102" s="176">
        <f t="shared" si="7"/>
        <v>41</v>
      </c>
      <c r="E102" s="176">
        <f t="shared" si="8"/>
        <v>13</v>
      </c>
      <c r="F102" s="176" t="str">
        <f t="shared" si="9"/>
        <v>pm</v>
      </c>
      <c r="G102" s="176" t="s">
        <v>532</v>
      </c>
      <c r="H102" s="176" t="s">
        <v>406</v>
      </c>
      <c r="I102" s="176" t="s">
        <v>533</v>
      </c>
      <c r="J102" s="177" t="s">
        <v>360</v>
      </c>
      <c r="K102" s="178">
        <f t="shared" si="10"/>
        <v>1251.7655011857189</v>
      </c>
      <c r="L102" s="176"/>
      <c r="M102" s="178">
        <v>1200</v>
      </c>
      <c r="R102" s="178">
        <v>1251.7655011857189</v>
      </c>
      <c r="AH102" s="175"/>
      <c r="AI102" s="175"/>
    </row>
    <row r="103" spans="1:35" s="178" customFormat="1" x14ac:dyDescent="0.25">
      <c r="A103" s="176">
        <v>2</v>
      </c>
      <c r="B103" s="176"/>
      <c r="C103" s="176">
        <f t="shared" si="6"/>
        <v>1</v>
      </c>
      <c r="D103" s="176">
        <f t="shared" si="7"/>
        <v>1</v>
      </c>
      <c r="E103" s="176">
        <f t="shared" si="8"/>
        <v>14</v>
      </c>
      <c r="F103" s="176" t="str">
        <f t="shared" si="9"/>
        <v>pm</v>
      </c>
      <c r="G103" s="176" t="s">
        <v>534</v>
      </c>
      <c r="H103" s="176" t="s">
        <v>362</v>
      </c>
      <c r="I103" s="176" t="s">
        <v>535</v>
      </c>
      <c r="J103" s="177" t="s">
        <v>22</v>
      </c>
      <c r="K103" s="178">
        <f t="shared" si="10"/>
        <v>2311.0807161779258</v>
      </c>
      <c r="L103" s="176"/>
      <c r="M103" s="178">
        <v>2200</v>
      </c>
      <c r="S103" s="178">
        <v>2311.0807161779258</v>
      </c>
      <c r="AH103" s="175"/>
      <c r="AI103" s="175"/>
    </row>
    <row r="104" spans="1:35" s="178" customFormat="1" x14ac:dyDescent="0.25">
      <c r="A104" s="176">
        <v>3</v>
      </c>
      <c r="B104" s="176"/>
      <c r="C104" s="176">
        <f t="shared" si="6"/>
        <v>2</v>
      </c>
      <c r="D104" s="176">
        <f t="shared" si="7"/>
        <v>1</v>
      </c>
      <c r="E104" s="176">
        <f t="shared" si="8"/>
        <v>14</v>
      </c>
      <c r="F104" s="176" t="str">
        <f t="shared" si="9"/>
        <v>pm</v>
      </c>
      <c r="G104" s="176" t="s">
        <v>536</v>
      </c>
      <c r="H104" s="176" t="s">
        <v>362</v>
      </c>
      <c r="I104" s="176" t="s">
        <v>537</v>
      </c>
      <c r="J104" s="177" t="s">
        <v>22</v>
      </c>
      <c r="K104" s="178">
        <f t="shared" si="10"/>
        <v>2092.2750042388857</v>
      </c>
      <c r="L104" s="176"/>
      <c r="M104" s="178">
        <v>2200</v>
      </c>
      <c r="S104" s="178">
        <v>2092.2750042388857</v>
      </c>
      <c r="AH104" s="175"/>
      <c r="AI104" s="175"/>
    </row>
    <row r="105" spans="1:35" s="178" customFormat="1" x14ac:dyDescent="0.25">
      <c r="A105" s="176">
        <v>2</v>
      </c>
      <c r="B105" s="176"/>
      <c r="C105" s="176">
        <f t="shared" si="6"/>
        <v>3</v>
      </c>
      <c r="D105" s="176">
        <f t="shared" si="7"/>
        <v>1</v>
      </c>
      <c r="E105" s="176">
        <f t="shared" si="8"/>
        <v>14</v>
      </c>
      <c r="F105" s="176" t="str">
        <f t="shared" si="9"/>
        <v>pm</v>
      </c>
      <c r="G105" s="176" t="s">
        <v>538</v>
      </c>
      <c r="H105" s="176" t="s">
        <v>461</v>
      </c>
      <c r="I105" s="176" t="s">
        <v>539</v>
      </c>
      <c r="J105" s="177" t="s">
        <v>22</v>
      </c>
      <c r="K105" s="178">
        <f t="shared" si="10"/>
        <v>2120.4974639095253</v>
      </c>
      <c r="L105" s="176"/>
      <c r="M105" s="178">
        <v>2200</v>
      </c>
      <c r="O105" s="178">
        <v>2120.4974639095253</v>
      </c>
      <c r="AH105" s="175"/>
      <c r="AI105" s="175"/>
    </row>
    <row r="106" spans="1:35" s="178" customFormat="1" x14ac:dyDescent="0.25">
      <c r="A106" s="176">
        <v>3</v>
      </c>
      <c r="B106" s="176"/>
      <c r="C106" s="176">
        <f t="shared" si="6"/>
        <v>4</v>
      </c>
      <c r="D106" s="176">
        <f t="shared" si="7"/>
        <v>1</v>
      </c>
      <c r="E106" s="176">
        <f t="shared" si="8"/>
        <v>14</v>
      </c>
      <c r="F106" s="176" t="str">
        <f t="shared" si="9"/>
        <v>pm</v>
      </c>
      <c r="G106" s="176" t="s">
        <v>540</v>
      </c>
      <c r="H106" s="176" t="s">
        <v>355</v>
      </c>
      <c r="I106" s="176" t="s">
        <v>541</v>
      </c>
      <c r="J106" s="177" t="s">
        <v>22</v>
      </c>
      <c r="K106" s="178">
        <f t="shared" si="10"/>
        <v>2257.1292784787197</v>
      </c>
      <c r="L106" s="176"/>
      <c r="M106" s="178">
        <v>2200</v>
      </c>
      <c r="O106" s="178">
        <v>2257.1292784787197</v>
      </c>
      <c r="AH106" s="175"/>
      <c r="AI106" s="175"/>
    </row>
    <row r="107" spans="1:35" s="178" customFormat="1" x14ac:dyDescent="0.25">
      <c r="A107" s="176">
        <v>4</v>
      </c>
      <c r="B107" s="176"/>
      <c r="C107" s="176">
        <f t="shared" si="6"/>
        <v>5</v>
      </c>
      <c r="D107" s="176">
        <f t="shared" si="7"/>
        <v>1</v>
      </c>
      <c r="E107" s="176">
        <f t="shared" si="8"/>
        <v>14</v>
      </c>
      <c r="F107" s="176" t="str">
        <f t="shared" si="9"/>
        <v>pm</v>
      </c>
      <c r="G107" s="176" t="s">
        <v>542</v>
      </c>
      <c r="H107" s="176" t="s">
        <v>355</v>
      </c>
      <c r="I107" s="176" t="s">
        <v>543</v>
      </c>
      <c r="J107" s="177" t="s">
        <v>22</v>
      </c>
      <c r="K107" s="178">
        <f t="shared" si="10"/>
        <v>2175.0809426337946</v>
      </c>
      <c r="L107" s="176"/>
      <c r="M107" s="178">
        <v>2200</v>
      </c>
      <c r="O107" s="178">
        <v>2175.0809426337946</v>
      </c>
      <c r="AH107" s="175"/>
      <c r="AI107" s="175"/>
    </row>
    <row r="108" spans="1:35" s="178" customFormat="1" x14ac:dyDescent="0.25">
      <c r="A108" s="176">
        <v>5</v>
      </c>
      <c r="B108" s="176"/>
      <c r="C108" s="176">
        <f t="shared" si="6"/>
        <v>6</v>
      </c>
      <c r="D108" s="176">
        <f t="shared" si="7"/>
        <v>1</v>
      </c>
      <c r="E108" s="176">
        <f t="shared" si="8"/>
        <v>14</v>
      </c>
      <c r="F108" s="176" t="str">
        <f t="shared" si="9"/>
        <v>pm</v>
      </c>
      <c r="G108" s="176" t="s">
        <v>544</v>
      </c>
      <c r="H108" s="176" t="s">
        <v>400</v>
      </c>
      <c r="I108" s="176" t="s">
        <v>545</v>
      </c>
      <c r="J108" s="177" t="s">
        <v>22</v>
      </c>
      <c r="K108" s="178">
        <f t="shared" si="10"/>
        <v>2166.7823153530389</v>
      </c>
      <c r="L108" s="176"/>
      <c r="M108" s="178">
        <v>2200</v>
      </c>
      <c r="O108" s="178">
        <v>2166.7823153530389</v>
      </c>
      <c r="AH108" s="175"/>
      <c r="AI108" s="175"/>
    </row>
    <row r="109" spans="1:35" s="178" customFormat="1" x14ac:dyDescent="0.25">
      <c r="A109" s="176">
        <v>5</v>
      </c>
      <c r="B109" s="176"/>
      <c r="C109" s="176">
        <f t="shared" si="6"/>
        <v>7</v>
      </c>
      <c r="D109" s="176">
        <f t="shared" si="7"/>
        <v>1</v>
      </c>
      <c r="E109" s="176">
        <f t="shared" si="8"/>
        <v>14</v>
      </c>
      <c r="F109" s="176" t="str">
        <f t="shared" si="9"/>
        <v>pm</v>
      </c>
      <c r="G109" s="176" t="s">
        <v>546</v>
      </c>
      <c r="H109" s="176" t="s">
        <v>401</v>
      </c>
      <c r="I109" s="176" t="s">
        <v>547</v>
      </c>
      <c r="J109" s="177" t="s">
        <v>22</v>
      </c>
      <c r="K109" s="178">
        <f t="shared" si="10"/>
        <v>2250.3476060341486</v>
      </c>
      <c r="L109" s="176"/>
      <c r="M109" s="178">
        <v>2200</v>
      </c>
      <c r="O109" s="178">
        <v>2180.5987194531212</v>
      </c>
      <c r="S109" s="178">
        <v>2250.3476060341486</v>
      </c>
      <c r="AH109" s="175"/>
      <c r="AI109" s="175"/>
    </row>
    <row r="110" spans="1:35" s="178" customFormat="1" x14ac:dyDescent="0.25">
      <c r="A110" s="176">
        <v>6</v>
      </c>
      <c r="B110" s="176"/>
      <c r="C110" s="176">
        <f t="shared" si="6"/>
        <v>8</v>
      </c>
      <c r="D110" s="176">
        <f t="shared" si="7"/>
        <v>1</v>
      </c>
      <c r="E110" s="176">
        <f t="shared" si="8"/>
        <v>14</v>
      </c>
      <c r="F110" s="176" t="str">
        <f t="shared" si="9"/>
        <v>pm</v>
      </c>
      <c r="G110" s="176" t="s">
        <v>548</v>
      </c>
      <c r="H110" s="176" t="s">
        <v>401</v>
      </c>
      <c r="I110" s="176" t="s">
        <v>549</v>
      </c>
      <c r="J110" s="177" t="s">
        <v>22</v>
      </c>
      <c r="K110" s="178">
        <f t="shared" si="10"/>
        <v>2195.9003251665326</v>
      </c>
      <c r="L110" s="176"/>
      <c r="M110" s="178">
        <v>2200</v>
      </c>
      <c r="O110" s="178">
        <v>2136.9547286873108</v>
      </c>
      <c r="Q110" s="178">
        <v>2208.3131101752324</v>
      </c>
      <c r="S110" s="178">
        <v>2195.9003251665326</v>
      </c>
      <c r="AH110" s="175"/>
      <c r="AI110" s="175"/>
    </row>
    <row r="111" spans="1:35" s="178" customFormat="1" x14ac:dyDescent="0.25">
      <c r="A111" s="176">
        <v>1</v>
      </c>
      <c r="B111" s="176"/>
      <c r="C111" s="176">
        <f t="shared" si="6"/>
        <v>9</v>
      </c>
      <c r="D111" s="176">
        <f t="shared" si="7"/>
        <v>1</v>
      </c>
      <c r="E111" s="176">
        <f t="shared" si="8"/>
        <v>14</v>
      </c>
      <c r="F111" s="176" t="str">
        <f t="shared" si="9"/>
        <v>pmx</v>
      </c>
      <c r="G111" s="176" t="s">
        <v>550</v>
      </c>
      <c r="H111" s="176" t="s">
        <v>410</v>
      </c>
      <c r="I111" s="176" t="s">
        <v>551</v>
      </c>
      <c r="J111" s="177" t="s">
        <v>22</v>
      </c>
      <c r="K111" s="178">
        <f t="shared" si="10"/>
        <v>2200</v>
      </c>
      <c r="L111" s="176"/>
      <c r="M111" s="178">
        <v>2200</v>
      </c>
      <c r="AH111" s="175"/>
      <c r="AI111" s="175"/>
    </row>
    <row r="112" spans="1:35" s="178" customFormat="1" x14ac:dyDescent="0.25">
      <c r="A112" s="176">
        <v>2</v>
      </c>
      <c r="B112" s="176"/>
      <c r="C112" s="176">
        <f t="shared" si="6"/>
        <v>10</v>
      </c>
      <c r="D112" s="176">
        <f t="shared" si="7"/>
        <v>1</v>
      </c>
      <c r="E112" s="176">
        <f t="shared" si="8"/>
        <v>14</v>
      </c>
      <c r="F112" s="176" t="str">
        <f t="shared" si="9"/>
        <v>pm</v>
      </c>
      <c r="G112" s="176" t="s">
        <v>552</v>
      </c>
      <c r="H112" s="176" t="s">
        <v>410</v>
      </c>
      <c r="I112" s="176" t="s">
        <v>553</v>
      </c>
      <c r="J112" s="177" t="s">
        <v>22</v>
      </c>
      <c r="K112" s="178">
        <f t="shared" si="10"/>
        <v>2104.8159469865618</v>
      </c>
      <c r="L112" s="176"/>
      <c r="M112" s="178">
        <v>2200</v>
      </c>
      <c r="O112" s="178">
        <v>2104.8159469865618</v>
      </c>
      <c r="AH112" s="175"/>
      <c r="AI112" s="175"/>
    </row>
    <row r="113" spans="1:35" s="178" customFormat="1" x14ac:dyDescent="0.25">
      <c r="A113" s="176">
        <v>5</v>
      </c>
      <c r="B113" s="176"/>
      <c r="C113" s="176">
        <f t="shared" si="6"/>
        <v>11</v>
      </c>
      <c r="D113" s="176">
        <f t="shared" si="7"/>
        <v>1</v>
      </c>
      <c r="E113" s="176">
        <f t="shared" si="8"/>
        <v>14</v>
      </c>
      <c r="F113" s="176" t="str">
        <f t="shared" si="9"/>
        <v>pm</v>
      </c>
      <c r="G113" s="176" t="s">
        <v>554</v>
      </c>
      <c r="H113" s="176" t="s">
        <v>412</v>
      </c>
      <c r="I113" s="176" t="s">
        <v>555</v>
      </c>
      <c r="J113" s="177" t="s">
        <v>22</v>
      </c>
      <c r="K113" s="178">
        <f t="shared" si="10"/>
        <v>2192.5369343564885</v>
      </c>
      <c r="L113" s="176"/>
      <c r="M113" s="178">
        <v>2200</v>
      </c>
      <c r="O113" s="178">
        <v>2192.5369343564885</v>
      </c>
      <c r="AH113" s="175"/>
      <c r="AI113" s="175"/>
    </row>
    <row r="114" spans="1:35" s="178" customFormat="1" x14ac:dyDescent="0.25">
      <c r="A114" s="176">
        <v>4</v>
      </c>
      <c r="B114" s="176"/>
      <c r="C114" s="176">
        <f t="shared" si="6"/>
        <v>12</v>
      </c>
      <c r="D114" s="176">
        <f t="shared" si="7"/>
        <v>1</v>
      </c>
      <c r="E114" s="176">
        <f t="shared" si="8"/>
        <v>14</v>
      </c>
      <c r="F114" s="176" t="str">
        <f t="shared" si="9"/>
        <v>pm</v>
      </c>
      <c r="G114" s="176" t="s">
        <v>556</v>
      </c>
      <c r="H114" s="176" t="s">
        <v>412</v>
      </c>
      <c r="I114" s="176" t="s">
        <v>557</v>
      </c>
      <c r="J114" s="177" t="s">
        <v>22</v>
      </c>
      <c r="K114" s="178">
        <f t="shared" si="10"/>
        <v>2200</v>
      </c>
      <c r="L114" s="176"/>
      <c r="M114" s="178">
        <v>2200</v>
      </c>
      <c r="AH114" s="175"/>
      <c r="AI114" s="175"/>
    </row>
    <row r="115" spans="1:35" s="178" customFormat="1" x14ac:dyDescent="0.25">
      <c r="A115" s="176">
        <v>6</v>
      </c>
      <c r="B115" s="176"/>
      <c r="C115" s="176">
        <f t="shared" si="6"/>
        <v>13</v>
      </c>
      <c r="D115" s="176">
        <f t="shared" si="7"/>
        <v>1</v>
      </c>
      <c r="E115" s="176">
        <f t="shared" si="8"/>
        <v>14</v>
      </c>
      <c r="F115" s="176" t="str">
        <f t="shared" si="9"/>
        <v>pm</v>
      </c>
      <c r="G115" s="176" t="s">
        <v>558</v>
      </c>
      <c r="H115" s="176" t="s">
        <v>412</v>
      </c>
      <c r="I115" s="176" t="s">
        <v>559</v>
      </c>
      <c r="J115" s="177" t="s">
        <v>22</v>
      </c>
      <c r="K115" s="178">
        <f t="shared" si="10"/>
        <v>2076.1154229393692</v>
      </c>
      <c r="L115" s="176"/>
      <c r="M115" s="178">
        <v>2200</v>
      </c>
      <c r="Q115" s="178">
        <v>2163.7344821514484</v>
      </c>
      <c r="S115" s="178">
        <v>2076.1154229393692</v>
      </c>
      <c r="AH115" s="175"/>
      <c r="AI115" s="175"/>
    </row>
    <row r="116" spans="1:35" s="178" customFormat="1" x14ac:dyDescent="0.25">
      <c r="A116" s="176">
        <v>6</v>
      </c>
      <c r="B116" s="176"/>
      <c r="C116" s="176">
        <f t="shared" si="6"/>
        <v>14</v>
      </c>
      <c r="D116" s="176">
        <f t="shared" si="7"/>
        <v>1</v>
      </c>
      <c r="E116" s="176">
        <f t="shared" si="8"/>
        <v>14</v>
      </c>
      <c r="F116" s="176" t="str">
        <f t="shared" si="9"/>
        <v>pm</v>
      </c>
      <c r="G116" s="176" t="s">
        <v>560</v>
      </c>
      <c r="H116" s="176" t="s">
        <v>412</v>
      </c>
      <c r="I116" s="176" t="s">
        <v>561</v>
      </c>
      <c r="J116" s="177" t="s">
        <v>22</v>
      </c>
      <c r="K116" s="178">
        <f t="shared" si="10"/>
        <v>1955.6661733617088</v>
      </c>
      <c r="L116" s="176"/>
      <c r="M116" s="178">
        <v>2200</v>
      </c>
      <c r="Q116" s="178">
        <v>2088.3530041259473</v>
      </c>
      <c r="S116" s="178">
        <v>1955.6661733617088</v>
      </c>
      <c r="AH116" s="175"/>
      <c r="AI116" s="175"/>
    </row>
    <row r="117" spans="1:35" s="178" customFormat="1" x14ac:dyDescent="0.25">
      <c r="A117" s="176">
        <v>4</v>
      </c>
      <c r="B117" s="176"/>
      <c r="C117" s="176">
        <f t="shared" si="6"/>
        <v>15</v>
      </c>
      <c r="D117" s="176">
        <f t="shared" si="7"/>
        <v>1</v>
      </c>
      <c r="E117" s="176">
        <f t="shared" si="8"/>
        <v>14</v>
      </c>
      <c r="F117" s="176" t="str">
        <f t="shared" si="9"/>
        <v>pm</v>
      </c>
      <c r="G117" s="176" t="s">
        <v>562</v>
      </c>
      <c r="H117" s="176" t="s">
        <v>412</v>
      </c>
      <c r="I117" s="176" t="s">
        <v>563</v>
      </c>
      <c r="J117" s="177" t="s">
        <v>22</v>
      </c>
      <c r="K117" s="178">
        <f t="shared" si="10"/>
        <v>2200</v>
      </c>
      <c r="L117" s="176"/>
      <c r="M117" s="178">
        <v>2200</v>
      </c>
      <c r="AH117" s="175"/>
      <c r="AI117" s="175"/>
    </row>
    <row r="118" spans="1:35" s="178" customFormat="1" x14ac:dyDescent="0.25">
      <c r="A118" s="176">
        <v>4</v>
      </c>
      <c r="B118" s="176"/>
      <c r="C118" s="176">
        <f t="shared" si="6"/>
        <v>16</v>
      </c>
      <c r="D118" s="176">
        <f t="shared" si="7"/>
        <v>1</v>
      </c>
      <c r="E118" s="176">
        <f t="shared" si="8"/>
        <v>14</v>
      </c>
      <c r="F118" s="176" t="str">
        <f t="shared" si="9"/>
        <v>pm</v>
      </c>
      <c r="G118" s="176" t="s">
        <v>564</v>
      </c>
      <c r="H118" s="176" t="s">
        <v>365</v>
      </c>
      <c r="I118" s="176" t="s">
        <v>565</v>
      </c>
      <c r="J118" s="177" t="s">
        <v>22</v>
      </c>
      <c r="K118" s="178">
        <f t="shared" si="10"/>
        <v>2200</v>
      </c>
      <c r="L118" s="176"/>
      <c r="M118" s="178">
        <v>2200</v>
      </c>
      <c r="AH118" s="175"/>
      <c r="AI118" s="175"/>
    </row>
    <row r="119" spans="1:35" s="178" customFormat="1" x14ac:dyDescent="0.25">
      <c r="A119" s="176">
        <v>3</v>
      </c>
      <c r="B119" s="176"/>
      <c r="C119" s="176">
        <f t="shared" si="6"/>
        <v>17</v>
      </c>
      <c r="D119" s="176">
        <f t="shared" si="7"/>
        <v>1</v>
      </c>
      <c r="E119" s="176">
        <f t="shared" si="8"/>
        <v>14</v>
      </c>
      <c r="F119" s="176" t="str">
        <f t="shared" si="9"/>
        <v>pm</v>
      </c>
      <c r="G119" s="176" t="s">
        <v>566</v>
      </c>
      <c r="H119" s="176" t="s">
        <v>567</v>
      </c>
      <c r="I119" s="176" t="s">
        <v>568</v>
      </c>
      <c r="J119" s="177" t="s">
        <v>22</v>
      </c>
      <c r="K119" s="178">
        <f t="shared" si="10"/>
        <v>2156.2324864205407</v>
      </c>
      <c r="L119" s="176"/>
      <c r="M119" s="178">
        <v>2200</v>
      </c>
      <c r="O119" s="178">
        <v>2156.2324864205407</v>
      </c>
      <c r="AH119" s="175"/>
      <c r="AI119" s="175"/>
    </row>
    <row r="120" spans="1:35" s="178" customFormat="1" x14ac:dyDescent="0.25">
      <c r="A120" s="176">
        <v>3</v>
      </c>
      <c r="B120" s="176"/>
      <c r="C120" s="176">
        <f t="shared" si="6"/>
        <v>18</v>
      </c>
      <c r="D120" s="176">
        <f t="shared" si="7"/>
        <v>1</v>
      </c>
      <c r="E120" s="176">
        <f t="shared" si="8"/>
        <v>14</v>
      </c>
      <c r="F120" s="176" t="str">
        <f t="shared" si="9"/>
        <v>pm</v>
      </c>
      <c r="G120" s="176" t="s">
        <v>569</v>
      </c>
      <c r="H120" s="176" t="s">
        <v>567</v>
      </c>
      <c r="I120" s="176" t="s">
        <v>570</v>
      </c>
      <c r="J120" s="177" t="s">
        <v>22</v>
      </c>
      <c r="K120" s="178">
        <f t="shared" si="10"/>
        <v>2202.1728034434786</v>
      </c>
      <c r="L120" s="176"/>
      <c r="M120" s="178">
        <v>2200</v>
      </c>
      <c r="O120" s="178">
        <v>2202.1728034434786</v>
      </c>
      <c r="AH120" s="175"/>
      <c r="AI120" s="175"/>
    </row>
    <row r="121" spans="1:35" s="178" customFormat="1" x14ac:dyDescent="0.25">
      <c r="A121" s="176">
        <v>1</v>
      </c>
      <c r="B121" s="176"/>
      <c r="C121" s="176">
        <f t="shared" si="6"/>
        <v>19</v>
      </c>
      <c r="D121" s="176">
        <f t="shared" si="7"/>
        <v>1</v>
      </c>
      <c r="E121" s="176">
        <f t="shared" si="8"/>
        <v>14</v>
      </c>
      <c r="F121" s="176" t="str">
        <f t="shared" si="9"/>
        <v>pmx</v>
      </c>
      <c r="G121" s="176" t="s">
        <v>571</v>
      </c>
      <c r="H121" s="176" t="s">
        <v>387</v>
      </c>
      <c r="I121" s="176" t="s">
        <v>572</v>
      </c>
      <c r="J121" s="177" t="s">
        <v>22</v>
      </c>
      <c r="K121" s="178">
        <f t="shared" si="10"/>
        <v>2306.8327545238444</v>
      </c>
      <c r="L121" s="176"/>
      <c r="M121" s="178">
        <v>2200</v>
      </c>
      <c r="S121" s="178">
        <v>2306.8327545238444</v>
      </c>
      <c r="AH121" s="175"/>
      <c r="AI121" s="175"/>
    </row>
    <row r="122" spans="1:35" s="178" customFormat="1" x14ac:dyDescent="0.25">
      <c r="A122" s="176">
        <v>2</v>
      </c>
      <c r="B122" s="176"/>
      <c r="C122" s="176">
        <f t="shared" si="6"/>
        <v>20</v>
      </c>
      <c r="D122" s="176">
        <f t="shared" si="7"/>
        <v>1</v>
      </c>
      <c r="E122" s="176">
        <f t="shared" si="8"/>
        <v>14</v>
      </c>
      <c r="F122" s="176" t="str">
        <f t="shared" si="9"/>
        <v>pm</v>
      </c>
      <c r="G122" s="176" t="s">
        <v>573</v>
      </c>
      <c r="H122" s="176" t="s">
        <v>387</v>
      </c>
      <c r="I122" s="176" t="s">
        <v>574</v>
      </c>
      <c r="J122" s="177" t="s">
        <v>22</v>
      </c>
      <c r="K122" s="178">
        <f t="shared" si="10"/>
        <v>2267.1704673081986</v>
      </c>
      <c r="L122" s="176"/>
      <c r="M122" s="178">
        <v>2200</v>
      </c>
      <c r="S122" s="178">
        <v>2267.1704673081986</v>
      </c>
      <c r="AH122" s="175"/>
      <c r="AI122" s="175"/>
    </row>
    <row r="123" spans="1:35" s="178" customFormat="1" x14ac:dyDescent="0.25">
      <c r="A123" s="176">
        <v>3</v>
      </c>
      <c r="B123" s="176"/>
      <c r="C123" s="176">
        <f t="shared" si="6"/>
        <v>21</v>
      </c>
      <c r="D123" s="176">
        <f t="shared" si="7"/>
        <v>1</v>
      </c>
      <c r="E123" s="176">
        <f t="shared" si="8"/>
        <v>14</v>
      </c>
      <c r="F123" s="176" t="str">
        <f t="shared" si="9"/>
        <v>pm</v>
      </c>
      <c r="G123" s="176" t="s">
        <v>575</v>
      </c>
      <c r="H123" s="176" t="s">
        <v>387</v>
      </c>
      <c r="I123" s="176" t="s">
        <v>576</v>
      </c>
      <c r="J123" s="177" t="s">
        <v>22</v>
      </c>
      <c r="K123" s="178">
        <f t="shared" si="10"/>
        <v>2229.3799913634903</v>
      </c>
      <c r="L123" s="176"/>
      <c r="M123" s="178">
        <v>2200</v>
      </c>
      <c r="S123" s="178">
        <v>2229.3799913634903</v>
      </c>
      <c r="AH123" s="175"/>
      <c r="AI123" s="175"/>
    </row>
    <row r="124" spans="1:35" s="178" customFormat="1" x14ac:dyDescent="0.25">
      <c r="A124" s="176">
        <v>1</v>
      </c>
      <c r="B124" s="176"/>
      <c r="C124" s="176">
        <f t="shared" si="6"/>
        <v>22</v>
      </c>
      <c r="D124" s="176">
        <f t="shared" si="7"/>
        <v>1</v>
      </c>
      <c r="E124" s="176">
        <f t="shared" si="8"/>
        <v>14</v>
      </c>
      <c r="F124" s="176" t="str">
        <f t="shared" si="9"/>
        <v>pmx</v>
      </c>
      <c r="G124" s="176" t="s">
        <v>577</v>
      </c>
      <c r="H124" s="176" t="s">
        <v>352</v>
      </c>
      <c r="I124" s="176" t="s">
        <v>578</v>
      </c>
      <c r="J124" s="177" t="s">
        <v>22</v>
      </c>
      <c r="K124" s="178">
        <f t="shared" si="10"/>
        <v>2200</v>
      </c>
      <c r="L124" s="176"/>
      <c r="M124" s="178">
        <v>2200</v>
      </c>
      <c r="AH124" s="175"/>
      <c r="AI124" s="175"/>
    </row>
    <row r="125" spans="1:35" s="178" customFormat="1" x14ac:dyDescent="0.25">
      <c r="A125" s="176">
        <v>4</v>
      </c>
      <c r="B125" s="176"/>
      <c r="C125" s="176">
        <f t="shared" si="6"/>
        <v>23</v>
      </c>
      <c r="D125" s="176">
        <f t="shared" si="7"/>
        <v>1</v>
      </c>
      <c r="E125" s="176">
        <f t="shared" si="8"/>
        <v>14</v>
      </c>
      <c r="F125" s="176" t="str">
        <f t="shared" si="9"/>
        <v>pm</v>
      </c>
      <c r="G125" s="176" t="s">
        <v>579</v>
      </c>
      <c r="H125" s="176" t="s">
        <v>378</v>
      </c>
      <c r="I125" s="176" t="s">
        <v>580</v>
      </c>
      <c r="J125" s="177" t="s">
        <v>22</v>
      </c>
      <c r="K125" s="178">
        <f t="shared" si="10"/>
        <v>2234.6390291425291</v>
      </c>
      <c r="L125" s="176"/>
      <c r="M125" s="178">
        <v>2200</v>
      </c>
      <c r="O125" s="178">
        <v>2237.4859062594396</v>
      </c>
      <c r="S125" s="178">
        <v>2234.6390291425291</v>
      </c>
      <c r="AH125" s="175"/>
      <c r="AI125" s="175"/>
    </row>
    <row r="126" spans="1:35" s="178" customFormat="1" x14ac:dyDescent="0.25">
      <c r="A126" s="176">
        <v>4</v>
      </c>
      <c r="B126" s="176"/>
      <c r="C126" s="176">
        <f t="shared" si="6"/>
        <v>24</v>
      </c>
      <c r="D126" s="176">
        <f t="shared" si="7"/>
        <v>1</v>
      </c>
      <c r="E126" s="176">
        <f t="shared" si="8"/>
        <v>14</v>
      </c>
      <c r="F126" s="176" t="str">
        <f t="shared" si="9"/>
        <v>pm</v>
      </c>
      <c r="G126" s="176" t="s">
        <v>581</v>
      </c>
      <c r="H126" s="176" t="s">
        <v>378</v>
      </c>
      <c r="I126" s="176" t="s">
        <v>582</v>
      </c>
      <c r="J126" s="177" t="s">
        <v>22</v>
      </c>
      <c r="K126" s="178">
        <f t="shared" si="10"/>
        <v>2180.5396784301838</v>
      </c>
      <c r="L126" s="176"/>
      <c r="M126" s="178">
        <v>2200</v>
      </c>
      <c r="O126" s="178">
        <v>2210.6639227494029</v>
      </c>
      <c r="S126" s="178">
        <v>2180.5396784301838</v>
      </c>
      <c r="AH126" s="175"/>
      <c r="AI126" s="175"/>
    </row>
    <row r="127" spans="1:35" s="178" customFormat="1" x14ac:dyDescent="0.25">
      <c r="A127" s="176">
        <v>5</v>
      </c>
      <c r="B127" s="176"/>
      <c r="C127" s="176">
        <f t="shared" si="6"/>
        <v>25</v>
      </c>
      <c r="D127" s="176">
        <f t="shared" si="7"/>
        <v>1</v>
      </c>
      <c r="E127" s="176">
        <f t="shared" si="8"/>
        <v>14</v>
      </c>
      <c r="F127" s="176" t="str">
        <f t="shared" si="9"/>
        <v>pm</v>
      </c>
      <c r="G127" s="176" t="s">
        <v>583</v>
      </c>
      <c r="H127" s="176" t="s">
        <v>392</v>
      </c>
      <c r="I127" s="176" t="s">
        <v>584</v>
      </c>
      <c r="J127" s="177" t="s">
        <v>22</v>
      </c>
      <c r="K127" s="178">
        <f t="shared" si="10"/>
        <v>2214.1140087089798</v>
      </c>
      <c r="L127" s="176"/>
      <c r="M127" s="178">
        <v>2200</v>
      </c>
      <c r="S127" s="178">
        <v>2214.1140087089798</v>
      </c>
      <c r="AH127" s="175"/>
      <c r="AI127" s="175"/>
    </row>
    <row r="128" spans="1:35" s="178" customFormat="1" x14ac:dyDescent="0.25">
      <c r="A128" s="176">
        <v>5</v>
      </c>
      <c r="B128" s="176"/>
      <c r="C128" s="176">
        <f t="shared" si="6"/>
        <v>26</v>
      </c>
      <c r="D128" s="176">
        <f t="shared" si="7"/>
        <v>1</v>
      </c>
      <c r="E128" s="176">
        <f t="shared" si="8"/>
        <v>14</v>
      </c>
      <c r="F128" s="176" t="str">
        <f t="shared" si="9"/>
        <v>pm</v>
      </c>
      <c r="G128" s="176" t="s">
        <v>585</v>
      </c>
      <c r="H128" s="176" t="s">
        <v>392</v>
      </c>
      <c r="I128" s="176" t="s">
        <v>586</v>
      </c>
      <c r="J128" s="177" t="s">
        <v>22</v>
      </c>
      <c r="K128" s="178">
        <f t="shared" si="10"/>
        <v>2101.7123322867064</v>
      </c>
      <c r="L128" s="176"/>
      <c r="M128" s="178">
        <v>2200</v>
      </c>
      <c r="S128" s="178">
        <v>2101.7123322867064</v>
      </c>
      <c r="AH128" s="175"/>
      <c r="AI128" s="175"/>
    </row>
    <row r="129" spans="1:35" s="178" customFormat="1" x14ac:dyDescent="0.25">
      <c r="A129" s="176">
        <v>2</v>
      </c>
      <c r="B129" s="176"/>
      <c r="C129" s="176">
        <f t="shared" si="6"/>
        <v>27</v>
      </c>
      <c r="D129" s="176">
        <f t="shared" si="7"/>
        <v>1</v>
      </c>
      <c r="E129" s="176">
        <f t="shared" si="8"/>
        <v>14</v>
      </c>
      <c r="F129" s="176" t="str">
        <f t="shared" si="9"/>
        <v>pm</v>
      </c>
      <c r="G129" s="176" t="s">
        <v>587</v>
      </c>
      <c r="H129" s="176" t="s">
        <v>375</v>
      </c>
      <c r="I129" s="176" t="s">
        <v>588</v>
      </c>
      <c r="J129" s="177" t="s">
        <v>22</v>
      </c>
      <c r="K129" s="178">
        <f t="shared" si="10"/>
        <v>2257.5203872558918</v>
      </c>
      <c r="L129" s="176"/>
      <c r="M129" s="178">
        <v>2200</v>
      </c>
      <c r="O129" s="178">
        <v>2257.5203872558918</v>
      </c>
      <c r="AH129" s="175"/>
      <c r="AI129" s="175"/>
    </row>
    <row r="130" spans="1:35" s="178" customFormat="1" x14ac:dyDescent="0.25">
      <c r="A130" s="176">
        <v>2</v>
      </c>
      <c r="B130" s="176"/>
      <c r="C130" s="176">
        <f t="shared" ref="C130:C193" si="11">IF(E130=E129,C129+1,1)</f>
        <v>28</v>
      </c>
      <c r="D130" s="176">
        <f t="shared" ref="D130:D193" si="12">IF(M130=M129,D129,C130)</f>
        <v>1</v>
      </c>
      <c r="E130" s="176">
        <f t="shared" ref="E130:E193" si="13">10+VALUE(RIGHT(LEFT(G130,3),1))</f>
        <v>14</v>
      </c>
      <c r="F130" s="176" t="str">
        <f t="shared" ref="F130:F193" si="14">RIGHT(G130,2) &amp; IF(A130&lt;2,"x","")</f>
        <v>pm</v>
      </c>
      <c r="G130" s="176" t="s">
        <v>589</v>
      </c>
      <c r="H130" s="176" t="s">
        <v>390</v>
      </c>
      <c r="I130" s="176" t="s">
        <v>590</v>
      </c>
      <c r="J130" s="177" t="s">
        <v>22</v>
      </c>
      <c r="K130" s="178">
        <f t="shared" ref="K130:K193" si="15">LOOKUP(1E+100,M130:AC130)</f>
        <v>2312.9812528642774</v>
      </c>
      <c r="L130" s="176"/>
      <c r="M130" s="178">
        <v>2200</v>
      </c>
      <c r="O130" s="178">
        <v>2312.9812528642774</v>
      </c>
      <c r="AH130" s="175"/>
      <c r="AI130" s="175"/>
    </row>
    <row r="131" spans="1:35" s="178" customFormat="1" x14ac:dyDescent="0.25">
      <c r="A131" s="176">
        <v>2</v>
      </c>
      <c r="B131" s="176"/>
      <c r="C131" s="176">
        <f t="shared" si="11"/>
        <v>29</v>
      </c>
      <c r="D131" s="176">
        <f t="shared" si="12"/>
        <v>1</v>
      </c>
      <c r="E131" s="176">
        <f t="shared" si="13"/>
        <v>14</v>
      </c>
      <c r="F131" s="176" t="str">
        <f t="shared" si="14"/>
        <v>pm</v>
      </c>
      <c r="G131" s="176" t="s">
        <v>591</v>
      </c>
      <c r="H131" s="176" t="s">
        <v>362</v>
      </c>
      <c r="I131" s="176" t="s">
        <v>592</v>
      </c>
      <c r="J131" s="177" t="s">
        <v>22</v>
      </c>
      <c r="K131" s="178">
        <f t="shared" si="15"/>
        <v>2175.4488963954454</v>
      </c>
      <c r="L131" s="176"/>
      <c r="M131" s="178">
        <v>2200</v>
      </c>
      <c r="O131" s="178">
        <v>2175.4488963954454</v>
      </c>
      <c r="AH131" s="175"/>
      <c r="AI131" s="175"/>
    </row>
    <row r="132" spans="1:35" s="178" customFormat="1" x14ac:dyDescent="0.25">
      <c r="A132" s="176"/>
      <c r="B132" s="176"/>
      <c r="C132" s="176">
        <f t="shared" si="11"/>
        <v>30</v>
      </c>
      <c r="D132" s="176">
        <f t="shared" si="12"/>
        <v>1</v>
      </c>
      <c r="E132" s="176">
        <f t="shared" si="13"/>
        <v>14</v>
      </c>
      <c r="F132" s="176" t="str">
        <f t="shared" si="14"/>
        <v>pmx</v>
      </c>
      <c r="G132" s="176" t="s">
        <v>591</v>
      </c>
      <c r="H132" s="176"/>
      <c r="I132" s="176" t="s">
        <v>593</v>
      </c>
      <c r="J132" s="177" t="s">
        <v>22</v>
      </c>
      <c r="K132" s="178">
        <f t="shared" si="15"/>
        <v>2200</v>
      </c>
      <c r="L132" s="176"/>
      <c r="M132" s="178">
        <v>2200</v>
      </c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</row>
    <row r="133" spans="1:35" s="178" customFormat="1" x14ac:dyDescent="0.25">
      <c r="A133" s="176">
        <v>4</v>
      </c>
      <c r="B133" s="176"/>
      <c r="C133" s="176">
        <f t="shared" si="11"/>
        <v>31</v>
      </c>
      <c r="D133" s="176">
        <f t="shared" si="12"/>
        <v>31</v>
      </c>
      <c r="E133" s="176">
        <f t="shared" si="13"/>
        <v>14</v>
      </c>
      <c r="F133" s="176" t="str">
        <f t="shared" si="14"/>
        <v>pm</v>
      </c>
      <c r="G133" s="176" t="s">
        <v>594</v>
      </c>
      <c r="H133" s="176" t="s">
        <v>390</v>
      </c>
      <c r="I133" s="176" t="s">
        <v>595</v>
      </c>
      <c r="J133" s="177" t="s">
        <v>22</v>
      </c>
      <c r="K133" s="178">
        <f t="shared" si="15"/>
        <v>2111.5716033290137</v>
      </c>
      <c r="L133" s="176"/>
      <c r="M133" s="178">
        <v>2150</v>
      </c>
      <c r="S133" s="178">
        <v>2111.5716033290137</v>
      </c>
      <c r="AH133" s="175"/>
      <c r="AI133" s="175"/>
    </row>
    <row r="134" spans="1:35" s="178" customFormat="1" x14ac:dyDescent="0.25">
      <c r="A134" s="176">
        <v>4</v>
      </c>
      <c r="B134" s="176"/>
      <c r="C134" s="176">
        <f t="shared" si="11"/>
        <v>32</v>
      </c>
      <c r="D134" s="176">
        <f t="shared" si="12"/>
        <v>32</v>
      </c>
      <c r="E134" s="176">
        <f t="shared" si="13"/>
        <v>14</v>
      </c>
      <c r="F134" s="176" t="str">
        <f t="shared" si="14"/>
        <v>pm</v>
      </c>
      <c r="G134" s="176" t="s">
        <v>596</v>
      </c>
      <c r="H134" s="176" t="s">
        <v>597</v>
      </c>
      <c r="I134" s="176" t="s">
        <v>598</v>
      </c>
      <c r="J134" s="177" t="s">
        <v>22</v>
      </c>
      <c r="K134" s="178">
        <f t="shared" si="15"/>
        <v>2100</v>
      </c>
      <c r="L134" s="176"/>
      <c r="M134" s="178">
        <v>2100</v>
      </c>
      <c r="AH134" s="175"/>
      <c r="AI134" s="175"/>
    </row>
    <row r="135" spans="1:35" s="178" customFormat="1" x14ac:dyDescent="0.25">
      <c r="A135" s="176">
        <v>2</v>
      </c>
      <c r="B135" s="176"/>
      <c r="C135" s="176">
        <f t="shared" si="11"/>
        <v>33</v>
      </c>
      <c r="D135" s="176">
        <f t="shared" si="12"/>
        <v>32</v>
      </c>
      <c r="E135" s="176">
        <f t="shared" si="13"/>
        <v>14</v>
      </c>
      <c r="F135" s="176" t="str">
        <f t="shared" si="14"/>
        <v>pm</v>
      </c>
      <c r="G135" s="176" t="s">
        <v>599</v>
      </c>
      <c r="H135" s="176" t="s">
        <v>454</v>
      </c>
      <c r="I135" s="176" t="s">
        <v>600</v>
      </c>
      <c r="J135" s="177" t="s">
        <v>22</v>
      </c>
      <c r="K135" s="178">
        <f t="shared" si="15"/>
        <v>2113.396842419188</v>
      </c>
      <c r="L135" s="176"/>
      <c r="M135" s="178">
        <v>2100</v>
      </c>
      <c r="O135" s="178">
        <v>2113.396842419188</v>
      </c>
      <c r="AH135" s="175"/>
      <c r="AI135" s="175"/>
    </row>
    <row r="136" spans="1:35" s="178" customFormat="1" x14ac:dyDescent="0.25">
      <c r="A136" s="176">
        <v>3</v>
      </c>
      <c r="B136" s="176"/>
      <c r="C136" s="176">
        <f t="shared" si="11"/>
        <v>34</v>
      </c>
      <c r="D136" s="176">
        <f t="shared" si="12"/>
        <v>34</v>
      </c>
      <c r="E136" s="176">
        <f t="shared" si="13"/>
        <v>14</v>
      </c>
      <c r="F136" s="176" t="str">
        <f t="shared" si="14"/>
        <v>pm</v>
      </c>
      <c r="G136" s="176" t="s">
        <v>601</v>
      </c>
      <c r="H136" s="176" t="s">
        <v>375</v>
      </c>
      <c r="I136" s="176" t="s">
        <v>602</v>
      </c>
      <c r="J136" s="177" t="s">
        <v>22</v>
      </c>
      <c r="K136" s="178">
        <f t="shared" si="15"/>
        <v>2201.9753930179209</v>
      </c>
      <c r="L136" s="176"/>
      <c r="M136" s="178">
        <v>2066.6666666666665</v>
      </c>
      <c r="O136" s="178">
        <v>2201.9753930179209</v>
      </c>
      <c r="AH136" s="175"/>
      <c r="AI136" s="175"/>
    </row>
    <row r="137" spans="1:35" s="178" customFormat="1" x14ac:dyDescent="0.25">
      <c r="A137" s="176">
        <v>5</v>
      </c>
      <c r="B137" s="176"/>
      <c r="C137" s="176">
        <f t="shared" si="11"/>
        <v>35</v>
      </c>
      <c r="D137" s="176">
        <f t="shared" si="12"/>
        <v>35</v>
      </c>
      <c r="E137" s="176">
        <f t="shared" si="13"/>
        <v>14</v>
      </c>
      <c r="F137" s="176" t="str">
        <f t="shared" si="14"/>
        <v>pm</v>
      </c>
      <c r="G137" s="176" t="s">
        <v>603</v>
      </c>
      <c r="H137" s="176" t="s">
        <v>384</v>
      </c>
      <c r="I137" s="176" t="s">
        <v>604</v>
      </c>
      <c r="J137" s="177" t="s">
        <v>22</v>
      </c>
      <c r="K137" s="178">
        <f t="shared" si="15"/>
        <v>2065.5934655640858</v>
      </c>
      <c r="L137" s="176"/>
      <c r="M137" s="178">
        <v>2040</v>
      </c>
      <c r="O137" s="178">
        <v>2039.2796529523846</v>
      </c>
      <c r="S137" s="178">
        <v>2065.5934655640858</v>
      </c>
      <c r="AH137" s="175"/>
      <c r="AI137" s="175"/>
    </row>
    <row r="138" spans="1:35" s="178" customFormat="1" x14ac:dyDescent="0.25">
      <c r="A138" s="176">
        <v>5</v>
      </c>
      <c r="B138" s="176"/>
      <c r="C138" s="176">
        <f t="shared" si="11"/>
        <v>36</v>
      </c>
      <c r="D138" s="176">
        <f t="shared" si="12"/>
        <v>35</v>
      </c>
      <c r="E138" s="176">
        <f t="shared" si="13"/>
        <v>14</v>
      </c>
      <c r="F138" s="176" t="str">
        <f t="shared" si="14"/>
        <v>pm</v>
      </c>
      <c r="G138" s="176" t="s">
        <v>605</v>
      </c>
      <c r="H138" s="176" t="s">
        <v>384</v>
      </c>
      <c r="I138" s="176" t="s">
        <v>606</v>
      </c>
      <c r="J138" s="177" t="s">
        <v>22</v>
      </c>
      <c r="K138" s="178">
        <f t="shared" si="15"/>
        <v>1894.2272816119016</v>
      </c>
      <c r="L138" s="176"/>
      <c r="M138" s="178">
        <v>2040</v>
      </c>
      <c r="O138" s="178">
        <v>1896.3415220391612</v>
      </c>
      <c r="S138" s="178">
        <v>1894.2272816119016</v>
      </c>
      <c r="AH138" s="175"/>
      <c r="AI138" s="175"/>
    </row>
    <row r="139" spans="1:35" s="178" customFormat="1" x14ac:dyDescent="0.25">
      <c r="A139" s="176">
        <v>6</v>
      </c>
      <c r="B139" s="176"/>
      <c r="C139" s="176">
        <f t="shared" si="11"/>
        <v>37</v>
      </c>
      <c r="D139" s="176">
        <f t="shared" si="12"/>
        <v>37</v>
      </c>
      <c r="E139" s="176">
        <f t="shared" si="13"/>
        <v>14</v>
      </c>
      <c r="F139" s="176" t="str">
        <f t="shared" si="14"/>
        <v>pm</v>
      </c>
      <c r="G139" s="176" t="s">
        <v>607</v>
      </c>
      <c r="H139" s="176" t="s">
        <v>422</v>
      </c>
      <c r="I139" s="176" t="s">
        <v>608</v>
      </c>
      <c r="J139" s="177" t="s">
        <v>21</v>
      </c>
      <c r="K139" s="178">
        <f t="shared" si="15"/>
        <v>1878.2752759660921</v>
      </c>
      <c r="L139" s="176"/>
      <c r="M139" s="178">
        <v>2000</v>
      </c>
      <c r="P139" s="178">
        <v>1895.6498384460454</v>
      </c>
      <c r="S139" s="178">
        <v>1878.2752759660921</v>
      </c>
      <c r="AH139" s="175"/>
      <c r="AI139" s="175"/>
    </row>
    <row r="140" spans="1:35" s="178" customFormat="1" x14ac:dyDescent="0.25">
      <c r="A140" s="176">
        <v>6</v>
      </c>
      <c r="B140" s="176"/>
      <c r="C140" s="176">
        <f t="shared" si="11"/>
        <v>38</v>
      </c>
      <c r="D140" s="176">
        <f t="shared" si="12"/>
        <v>37</v>
      </c>
      <c r="E140" s="176">
        <f t="shared" si="13"/>
        <v>14</v>
      </c>
      <c r="F140" s="176" t="str">
        <f t="shared" si="14"/>
        <v>pm</v>
      </c>
      <c r="G140" s="176" t="s">
        <v>246</v>
      </c>
      <c r="H140" s="176" t="s">
        <v>408</v>
      </c>
      <c r="I140" s="176" t="s">
        <v>245</v>
      </c>
      <c r="J140" s="177" t="s">
        <v>21</v>
      </c>
      <c r="K140" s="178">
        <f t="shared" si="15"/>
        <v>2056.3147376237139</v>
      </c>
      <c r="L140" s="176"/>
      <c r="M140" s="178">
        <v>2000</v>
      </c>
      <c r="P140" s="178">
        <v>2046.5213833507919</v>
      </c>
      <c r="R140" s="178">
        <v>2056.3147376237139</v>
      </c>
      <c r="AH140" s="175"/>
      <c r="AI140" s="175"/>
    </row>
    <row r="141" spans="1:35" s="178" customFormat="1" x14ac:dyDescent="0.25">
      <c r="A141" s="176">
        <v>4</v>
      </c>
      <c r="B141" s="176"/>
      <c r="C141" s="176">
        <f t="shared" si="11"/>
        <v>39</v>
      </c>
      <c r="D141" s="176">
        <f t="shared" si="12"/>
        <v>37</v>
      </c>
      <c r="E141" s="176">
        <f t="shared" si="13"/>
        <v>14</v>
      </c>
      <c r="F141" s="176" t="str">
        <f t="shared" si="14"/>
        <v>pm</v>
      </c>
      <c r="G141" s="176" t="s">
        <v>609</v>
      </c>
      <c r="H141" s="176" t="s">
        <v>378</v>
      </c>
      <c r="I141" s="176" t="s">
        <v>610</v>
      </c>
      <c r="J141" s="177" t="s">
        <v>21</v>
      </c>
      <c r="K141" s="178">
        <f t="shared" si="15"/>
        <v>1890.3332168465452</v>
      </c>
      <c r="L141" s="176"/>
      <c r="M141" s="178">
        <v>2000</v>
      </c>
      <c r="O141" s="178">
        <v>1987.3948411288115</v>
      </c>
      <c r="R141" s="178">
        <v>1890.3332168465452</v>
      </c>
      <c r="AH141" s="175"/>
      <c r="AI141" s="175"/>
    </row>
    <row r="142" spans="1:35" s="178" customFormat="1" x14ac:dyDescent="0.25">
      <c r="A142" s="176">
        <v>3</v>
      </c>
      <c r="B142" s="176"/>
      <c r="C142" s="176">
        <f t="shared" si="11"/>
        <v>40</v>
      </c>
      <c r="D142" s="176">
        <f t="shared" si="12"/>
        <v>40</v>
      </c>
      <c r="E142" s="176">
        <f t="shared" si="13"/>
        <v>14</v>
      </c>
      <c r="F142" s="176" t="str">
        <f t="shared" si="14"/>
        <v>pm</v>
      </c>
      <c r="G142" s="176" t="s">
        <v>611</v>
      </c>
      <c r="H142" s="176" t="s">
        <v>612</v>
      </c>
      <c r="I142" s="176" t="s">
        <v>613</v>
      </c>
      <c r="J142" s="177" t="s">
        <v>21</v>
      </c>
      <c r="K142" s="178">
        <f t="shared" si="15"/>
        <v>1916.9532749111102</v>
      </c>
      <c r="L142" s="176"/>
      <c r="M142" s="178">
        <v>1933.3333333333333</v>
      </c>
      <c r="O142" s="175"/>
      <c r="P142" s="175"/>
      <c r="Q142" s="175">
        <v>1916.9532749111102</v>
      </c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</row>
    <row r="143" spans="1:35" s="178" customFormat="1" x14ac:dyDescent="0.25">
      <c r="A143" s="176">
        <v>3</v>
      </c>
      <c r="B143" s="176"/>
      <c r="C143" s="176">
        <f t="shared" si="11"/>
        <v>41</v>
      </c>
      <c r="D143" s="176">
        <f t="shared" si="12"/>
        <v>40</v>
      </c>
      <c r="E143" s="176">
        <f t="shared" si="13"/>
        <v>14</v>
      </c>
      <c r="F143" s="176" t="str">
        <f t="shared" si="14"/>
        <v>pm</v>
      </c>
      <c r="G143" s="176" t="s">
        <v>252</v>
      </c>
      <c r="H143" s="176" t="s">
        <v>461</v>
      </c>
      <c r="I143" s="176" t="s">
        <v>251</v>
      </c>
      <c r="J143" s="177" t="s">
        <v>21</v>
      </c>
      <c r="K143" s="178">
        <f t="shared" si="15"/>
        <v>1895.4654161275282</v>
      </c>
      <c r="L143" s="176"/>
      <c r="M143" s="178">
        <v>1933.3333333333333</v>
      </c>
      <c r="O143" s="178">
        <v>1895.4654161275282</v>
      </c>
      <c r="AH143" s="175"/>
      <c r="AI143" s="175"/>
    </row>
    <row r="144" spans="1:35" s="178" customFormat="1" x14ac:dyDescent="0.25">
      <c r="A144" s="176">
        <v>3</v>
      </c>
      <c r="B144" s="176"/>
      <c r="C144" s="176">
        <f t="shared" si="11"/>
        <v>42</v>
      </c>
      <c r="D144" s="176">
        <f t="shared" si="12"/>
        <v>40</v>
      </c>
      <c r="E144" s="176">
        <f t="shared" si="13"/>
        <v>14</v>
      </c>
      <c r="F144" s="176" t="str">
        <f t="shared" si="14"/>
        <v>pm</v>
      </c>
      <c r="G144" s="176" t="s">
        <v>250</v>
      </c>
      <c r="H144" s="176" t="s">
        <v>614</v>
      </c>
      <c r="I144" s="176" t="s">
        <v>249</v>
      </c>
      <c r="J144" s="177" t="s">
        <v>21</v>
      </c>
      <c r="K144" s="178">
        <f t="shared" si="15"/>
        <v>1921.8901473006756</v>
      </c>
      <c r="L144" s="176"/>
      <c r="M144" s="178">
        <v>1933.3333333333333</v>
      </c>
      <c r="P144" s="178">
        <v>1921.8901473006756</v>
      </c>
      <c r="AH144" s="175"/>
      <c r="AI144" s="175"/>
    </row>
    <row r="145" spans="1:35" s="178" customFormat="1" x14ac:dyDescent="0.25">
      <c r="A145" s="176">
        <v>4</v>
      </c>
      <c r="B145" s="176"/>
      <c r="C145" s="176">
        <f t="shared" si="11"/>
        <v>43</v>
      </c>
      <c r="D145" s="176">
        <f t="shared" si="12"/>
        <v>43</v>
      </c>
      <c r="E145" s="176">
        <f t="shared" si="13"/>
        <v>14</v>
      </c>
      <c r="F145" s="176" t="str">
        <f t="shared" si="14"/>
        <v>pm</v>
      </c>
      <c r="G145" s="176" t="s">
        <v>256</v>
      </c>
      <c r="H145" s="176" t="s">
        <v>393</v>
      </c>
      <c r="I145" s="176" t="s">
        <v>255</v>
      </c>
      <c r="J145" s="177" t="s">
        <v>21</v>
      </c>
      <c r="K145" s="178">
        <f t="shared" si="15"/>
        <v>1885.2929818149187</v>
      </c>
      <c r="L145" s="176"/>
      <c r="M145" s="178">
        <v>1900</v>
      </c>
      <c r="Q145" s="178">
        <v>1885.2929818149187</v>
      </c>
      <c r="AH145" s="175"/>
      <c r="AI145" s="175"/>
    </row>
    <row r="146" spans="1:35" s="178" customFormat="1" x14ac:dyDescent="0.25">
      <c r="A146" s="176">
        <v>5</v>
      </c>
      <c r="B146" s="176"/>
      <c r="C146" s="176">
        <f t="shared" si="11"/>
        <v>44</v>
      </c>
      <c r="D146" s="176">
        <f t="shared" si="12"/>
        <v>44</v>
      </c>
      <c r="E146" s="176">
        <f t="shared" si="13"/>
        <v>14</v>
      </c>
      <c r="F146" s="176" t="str">
        <f t="shared" si="14"/>
        <v>pm</v>
      </c>
      <c r="G146" s="176" t="s">
        <v>258</v>
      </c>
      <c r="H146" s="176" t="s">
        <v>515</v>
      </c>
      <c r="I146" s="176" t="s">
        <v>257</v>
      </c>
      <c r="J146" s="177" t="s">
        <v>21</v>
      </c>
      <c r="K146" s="178">
        <f t="shared" si="15"/>
        <v>1918.746719402327</v>
      </c>
      <c r="L146" s="176"/>
      <c r="M146" s="178">
        <v>1880</v>
      </c>
      <c r="S146" s="178">
        <v>1918.746719402327</v>
      </c>
      <c r="AH146" s="175"/>
      <c r="AI146" s="175"/>
    </row>
    <row r="147" spans="1:35" s="178" customFormat="1" x14ac:dyDescent="0.25">
      <c r="A147" s="176">
        <v>6</v>
      </c>
      <c r="B147" s="176"/>
      <c r="C147" s="176">
        <f t="shared" si="11"/>
        <v>45</v>
      </c>
      <c r="D147" s="176">
        <f t="shared" si="12"/>
        <v>45</v>
      </c>
      <c r="E147" s="176">
        <f t="shared" si="13"/>
        <v>14</v>
      </c>
      <c r="F147" s="176" t="str">
        <f t="shared" si="14"/>
        <v>pm</v>
      </c>
      <c r="G147" s="176" t="s">
        <v>173</v>
      </c>
      <c r="H147" s="176" t="s">
        <v>518</v>
      </c>
      <c r="I147" s="176" t="s">
        <v>172</v>
      </c>
      <c r="J147" s="177" t="s">
        <v>21</v>
      </c>
      <c r="K147" s="178">
        <f t="shared" si="15"/>
        <v>2232.5282669272556</v>
      </c>
      <c r="L147" s="178">
        <v>1866.6666666666667</v>
      </c>
      <c r="M147" s="178">
        <v>2200</v>
      </c>
      <c r="P147" s="178">
        <v>2232.5282669272556</v>
      </c>
      <c r="AH147" s="175"/>
      <c r="AI147" s="175"/>
    </row>
    <row r="148" spans="1:35" s="178" customFormat="1" x14ac:dyDescent="0.25">
      <c r="A148" s="176">
        <v>4</v>
      </c>
      <c r="B148" s="176"/>
      <c r="C148" s="176">
        <f t="shared" si="11"/>
        <v>46</v>
      </c>
      <c r="D148" s="176">
        <f t="shared" si="12"/>
        <v>46</v>
      </c>
      <c r="E148" s="176">
        <f t="shared" si="13"/>
        <v>14</v>
      </c>
      <c r="F148" s="176" t="str">
        <f t="shared" si="14"/>
        <v>pm</v>
      </c>
      <c r="G148" s="176" t="s">
        <v>280</v>
      </c>
      <c r="H148" s="176" t="s">
        <v>422</v>
      </c>
      <c r="I148" s="176" t="s">
        <v>279</v>
      </c>
      <c r="J148" s="177" t="s">
        <v>21</v>
      </c>
      <c r="K148" s="178">
        <f t="shared" si="15"/>
        <v>1733.1802264513806</v>
      </c>
      <c r="L148" s="176"/>
      <c r="M148" s="178">
        <v>1800</v>
      </c>
      <c r="P148" s="178">
        <v>1733.1802264513806</v>
      </c>
      <c r="AH148" s="175"/>
      <c r="AI148" s="175"/>
    </row>
    <row r="149" spans="1:35" s="178" customFormat="1" x14ac:dyDescent="0.25">
      <c r="A149" s="176">
        <v>6</v>
      </c>
      <c r="B149" s="176"/>
      <c r="C149" s="176">
        <f t="shared" si="11"/>
        <v>47</v>
      </c>
      <c r="D149" s="176">
        <f t="shared" si="12"/>
        <v>46</v>
      </c>
      <c r="E149" s="176">
        <f t="shared" si="13"/>
        <v>14</v>
      </c>
      <c r="F149" s="176" t="str">
        <f t="shared" si="14"/>
        <v>pm</v>
      </c>
      <c r="G149" s="176" t="s">
        <v>262</v>
      </c>
      <c r="H149" s="176" t="s">
        <v>615</v>
      </c>
      <c r="I149" s="176" t="s">
        <v>261</v>
      </c>
      <c r="J149" s="177" t="s">
        <v>21</v>
      </c>
      <c r="K149" s="178">
        <f t="shared" si="15"/>
        <v>1809.1480647862352</v>
      </c>
      <c r="L149" s="176"/>
      <c r="M149" s="178">
        <v>1800</v>
      </c>
      <c r="P149" s="178">
        <v>1729.4670159274219</v>
      </c>
      <c r="R149" s="178">
        <v>1809.1480647862352</v>
      </c>
      <c r="AH149" s="175"/>
      <c r="AI149" s="175"/>
    </row>
    <row r="150" spans="1:35" s="178" customFormat="1" x14ac:dyDescent="0.25">
      <c r="A150" s="176">
        <v>3</v>
      </c>
      <c r="B150" s="176"/>
      <c r="C150" s="176">
        <f t="shared" si="11"/>
        <v>48</v>
      </c>
      <c r="D150" s="176">
        <f t="shared" si="12"/>
        <v>46</v>
      </c>
      <c r="E150" s="176">
        <f t="shared" si="13"/>
        <v>14</v>
      </c>
      <c r="F150" s="176" t="str">
        <f t="shared" si="14"/>
        <v>pm</v>
      </c>
      <c r="G150" s="176" t="s">
        <v>616</v>
      </c>
      <c r="H150" s="176" t="s">
        <v>355</v>
      </c>
      <c r="I150" s="176" t="s">
        <v>617</v>
      </c>
      <c r="J150" s="177" t="s">
        <v>21</v>
      </c>
      <c r="K150" s="178">
        <f t="shared" si="15"/>
        <v>1862.9777228164949</v>
      </c>
      <c r="L150" s="176"/>
      <c r="M150" s="178">
        <v>1800</v>
      </c>
      <c r="P150" s="178">
        <v>1841.8890710091171</v>
      </c>
      <c r="R150" s="178">
        <v>1862.9777228164949</v>
      </c>
      <c r="AH150" s="175"/>
      <c r="AI150" s="175"/>
    </row>
    <row r="151" spans="1:35" s="178" customFormat="1" x14ac:dyDescent="0.25">
      <c r="A151" s="176">
        <v>3</v>
      </c>
      <c r="B151" s="176"/>
      <c r="C151" s="176">
        <f t="shared" si="11"/>
        <v>49</v>
      </c>
      <c r="D151" s="176">
        <f t="shared" si="12"/>
        <v>46</v>
      </c>
      <c r="E151" s="176">
        <f t="shared" si="13"/>
        <v>14</v>
      </c>
      <c r="F151" s="176" t="str">
        <f t="shared" si="14"/>
        <v>pm</v>
      </c>
      <c r="G151" s="176" t="s">
        <v>618</v>
      </c>
      <c r="H151" s="176" t="s">
        <v>355</v>
      </c>
      <c r="I151" s="176" t="s">
        <v>619</v>
      </c>
      <c r="J151" s="177" t="s">
        <v>21</v>
      </c>
      <c r="K151" s="178">
        <f t="shared" si="15"/>
        <v>1787.9889007294696</v>
      </c>
      <c r="L151" s="176"/>
      <c r="M151" s="178">
        <v>1800</v>
      </c>
      <c r="P151" s="178">
        <v>1836.7243012650156</v>
      </c>
      <c r="R151" s="178">
        <v>1787.9889007294696</v>
      </c>
      <c r="AH151" s="175"/>
      <c r="AI151" s="175"/>
    </row>
    <row r="152" spans="1:35" s="178" customFormat="1" x14ac:dyDescent="0.25">
      <c r="A152" s="176">
        <v>3</v>
      </c>
      <c r="B152" s="176"/>
      <c r="C152" s="176">
        <f t="shared" si="11"/>
        <v>50</v>
      </c>
      <c r="D152" s="176">
        <f t="shared" si="12"/>
        <v>46</v>
      </c>
      <c r="E152" s="176">
        <f t="shared" si="13"/>
        <v>14</v>
      </c>
      <c r="F152" s="176" t="str">
        <f t="shared" si="14"/>
        <v>pm</v>
      </c>
      <c r="G152" s="176" t="s">
        <v>620</v>
      </c>
      <c r="H152" s="176" t="s">
        <v>355</v>
      </c>
      <c r="I152" s="176" t="s">
        <v>621</v>
      </c>
      <c r="J152" s="177" t="s">
        <v>21</v>
      </c>
      <c r="K152" s="178">
        <f t="shared" si="15"/>
        <v>1890.6902473066109</v>
      </c>
      <c r="L152" s="176"/>
      <c r="M152" s="178">
        <v>1800</v>
      </c>
      <c r="R152" s="178">
        <v>1890.6902473066109</v>
      </c>
      <c r="AH152" s="175"/>
      <c r="AI152" s="175"/>
    </row>
    <row r="153" spans="1:35" s="178" customFormat="1" x14ac:dyDescent="0.25">
      <c r="A153" s="176">
        <v>5</v>
      </c>
      <c r="B153" s="176"/>
      <c r="C153" s="176">
        <f t="shared" si="11"/>
        <v>51</v>
      </c>
      <c r="D153" s="176">
        <f t="shared" si="12"/>
        <v>46</v>
      </c>
      <c r="E153" s="176">
        <f t="shared" si="13"/>
        <v>14</v>
      </c>
      <c r="F153" s="176" t="str">
        <f t="shared" si="14"/>
        <v>pm</v>
      </c>
      <c r="G153" s="176" t="s">
        <v>622</v>
      </c>
      <c r="H153" s="176" t="s">
        <v>400</v>
      </c>
      <c r="I153" s="176" t="s">
        <v>623</v>
      </c>
      <c r="J153" s="177" t="s">
        <v>21</v>
      </c>
      <c r="K153" s="178">
        <f t="shared" si="15"/>
        <v>1866.2716900036432</v>
      </c>
      <c r="L153" s="176"/>
      <c r="M153" s="178">
        <v>1800</v>
      </c>
      <c r="P153" s="178">
        <v>1853.5993664092457</v>
      </c>
      <c r="R153" s="178">
        <v>1866.2716900036432</v>
      </c>
      <c r="AH153" s="175"/>
      <c r="AI153" s="175"/>
    </row>
    <row r="154" spans="1:35" s="178" customFormat="1" x14ac:dyDescent="0.25">
      <c r="A154" s="176">
        <v>7</v>
      </c>
      <c r="B154" s="176"/>
      <c r="C154" s="176">
        <f t="shared" si="11"/>
        <v>52</v>
      </c>
      <c r="D154" s="176">
        <f t="shared" si="12"/>
        <v>46</v>
      </c>
      <c r="E154" s="176">
        <f t="shared" si="13"/>
        <v>14</v>
      </c>
      <c r="F154" s="176" t="str">
        <f t="shared" si="14"/>
        <v>pm</v>
      </c>
      <c r="G154" s="176" t="s">
        <v>254</v>
      </c>
      <c r="H154" s="176" t="s">
        <v>401</v>
      </c>
      <c r="I154" s="176" t="s">
        <v>253</v>
      </c>
      <c r="J154" s="177" t="s">
        <v>21</v>
      </c>
      <c r="K154" s="178">
        <f t="shared" si="15"/>
        <v>1889.110814092702</v>
      </c>
      <c r="L154" s="176"/>
      <c r="M154" s="178">
        <v>1800</v>
      </c>
      <c r="P154" s="178">
        <v>1835.2847547112133</v>
      </c>
      <c r="R154" s="178">
        <v>1889.110814092702</v>
      </c>
      <c r="AH154" s="175"/>
      <c r="AI154" s="175"/>
    </row>
    <row r="155" spans="1:35" s="178" customFormat="1" x14ac:dyDescent="0.25">
      <c r="A155" s="176">
        <v>7</v>
      </c>
      <c r="B155" s="176"/>
      <c r="C155" s="176">
        <f t="shared" si="11"/>
        <v>53</v>
      </c>
      <c r="D155" s="176">
        <f t="shared" si="12"/>
        <v>46</v>
      </c>
      <c r="E155" s="176">
        <f t="shared" si="13"/>
        <v>14</v>
      </c>
      <c r="F155" s="176" t="str">
        <f t="shared" si="14"/>
        <v>pm</v>
      </c>
      <c r="G155" s="176" t="s">
        <v>228</v>
      </c>
      <c r="H155" s="176" t="s">
        <v>401</v>
      </c>
      <c r="I155" s="176" t="s">
        <v>227</v>
      </c>
      <c r="J155" s="177" t="s">
        <v>21</v>
      </c>
      <c r="K155" s="178">
        <f t="shared" si="15"/>
        <v>1648.5261762534274</v>
      </c>
      <c r="L155" s="176"/>
      <c r="M155" s="178">
        <v>1800</v>
      </c>
      <c r="P155" s="178">
        <v>1729.2404985207163</v>
      </c>
      <c r="R155" s="178">
        <v>1648.5261762534274</v>
      </c>
      <c r="AH155" s="175"/>
      <c r="AI155" s="175"/>
    </row>
    <row r="156" spans="1:35" s="178" customFormat="1" x14ac:dyDescent="0.25">
      <c r="A156" s="176">
        <v>4</v>
      </c>
      <c r="B156" s="176"/>
      <c r="C156" s="176">
        <f t="shared" si="11"/>
        <v>54</v>
      </c>
      <c r="D156" s="176">
        <f t="shared" si="12"/>
        <v>46</v>
      </c>
      <c r="E156" s="176">
        <f t="shared" si="13"/>
        <v>14</v>
      </c>
      <c r="F156" s="176" t="str">
        <f t="shared" si="14"/>
        <v>pm</v>
      </c>
      <c r="G156" s="176" t="s">
        <v>276</v>
      </c>
      <c r="H156" s="176" t="s">
        <v>401</v>
      </c>
      <c r="I156" s="176" t="s">
        <v>275</v>
      </c>
      <c r="J156" s="177" t="s">
        <v>21</v>
      </c>
      <c r="K156" s="178">
        <f t="shared" si="15"/>
        <v>1748.8001298774316</v>
      </c>
      <c r="L156" s="176"/>
      <c r="M156" s="178">
        <v>1800</v>
      </c>
      <c r="R156" s="178">
        <v>1748.8001298774316</v>
      </c>
      <c r="AH156" s="175"/>
      <c r="AI156" s="175"/>
    </row>
    <row r="157" spans="1:35" s="178" customFormat="1" x14ac:dyDescent="0.25">
      <c r="A157" s="176">
        <v>6</v>
      </c>
      <c r="B157" s="176"/>
      <c r="C157" s="176">
        <f t="shared" si="11"/>
        <v>55</v>
      </c>
      <c r="D157" s="176">
        <f t="shared" si="12"/>
        <v>46</v>
      </c>
      <c r="E157" s="176">
        <f t="shared" si="13"/>
        <v>14</v>
      </c>
      <c r="F157" s="176" t="str">
        <f t="shared" si="14"/>
        <v>pm</v>
      </c>
      <c r="G157" s="176" t="s">
        <v>282</v>
      </c>
      <c r="H157" s="176" t="s">
        <v>402</v>
      </c>
      <c r="I157" s="176" t="s">
        <v>281</v>
      </c>
      <c r="J157" s="177" t="s">
        <v>21</v>
      </c>
      <c r="K157" s="178">
        <f t="shared" si="15"/>
        <v>1729.7293688033053</v>
      </c>
      <c r="L157" s="176"/>
      <c r="M157" s="178">
        <v>1800</v>
      </c>
      <c r="R157" s="178">
        <v>1729.7293688033053</v>
      </c>
      <c r="AH157" s="175"/>
      <c r="AI157" s="175"/>
    </row>
    <row r="158" spans="1:35" s="178" customFormat="1" x14ac:dyDescent="0.25">
      <c r="A158" s="176">
        <v>6</v>
      </c>
      <c r="B158" s="176"/>
      <c r="C158" s="176">
        <f t="shared" si="11"/>
        <v>56</v>
      </c>
      <c r="D158" s="176">
        <f t="shared" si="12"/>
        <v>46</v>
      </c>
      <c r="E158" s="176">
        <f t="shared" si="13"/>
        <v>14</v>
      </c>
      <c r="F158" s="176" t="str">
        <f t="shared" si="14"/>
        <v>pm</v>
      </c>
      <c r="G158" s="176" t="s">
        <v>272</v>
      </c>
      <c r="H158" s="176" t="s">
        <v>402</v>
      </c>
      <c r="I158" s="176" t="s">
        <v>271</v>
      </c>
      <c r="J158" s="177" t="s">
        <v>21</v>
      </c>
      <c r="K158" s="178">
        <f t="shared" si="15"/>
        <v>1773.2758988569869</v>
      </c>
      <c r="L158" s="176"/>
      <c r="M158" s="178">
        <v>1800</v>
      </c>
      <c r="R158" s="178">
        <v>1773.2758988569869</v>
      </c>
      <c r="AH158" s="175"/>
      <c r="AI158" s="175"/>
    </row>
    <row r="159" spans="1:35" s="178" customFormat="1" x14ac:dyDescent="0.25">
      <c r="A159" s="176">
        <v>4</v>
      </c>
      <c r="B159" s="176"/>
      <c r="C159" s="176">
        <f t="shared" si="11"/>
        <v>57</v>
      </c>
      <c r="D159" s="176">
        <f t="shared" si="12"/>
        <v>46</v>
      </c>
      <c r="E159" s="176">
        <f t="shared" si="13"/>
        <v>14</v>
      </c>
      <c r="F159" s="176" t="str">
        <f t="shared" si="14"/>
        <v>pm</v>
      </c>
      <c r="G159" s="176" t="s">
        <v>624</v>
      </c>
      <c r="H159" s="176" t="s">
        <v>406</v>
      </c>
      <c r="I159" s="176" t="s">
        <v>625</v>
      </c>
      <c r="J159" s="177" t="s">
        <v>21</v>
      </c>
      <c r="K159" s="178">
        <f t="shared" si="15"/>
        <v>1851.9753031841728</v>
      </c>
      <c r="L159" s="176"/>
      <c r="M159" s="178">
        <v>1800</v>
      </c>
      <c r="P159" s="178">
        <v>1819.9309139814898</v>
      </c>
      <c r="R159" s="178">
        <v>1851.9753031841728</v>
      </c>
      <c r="AH159" s="175"/>
      <c r="AI159" s="175"/>
    </row>
    <row r="160" spans="1:35" s="178" customFormat="1" x14ac:dyDescent="0.25">
      <c r="A160" s="176">
        <v>6</v>
      </c>
      <c r="B160" s="176"/>
      <c r="C160" s="176">
        <f t="shared" si="11"/>
        <v>58</v>
      </c>
      <c r="D160" s="176">
        <f t="shared" si="12"/>
        <v>46</v>
      </c>
      <c r="E160" s="176">
        <f t="shared" si="13"/>
        <v>14</v>
      </c>
      <c r="F160" s="176" t="str">
        <f t="shared" si="14"/>
        <v>pm</v>
      </c>
      <c r="G160" s="176" t="s">
        <v>278</v>
      </c>
      <c r="H160" s="176" t="s">
        <v>412</v>
      </c>
      <c r="I160" s="176" t="s">
        <v>277</v>
      </c>
      <c r="J160" s="177" t="s">
        <v>21</v>
      </c>
      <c r="K160" s="178">
        <f t="shared" si="15"/>
        <v>1746.3122871137466</v>
      </c>
      <c r="L160" s="176"/>
      <c r="M160" s="178">
        <v>1800</v>
      </c>
      <c r="R160" s="178">
        <v>1746.3122871137466</v>
      </c>
      <c r="AH160" s="175"/>
      <c r="AI160" s="175"/>
    </row>
    <row r="161" spans="1:35" s="178" customFormat="1" x14ac:dyDescent="0.25">
      <c r="A161" s="176">
        <v>2</v>
      </c>
      <c r="B161" s="176"/>
      <c r="C161" s="176">
        <f t="shared" si="11"/>
        <v>59</v>
      </c>
      <c r="D161" s="176">
        <f t="shared" si="12"/>
        <v>46</v>
      </c>
      <c r="E161" s="176">
        <f t="shared" si="13"/>
        <v>14</v>
      </c>
      <c r="F161" s="176" t="str">
        <f t="shared" si="14"/>
        <v>pm</v>
      </c>
      <c r="G161" s="176" t="s">
        <v>626</v>
      </c>
      <c r="H161" s="176" t="s">
        <v>449</v>
      </c>
      <c r="I161" s="176" t="s">
        <v>627</v>
      </c>
      <c r="J161" s="177" t="s">
        <v>21</v>
      </c>
      <c r="K161" s="178">
        <f t="shared" si="15"/>
        <v>1800</v>
      </c>
      <c r="L161" s="176"/>
      <c r="M161" s="178">
        <v>1800</v>
      </c>
      <c r="AH161" s="175"/>
      <c r="AI161" s="175"/>
    </row>
    <row r="162" spans="1:35" s="178" customFormat="1" x14ac:dyDescent="0.25">
      <c r="A162" s="176">
        <v>6</v>
      </c>
      <c r="B162" s="176"/>
      <c r="C162" s="176">
        <f t="shared" si="11"/>
        <v>60</v>
      </c>
      <c r="D162" s="176">
        <f t="shared" si="12"/>
        <v>46</v>
      </c>
      <c r="E162" s="176">
        <f t="shared" si="13"/>
        <v>14</v>
      </c>
      <c r="F162" s="176" t="str">
        <f t="shared" si="14"/>
        <v>pm</v>
      </c>
      <c r="G162" s="176" t="s">
        <v>248</v>
      </c>
      <c r="H162" s="176" t="s">
        <v>368</v>
      </c>
      <c r="I162" s="176" t="s">
        <v>247</v>
      </c>
      <c r="J162" s="177" t="s">
        <v>21</v>
      </c>
      <c r="K162" s="178">
        <f t="shared" si="15"/>
        <v>1952.1722411424284</v>
      </c>
      <c r="L162" s="176"/>
      <c r="M162" s="178">
        <v>1800</v>
      </c>
      <c r="P162" s="178">
        <v>1884.515075674077</v>
      </c>
      <c r="R162" s="178">
        <v>1952.1722411424284</v>
      </c>
      <c r="AH162" s="175"/>
      <c r="AI162" s="175"/>
    </row>
    <row r="163" spans="1:35" s="178" customFormat="1" x14ac:dyDescent="0.25">
      <c r="A163" s="176">
        <v>2</v>
      </c>
      <c r="B163" s="176"/>
      <c r="C163" s="176">
        <f t="shared" si="11"/>
        <v>61</v>
      </c>
      <c r="D163" s="176">
        <f t="shared" si="12"/>
        <v>46</v>
      </c>
      <c r="E163" s="176">
        <f t="shared" si="13"/>
        <v>14</v>
      </c>
      <c r="F163" s="176" t="str">
        <f t="shared" si="14"/>
        <v>pm</v>
      </c>
      <c r="G163" s="176" t="s">
        <v>628</v>
      </c>
      <c r="H163" s="176" t="s">
        <v>387</v>
      </c>
      <c r="I163" s="176" t="s">
        <v>629</v>
      </c>
      <c r="J163" s="177" t="s">
        <v>21</v>
      </c>
      <c r="K163" s="178">
        <f t="shared" si="15"/>
        <v>1772.6800095339315</v>
      </c>
      <c r="L163" s="176"/>
      <c r="M163" s="178">
        <v>1800</v>
      </c>
      <c r="R163" s="178">
        <v>1763.399773723718</v>
      </c>
      <c r="S163" s="178">
        <v>1772.6800095339315</v>
      </c>
      <c r="AH163" s="175"/>
      <c r="AI163" s="175"/>
    </row>
    <row r="164" spans="1:35" s="178" customFormat="1" x14ac:dyDescent="0.25">
      <c r="A164" s="176">
        <v>3</v>
      </c>
      <c r="B164" s="176"/>
      <c r="C164" s="176">
        <f t="shared" si="11"/>
        <v>62</v>
      </c>
      <c r="D164" s="176">
        <f t="shared" si="12"/>
        <v>46</v>
      </c>
      <c r="E164" s="176">
        <f t="shared" si="13"/>
        <v>14</v>
      </c>
      <c r="F164" s="176" t="str">
        <f t="shared" si="14"/>
        <v>pm</v>
      </c>
      <c r="G164" s="176" t="s">
        <v>630</v>
      </c>
      <c r="H164" s="176" t="s">
        <v>387</v>
      </c>
      <c r="I164" s="176" t="s">
        <v>631</v>
      </c>
      <c r="J164" s="177" t="s">
        <v>21</v>
      </c>
      <c r="K164" s="178">
        <f t="shared" si="15"/>
        <v>1828.715389683282</v>
      </c>
      <c r="L164" s="176"/>
      <c r="M164" s="178">
        <v>1800</v>
      </c>
      <c r="R164" s="178">
        <v>1828.715389683282</v>
      </c>
      <c r="AH164" s="175"/>
      <c r="AI164" s="175"/>
    </row>
    <row r="165" spans="1:35" s="178" customFormat="1" x14ac:dyDescent="0.25">
      <c r="A165" s="176">
        <v>2</v>
      </c>
      <c r="B165" s="176"/>
      <c r="C165" s="176">
        <f t="shared" si="11"/>
        <v>63</v>
      </c>
      <c r="D165" s="176">
        <f t="shared" si="12"/>
        <v>46</v>
      </c>
      <c r="E165" s="176">
        <f t="shared" si="13"/>
        <v>14</v>
      </c>
      <c r="F165" s="176" t="str">
        <f t="shared" si="14"/>
        <v>pm</v>
      </c>
      <c r="G165" s="176" t="s">
        <v>632</v>
      </c>
      <c r="H165" s="176" t="s">
        <v>387</v>
      </c>
      <c r="I165" s="176" t="s">
        <v>633</v>
      </c>
      <c r="J165" s="177" t="s">
        <v>21</v>
      </c>
      <c r="K165" s="178">
        <f t="shared" si="15"/>
        <v>1883.6554537840855</v>
      </c>
      <c r="L165" s="176"/>
      <c r="M165" s="178">
        <v>1800</v>
      </c>
      <c r="R165" s="178">
        <v>1883.6554537840855</v>
      </c>
      <c r="AH165" s="175"/>
      <c r="AI165" s="175"/>
    </row>
    <row r="166" spans="1:35" s="178" customFormat="1" x14ac:dyDescent="0.25">
      <c r="A166" s="176">
        <v>5</v>
      </c>
      <c r="B166" s="176"/>
      <c r="C166" s="176">
        <f t="shared" si="11"/>
        <v>64</v>
      </c>
      <c r="D166" s="176">
        <f t="shared" si="12"/>
        <v>46</v>
      </c>
      <c r="E166" s="176">
        <f t="shared" si="13"/>
        <v>14</v>
      </c>
      <c r="F166" s="176" t="str">
        <f t="shared" si="14"/>
        <v>pm</v>
      </c>
      <c r="G166" s="176" t="s">
        <v>634</v>
      </c>
      <c r="H166" s="176" t="s">
        <v>522</v>
      </c>
      <c r="I166" s="176" t="s">
        <v>635</v>
      </c>
      <c r="J166" s="177" t="s">
        <v>21</v>
      </c>
      <c r="K166" s="178">
        <f t="shared" si="15"/>
        <v>1792.2971263265672</v>
      </c>
      <c r="L166" s="176"/>
      <c r="M166" s="178">
        <v>1800</v>
      </c>
      <c r="P166" s="178">
        <v>1772.9124733588862</v>
      </c>
      <c r="R166" s="178">
        <v>1792.2971263265672</v>
      </c>
      <c r="AH166" s="175"/>
      <c r="AI166" s="175"/>
    </row>
    <row r="167" spans="1:35" s="178" customFormat="1" x14ac:dyDescent="0.25">
      <c r="A167" s="176">
        <v>6</v>
      </c>
      <c r="B167" s="176"/>
      <c r="C167" s="176">
        <f t="shared" si="11"/>
        <v>65</v>
      </c>
      <c r="D167" s="176">
        <f t="shared" si="12"/>
        <v>46</v>
      </c>
      <c r="E167" s="176">
        <f t="shared" si="13"/>
        <v>14</v>
      </c>
      <c r="F167" s="176" t="str">
        <f t="shared" si="14"/>
        <v>pm</v>
      </c>
      <c r="G167" s="176" t="s">
        <v>264</v>
      </c>
      <c r="H167" s="176" t="s">
        <v>392</v>
      </c>
      <c r="I167" s="176" t="s">
        <v>263</v>
      </c>
      <c r="J167" s="177" t="s">
        <v>21</v>
      </c>
      <c r="K167" s="178">
        <f t="shared" si="15"/>
        <v>1805.8700188425732</v>
      </c>
      <c r="L167" s="176"/>
      <c r="M167" s="178">
        <v>1800</v>
      </c>
      <c r="R167" s="178">
        <v>1805.8700188425732</v>
      </c>
      <c r="AH167" s="175"/>
      <c r="AI167" s="175"/>
    </row>
    <row r="168" spans="1:35" s="178" customFormat="1" x14ac:dyDescent="0.25">
      <c r="A168" s="176">
        <v>6</v>
      </c>
      <c r="B168" s="176"/>
      <c r="C168" s="176">
        <f t="shared" si="11"/>
        <v>66</v>
      </c>
      <c r="D168" s="176">
        <f t="shared" si="12"/>
        <v>46</v>
      </c>
      <c r="E168" s="176">
        <f t="shared" si="13"/>
        <v>14</v>
      </c>
      <c r="F168" s="176" t="str">
        <f t="shared" si="14"/>
        <v>pm</v>
      </c>
      <c r="G168" s="176" t="s">
        <v>286</v>
      </c>
      <c r="H168" s="176" t="s">
        <v>392</v>
      </c>
      <c r="I168" s="176" t="s">
        <v>285</v>
      </c>
      <c r="J168" s="177" t="s">
        <v>21</v>
      </c>
      <c r="K168" s="178">
        <f t="shared" si="15"/>
        <v>1694.4816920998894</v>
      </c>
      <c r="L168" s="176"/>
      <c r="M168" s="178">
        <v>1800</v>
      </c>
      <c r="R168" s="178">
        <v>1694.4816920998894</v>
      </c>
      <c r="AH168" s="175"/>
      <c r="AI168" s="175"/>
    </row>
    <row r="169" spans="1:35" s="178" customFormat="1" x14ac:dyDescent="0.25">
      <c r="A169" s="176">
        <v>5</v>
      </c>
      <c r="B169" s="176"/>
      <c r="C169" s="176">
        <f t="shared" si="11"/>
        <v>67</v>
      </c>
      <c r="D169" s="176">
        <f t="shared" si="12"/>
        <v>46</v>
      </c>
      <c r="E169" s="176">
        <f t="shared" si="13"/>
        <v>14</v>
      </c>
      <c r="F169" s="176" t="str">
        <f t="shared" si="14"/>
        <v>pm</v>
      </c>
      <c r="G169" s="176" t="s">
        <v>260</v>
      </c>
      <c r="H169" s="176" t="s">
        <v>421</v>
      </c>
      <c r="I169" s="176" t="s">
        <v>259</v>
      </c>
      <c r="J169" s="177" t="s">
        <v>21</v>
      </c>
      <c r="K169" s="178">
        <f t="shared" si="15"/>
        <v>1876.31367263991</v>
      </c>
      <c r="L169" s="176"/>
      <c r="M169" s="178">
        <v>1800</v>
      </c>
      <c r="R169" s="178">
        <v>1876.31367263991</v>
      </c>
      <c r="AH169" s="175"/>
      <c r="AI169" s="175"/>
    </row>
    <row r="170" spans="1:35" s="178" customFormat="1" x14ac:dyDescent="0.25">
      <c r="A170" s="176">
        <v>5</v>
      </c>
      <c r="B170" s="176"/>
      <c r="C170" s="176">
        <f t="shared" si="11"/>
        <v>68</v>
      </c>
      <c r="D170" s="176">
        <f t="shared" si="12"/>
        <v>46</v>
      </c>
      <c r="E170" s="176">
        <f t="shared" si="13"/>
        <v>14</v>
      </c>
      <c r="F170" s="176" t="str">
        <f t="shared" si="14"/>
        <v>pm</v>
      </c>
      <c r="G170" s="176" t="s">
        <v>268</v>
      </c>
      <c r="H170" s="176" t="s">
        <v>421</v>
      </c>
      <c r="I170" s="176" t="s">
        <v>267</v>
      </c>
      <c r="J170" s="177" t="s">
        <v>21</v>
      </c>
      <c r="K170" s="178">
        <f t="shared" si="15"/>
        <v>1809.8475028761886</v>
      </c>
      <c r="L170" s="176"/>
      <c r="M170" s="178">
        <v>1800</v>
      </c>
      <c r="O170" s="175"/>
      <c r="P170" s="175"/>
      <c r="Q170" s="175"/>
      <c r="R170" s="175">
        <v>1809.8475028761886</v>
      </c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H170" s="175"/>
      <c r="AI170" s="175"/>
    </row>
    <row r="171" spans="1:35" s="178" customFormat="1" x14ac:dyDescent="0.25">
      <c r="A171" s="176">
        <v>5</v>
      </c>
      <c r="B171" s="176"/>
      <c r="C171" s="176">
        <f t="shared" si="11"/>
        <v>69</v>
      </c>
      <c r="D171" s="176">
        <f t="shared" si="12"/>
        <v>46</v>
      </c>
      <c r="E171" s="176">
        <f t="shared" si="13"/>
        <v>14</v>
      </c>
      <c r="F171" s="176" t="str">
        <f t="shared" si="14"/>
        <v>pm</v>
      </c>
      <c r="G171" s="176" t="s">
        <v>284</v>
      </c>
      <c r="H171" s="176" t="s">
        <v>528</v>
      </c>
      <c r="I171" s="176" t="s">
        <v>283</v>
      </c>
      <c r="J171" s="177" t="s">
        <v>21</v>
      </c>
      <c r="K171" s="178">
        <f t="shared" si="15"/>
        <v>1705.4420103544176</v>
      </c>
      <c r="L171" s="176"/>
      <c r="M171" s="178">
        <v>1800</v>
      </c>
      <c r="R171" s="178">
        <v>1705.4420103544176</v>
      </c>
      <c r="AH171" s="175"/>
      <c r="AI171" s="175"/>
    </row>
    <row r="172" spans="1:35" s="178" customFormat="1" x14ac:dyDescent="0.25">
      <c r="A172" s="176">
        <v>6</v>
      </c>
      <c r="B172" s="176"/>
      <c r="C172" s="176">
        <f t="shared" si="11"/>
        <v>1</v>
      </c>
      <c r="D172" s="176">
        <f t="shared" si="12"/>
        <v>1</v>
      </c>
      <c r="E172" s="176">
        <f t="shared" si="13"/>
        <v>15</v>
      </c>
      <c r="F172" s="176" t="str">
        <f t="shared" si="14"/>
        <v>pm</v>
      </c>
      <c r="G172" s="176" t="s">
        <v>636</v>
      </c>
      <c r="H172" s="176" t="s">
        <v>637</v>
      </c>
      <c r="I172" s="176" t="s">
        <v>638</v>
      </c>
      <c r="J172" s="177" t="s">
        <v>22</v>
      </c>
      <c r="K172" s="178">
        <f t="shared" si="15"/>
        <v>2352.5527648259167</v>
      </c>
      <c r="L172" s="176"/>
      <c r="M172" s="178">
        <v>2400</v>
      </c>
      <c r="O172" s="175"/>
      <c r="P172" s="175">
        <v>2387.4256160710393</v>
      </c>
      <c r="Q172" s="175"/>
      <c r="R172" s="175"/>
      <c r="S172" s="175">
        <v>2352.5527648259167</v>
      </c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  <c r="AG172" s="175"/>
      <c r="AH172" s="175"/>
      <c r="AI172" s="175"/>
    </row>
    <row r="173" spans="1:35" s="178" customFormat="1" x14ac:dyDescent="0.25">
      <c r="A173" s="176">
        <v>6</v>
      </c>
      <c r="B173" s="176"/>
      <c r="C173" s="176">
        <f t="shared" si="11"/>
        <v>2</v>
      </c>
      <c r="D173" s="176">
        <f t="shared" si="12"/>
        <v>1</v>
      </c>
      <c r="E173" s="176">
        <f t="shared" si="13"/>
        <v>15</v>
      </c>
      <c r="F173" s="176" t="str">
        <f t="shared" si="14"/>
        <v>pm</v>
      </c>
      <c r="G173" s="176" t="s">
        <v>639</v>
      </c>
      <c r="H173" s="176" t="s">
        <v>637</v>
      </c>
      <c r="I173" s="176" t="s">
        <v>640</v>
      </c>
      <c r="J173" s="177" t="s">
        <v>22</v>
      </c>
      <c r="K173" s="178">
        <f t="shared" si="15"/>
        <v>2299.6632275953884</v>
      </c>
      <c r="L173" s="176"/>
      <c r="M173" s="178">
        <v>2400</v>
      </c>
      <c r="O173" s="175"/>
      <c r="P173" s="175">
        <v>2419.8355804183434</v>
      </c>
      <c r="Q173" s="175"/>
      <c r="R173" s="175"/>
      <c r="S173" s="175">
        <v>2299.6632275953884</v>
      </c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  <c r="AG173" s="175"/>
      <c r="AH173" s="175"/>
      <c r="AI173" s="175"/>
    </row>
    <row r="174" spans="1:35" s="178" customFormat="1" x14ac:dyDescent="0.25">
      <c r="A174" s="176">
        <v>2</v>
      </c>
      <c r="B174" s="176"/>
      <c r="C174" s="176">
        <f t="shared" si="11"/>
        <v>3</v>
      </c>
      <c r="D174" s="176">
        <f t="shared" si="12"/>
        <v>1</v>
      </c>
      <c r="E174" s="176">
        <f t="shared" si="13"/>
        <v>15</v>
      </c>
      <c r="F174" s="176" t="str">
        <f t="shared" si="14"/>
        <v>pm</v>
      </c>
      <c r="G174" s="176" t="s">
        <v>641</v>
      </c>
      <c r="H174" s="176" t="s">
        <v>362</v>
      </c>
      <c r="I174" s="176" t="s">
        <v>642</v>
      </c>
      <c r="J174" s="177" t="s">
        <v>22</v>
      </c>
      <c r="K174" s="178">
        <f t="shared" si="15"/>
        <v>2517.9197773041974</v>
      </c>
      <c r="L174" s="176"/>
      <c r="M174" s="178">
        <v>2400</v>
      </c>
      <c r="S174" s="178">
        <v>2517.9197773041974</v>
      </c>
      <c r="AH174" s="175"/>
      <c r="AI174" s="175"/>
    </row>
    <row r="175" spans="1:35" s="178" customFormat="1" x14ac:dyDescent="0.25">
      <c r="A175" s="176">
        <v>3</v>
      </c>
      <c r="B175" s="176"/>
      <c r="C175" s="176">
        <f t="shared" si="11"/>
        <v>4</v>
      </c>
      <c r="D175" s="176">
        <f t="shared" si="12"/>
        <v>1</v>
      </c>
      <c r="E175" s="176">
        <f t="shared" si="13"/>
        <v>15</v>
      </c>
      <c r="F175" s="176" t="str">
        <f t="shared" si="14"/>
        <v>pm</v>
      </c>
      <c r="G175" s="176" t="s">
        <v>643</v>
      </c>
      <c r="H175" s="176" t="s">
        <v>362</v>
      </c>
      <c r="I175" s="176" t="s">
        <v>644</v>
      </c>
      <c r="J175" s="177" t="s">
        <v>22</v>
      </c>
      <c r="K175" s="178">
        <f t="shared" si="15"/>
        <v>2295.1033399345392</v>
      </c>
      <c r="L175" s="176"/>
      <c r="M175" s="178">
        <v>2400</v>
      </c>
      <c r="S175" s="178">
        <v>2295.1033399345392</v>
      </c>
      <c r="AH175" s="175"/>
      <c r="AI175" s="175"/>
    </row>
    <row r="176" spans="1:35" s="178" customFormat="1" x14ac:dyDescent="0.25">
      <c r="A176" s="176">
        <v>1</v>
      </c>
      <c r="B176" s="176"/>
      <c r="C176" s="176">
        <f t="shared" si="11"/>
        <v>5</v>
      </c>
      <c r="D176" s="176">
        <f t="shared" si="12"/>
        <v>1</v>
      </c>
      <c r="E176" s="176">
        <f t="shared" si="13"/>
        <v>15</v>
      </c>
      <c r="F176" s="176" t="str">
        <f t="shared" si="14"/>
        <v>pmx</v>
      </c>
      <c r="G176" s="176" t="s">
        <v>645</v>
      </c>
      <c r="H176" s="176" t="s">
        <v>461</v>
      </c>
      <c r="I176" s="176" t="s">
        <v>646</v>
      </c>
      <c r="J176" s="177" t="s">
        <v>22</v>
      </c>
      <c r="K176" s="178">
        <f t="shared" si="15"/>
        <v>2580.6479326604422</v>
      </c>
      <c r="L176" s="176"/>
      <c r="M176" s="178">
        <v>2400</v>
      </c>
      <c r="P176" s="178">
        <v>2580.6479326604422</v>
      </c>
      <c r="AH176" s="175"/>
      <c r="AI176" s="175"/>
    </row>
    <row r="177" spans="1:35" s="178" customFormat="1" x14ac:dyDescent="0.25">
      <c r="A177" s="176">
        <v>3</v>
      </c>
      <c r="B177" s="176"/>
      <c r="C177" s="176">
        <f t="shared" si="11"/>
        <v>6</v>
      </c>
      <c r="D177" s="176">
        <f t="shared" si="12"/>
        <v>1</v>
      </c>
      <c r="E177" s="176">
        <f t="shared" si="13"/>
        <v>15</v>
      </c>
      <c r="F177" s="176" t="str">
        <f t="shared" si="14"/>
        <v>pm</v>
      </c>
      <c r="G177" s="176" t="s">
        <v>647</v>
      </c>
      <c r="H177" s="176" t="s">
        <v>461</v>
      </c>
      <c r="I177" s="176" t="s">
        <v>648</v>
      </c>
      <c r="J177" s="177" t="s">
        <v>22</v>
      </c>
      <c r="K177" s="178">
        <f t="shared" si="15"/>
        <v>2411.3980889405284</v>
      </c>
      <c r="L177" s="176"/>
      <c r="M177" s="178">
        <v>2400</v>
      </c>
      <c r="P177" s="178">
        <v>2411.3980889405284</v>
      </c>
      <c r="AH177" s="175"/>
      <c r="AI177" s="175"/>
    </row>
    <row r="178" spans="1:35" s="178" customFormat="1" x14ac:dyDescent="0.25">
      <c r="A178" s="176"/>
      <c r="B178" s="176"/>
      <c r="C178" s="176">
        <f t="shared" si="11"/>
        <v>7</v>
      </c>
      <c r="D178" s="176">
        <f t="shared" si="12"/>
        <v>1</v>
      </c>
      <c r="E178" s="176">
        <f t="shared" si="13"/>
        <v>15</v>
      </c>
      <c r="F178" s="176" t="str">
        <f t="shared" si="14"/>
        <v>crx</v>
      </c>
      <c r="G178" s="176" t="s">
        <v>649</v>
      </c>
      <c r="H178" s="176"/>
      <c r="I178" s="176" t="s">
        <v>650</v>
      </c>
      <c r="J178" s="177" t="s">
        <v>22</v>
      </c>
      <c r="K178" s="178">
        <f t="shared" si="15"/>
        <v>2414.995302339873</v>
      </c>
      <c r="L178" s="176"/>
      <c r="M178" s="178">
        <v>2400</v>
      </c>
      <c r="O178" s="175"/>
      <c r="P178" s="175">
        <v>2414.995302339873</v>
      </c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H178" s="175"/>
      <c r="AI178" s="175"/>
    </row>
    <row r="179" spans="1:35" s="178" customFormat="1" x14ac:dyDescent="0.25">
      <c r="A179" s="176"/>
      <c r="B179" s="176"/>
      <c r="C179" s="176">
        <f t="shared" si="11"/>
        <v>8</v>
      </c>
      <c r="D179" s="176">
        <f t="shared" si="12"/>
        <v>1</v>
      </c>
      <c r="E179" s="176">
        <f t="shared" si="13"/>
        <v>15</v>
      </c>
      <c r="F179" s="176" t="str">
        <f t="shared" si="14"/>
        <v>crx</v>
      </c>
      <c r="G179" s="176" t="s">
        <v>651</v>
      </c>
      <c r="H179" s="176"/>
      <c r="I179" s="176" t="s">
        <v>652</v>
      </c>
      <c r="J179" s="177" t="s">
        <v>22</v>
      </c>
      <c r="K179" s="178">
        <f t="shared" si="15"/>
        <v>2364.2186562525962</v>
      </c>
      <c r="L179" s="176"/>
      <c r="M179" s="178">
        <v>2400</v>
      </c>
      <c r="O179" s="175"/>
      <c r="P179" s="175">
        <v>2364.2186562525962</v>
      </c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H179" s="175"/>
      <c r="AI179" s="175"/>
    </row>
    <row r="180" spans="1:35" s="178" customFormat="1" x14ac:dyDescent="0.25">
      <c r="A180" s="176">
        <v>3</v>
      </c>
      <c r="B180" s="176"/>
      <c r="C180" s="176">
        <f t="shared" si="11"/>
        <v>9</v>
      </c>
      <c r="D180" s="176">
        <f t="shared" si="12"/>
        <v>1</v>
      </c>
      <c r="E180" s="176">
        <f t="shared" si="13"/>
        <v>15</v>
      </c>
      <c r="F180" s="176" t="str">
        <f t="shared" si="14"/>
        <v>pm</v>
      </c>
      <c r="G180" s="176" t="s">
        <v>653</v>
      </c>
      <c r="H180" s="176" t="s">
        <v>355</v>
      </c>
      <c r="I180" s="176" t="s">
        <v>654</v>
      </c>
      <c r="J180" s="177" t="s">
        <v>22</v>
      </c>
      <c r="K180" s="178">
        <f t="shared" si="15"/>
        <v>2602.4800707292979</v>
      </c>
      <c r="L180" s="176"/>
      <c r="M180" s="178">
        <v>2400</v>
      </c>
      <c r="P180" s="178">
        <v>2529.806341942141</v>
      </c>
      <c r="S180" s="178">
        <v>2602.4800707292979</v>
      </c>
      <c r="AH180" s="175"/>
      <c r="AI180" s="175"/>
    </row>
    <row r="181" spans="1:35" s="178" customFormat="1" x14ac:dyDescent="0.25">
      <c r="A181" s="176">
        <v>4</v>
      </c>
      <c r="B181" s="176"/>
      <c r="C181" s="176">
        <f t="shared" si="11"/>
        <v>10</v>
      </c>
      <c r="D181" s="176">
        <f t="shared" si="12"/>
        <v>1</v>
      </c>
      <c r="E181" s="176">
        <f t="shared" si="13"/>
        <v>15</v>
      </c>
      <c r="F181" s="176" t="str">
        <f t="shared" si="14"/>
        <v>pm</v>
      </c>
      <c r="G181" s="176" t="s">
        <v>655</v>
      </c>
      <c r="H181" s="176" t="s">
        <v>355</v>
      </c>
      <c r="I181" s="176" t="s">
        <v>656</v>
      </c>
      <c r="J181" s="177" t="s">
        <v>22</v>
      </c>
      <c r="K181" s="178">
        <f t="shared" si="15"/>
        <v>2495.8609490903345</v>
      </c>
      <c r="L181" s="176"/>
      <c r="M181" s="178">
        <v>2400</v>
      </c>
      <c r="P181" s="178">
        <v>2495.8609490903345</v>
      </c>
      <c r="AH181" s="175"/>
      <c r="AI181" s="175"/>
    </row>
    <row r="182" spans="1:35" s="178" customFormat="1" x14ac:dyDescent="0.25">
      <c r="A182" s="176">
        <v>4</v>
      </c>
      <c r="B182" s="176"/>
      <c r="C182" s="176">
        <f t="shared" si="11"/>
        <v>11</v>
      </c>
      <c r="D182" s="176">
        <f t="shared" si="12"/>
        <v>1</v>
      </c>
      <c r="E182" s="176">
        <f t="shared" si="13"/>
        <v>15</v>
      </c>
      <c r="F182" s="176" t="str">
        <f t="shared" si="14"/>
        <v>pm</v>
      </c>
      <c r="G182" s="176" t="s">
        <v>657</v>
      </c>
      <c r="H182" s="176" t="s">
        <v>355</v>
      </c>
      <c r="I182" s="176" t="s">
        <v>658</v>
      </c>
      <c r="J182" s="177" t="s">
        <v>22</v>
      </c>
      <c r="K182" s="178">
        <f t="shared" si="15"/>
        <v>2419.8800474739714</v>
      </c>
      <c r="L182" s="176"/>
      <c r="M182" s="178">
        <v>2400</v>
      </c>
      <c r="P182" s="178">
        <v>2419.8800474739714</v>
      </c>
      <c r="AH182" s="175"/>
      <c r="AI182" s="175"/>
    </row>
    <row r="183" spans="1:35" s="178" customFormat="1" x14ac:dyDescent="0.25">
      <c r="A183" s="176">
        <v>3</v>
      </c>
      <c r="B183" s="176"/>
      <c r="C183" s="176">
        <f t="shared" si="11"/>
        <v>12</v>
      </c>
      <c r="D183" s="176">
        <f t="shared" si="12"/>
        <v>1</v>
      </c>
      <c r="E183" s="176">
        <f t="shared" si="13"/>
        <v>15</v>
      </c>
      <c r="F183" s="176" t="str">
        <f t="shared" si="14"/>
        <v>pm</v>
      </c>
      <c r="G183" s="176" t="s">
        <v>659</v>
      </c>
      <c r="H183" s="176" t="s">
        <v>355</v>
      </c>
      <c r="I183" s="176" t="s">
        <v>660</v>
      </c>
      <c r="J183" s="177" t="s">
        <v>22</v>
      </c>
      <c r="K183" s="178">
        <f t="shared" si="15"/>
        <v>2400</v>
      </c>
      <c r="L183" s="176"/>
      <c r="M183" s="178">
        <v>2400</v>
      </c>
      <c r="AH183" s="175"/>
      <c r="AI183" s="175"/>
    </row>
    <row r="184" spans="1:35" s="178" customFormat="1" x14ac:dyDescent="0.25">
      <c r="A184" s="176">
        <v>5</v>
      </c>
      <c r="B184" s="176"/>
      <c r="C184" s="176">
        <f t="shared" si="11"/>
        <v>13</v>
      </c>
      <c r="D184" s="176">
        <f t="shared" si="12"/>
        <v>1</v>
      </c>
      <c r="E184" s="176">
        <f t="shared" si="13"/>
        <v>15</v>
      </c>
      <c r="F184" s="176" t="str">
        <f t="shared" si="14"/>
        <v>pm</v>
      </c>
      <c r="G184" s="176" t="s">
        <v>661</v>
      </c>
      <c r="H184" s="176" t="s">
        <v>401</v>
      </c>
      <c r="I184" s="176" t="s">
        <v>662</v>
      </c>
      <c r="J184" s="177" t="s">
        <v>22</v>
      </c>
      <c r="K184" s="178">
        <f t="shared" si="15"/>
        <v>2537.3268804369459</v>
      </c>
      <c r="L184" s="176"/>
      <c r="M184" s="178">
        <v>2400</v>
      </c>
      <c r="P184" s="178">
        <v>2490.4866358168492</v>
      </c>
      <c r="S184" s="178">
        <v>2537.3268804369459</v>
      </c>
      <c r="AH184" s="175"/>
      <c r="AI184" s="175"/>
    </row>
    <row r="185" spans="1:35" s="178" customFormat="1" x14ac:dyDescent="0.25">
      <c r="A185" s="176">
        <v>6</v>
      </c>
      <c r="B185" s="176"/>
      <c r="C185" s="176">
        <f t="shared" si="11"/>
        <v>14</v>
      </c>
      <c r="D185" s="176">
        <f t="shared" si="12"/>
        <v>1</v>
      </c>
      <c r="E185" s="176">
        <f t="shared" si="13"/>
        <v>15</v>
      </c>
      <c r="F185" s="176" t="str">
        <f t="shared" si="14"/>
        <v>pm</v>
      </c>
      <c r="G185" s="176" t="s">
        <v>663</v>
      </c>
      <c r="H185" s="176" t="s">
        <v>402</v>
      </c>
      <c r="I185" s="176" t="s">
        <v>664</v>
      </c>
      <c r="J185" s="177" t="s">
        <v>22</v>
      </c>
      <c r="K185" s="178">
        <f t="shared" si="15"/>
        <v>2360.1998147700406</v>
      </c>
      <c r="L185" s="176"/>
      <c r="M185" s="178">
        <v>2400</v>
      </c>
      <c r="Q185" s="178">
        <v>2298.3524972797049</v>
      </c>
      <c r="S185" s="178">
        <v>2360.1998147700406</v>
      </c>
      <c r="AH185" s="175"/>
      <c r="AI185" s="175"/>
    </row>
    <row r="186" spans="1:35" s="178" customFormat="1" x14ac:dyDescent="0.25">
      <c r="A186" s="176">
        <v>2</v>
      </c>
      <c r="B186" s="176"/>
      <c r="C186" s="176">
        <f t="shared" si="11"/>
        <v>15</v>
      </c>
      <c r="D186" s="176">
        <f t="shared" si="12"/>
        <v>1</v>
      </c>
      <c r="E186" s="176">
        <f t="shared" si="13"/>
        <v>15</v>
      </c>
      <c r="F186" s="176" t="str">
        <f t="shared" si="14"/>
        <v>pm</v>
      </c>
      <c r="G186" s="176" t="s">
        <v>665</v>
      </c>
      <c r="H186" s="176" t="s">
        <v>358</v>
      </c>
      <c r="I186" s="176" t="s">
        <v>666</v>
      </c>
      <c r="J186" s="177" t="s">
        <v>22</v>
      </c>
      <c r="K186" s="178">
        <f t="shared" si="15"/>
        <v>2505.020862099786</v>
      </c>
      <c r="L186" s="176"/>
      <c r="M186" s="178">
        <v>2400</v>
      </c>
      <c r="P186" s="178">
        <v>2505.020862099786</v>
      </c>
      <c r="AH186" s="175"/>
      <c r="AI186" s="175"/>
    </row>
    <row r="187" spans="1:35" s="178" customFormat="1" x14ac:dyDescent="0.25">
      <c r="A187" s="176">
        <v>1</v>
      </c>
      <c r="B187" s="176"/>
      <c r="C187" s="176">
        <f t="shared" si="11"/>
        <v>16</v>
      </c>
      <c r="D187" s="176">
        <f t="shared" si="12"/>
        <v>1</v>
      </c>
      <c r="E187" s="176">
        <f t="shared" si="13"/>
        <v>15</v>
      </c>
      <c r="F187" s="176" t="str">
        <f t="shared" si="14"/>
        <v>pmx</v>
      </c>
      <c r="G187" s="176" t="s">
        <v>667</v>
      </c>
      <c r="H187" s="176" t="s">
        <v>410</v>
      </c>
      <c r="I187" s="176" t="s">
        <v>668</v>
      </c>
      <c r="J187" s="177" t="s">
        <v>22</v>
      </c>
      <c r="K187" s="178">
        <f t="shared" si="15"/>
        <v>2400</v>
      </c>
      <c r="L187" s="176"/>
      <c r="M187" s="178">
        <v>2400</v>
      </c>
      <c r="AH187" s="175"/>
      <c r="AI187" s="175"/>
    </row>
    <row r="188" spans="1:35" s="178" customFormat="1" x14ac:dyDescent="0.25">
      <c r="A188" s="176">
        <v>5</v>
      </c>
      <c r="B188" s="176"/>
      <c r="C188" s="176">
        <f t="shared" si="11"/>
        <v>17</v>
      </c>
      <c r="D188" s="176">
        <f t="shared" si="12"/>
        <v>1</v>
      </c>
      <c r="E188" s="176">
        <f t="shared" si="13"/>
        <v>15</v>
      </c>
      <c r="F188" s="176" t="str">
        <f t="shared" si="14"/>
        <v>pm</v>
      </c>
      <c r="G188" s="176" t="s">
        <v>669</v>
      </c>
      <c r="H188" s="176" t="s">
        <v>412</v>
      </c>
      <c r="I188" s="176" t="s">
        <v>670</v>
      </c>
      <c r="J188" s="177" t="s">
        <v>22</v>
      </c>
      <c r="K188" s="178">
        <f t="shared" si="15"/>
        <v>2532.8046893748628</v>
      </c>
      <c r="L188" s="176"/>
      <c r="M188" s="178">
        <v>2400</v>
      </c>
      <c r="P188" s="178">
        <v>2532.8046893748628</v>
      </c>
      <c r="AH188" s="175"/>
      <c r="AI188" s="175"/>
    </row>
    <row r="189" spans="1:35" s="178" customFormat="1" x14ac:dyDescent="0.25">
      <c r="A189" s="176">
        <v>4</v>
      </c>
      <c r="B189" s="176"/>
      <c r="C189" s="176">
        <f t="shared" si="11"/>
        <v>18</v>
      </c>
      <c r="D189" s="176">
        <f t="shared" si="12"/>
        <v>1</v>
      </c>
      <c r="E189" s="176">
        <f t="shared" si="13"/>
        <v>15</v>
      </c>
      <c r="F189" s="176" t="str">
        <f t="shared" si="14"/>
        <v>pm</v>
      </c>
      <c r="G189" s="176" t="s">
        <v>671</v>
      </c>
      <c r="H189" s="176" t="s">
        <v>412</v>
      </c>
      <c r="I189" s="176" t="s">
        <v>672</v>
      </c>
      <c r="J189" s="177" t="s">
        <v>22</v>
      </c>
      <c r="K189" s="178">
        <f t="shared" si="15"/>
        <v>2400</v>
      </c>
      <c r="L189" s="176"/>
      <c r="M189" s="178">
        <v>2400</v>
      </c>
      <c r="AH189" s="175"/>
      <c r="AI189" s="175"/>
    </row>
    <row r="190" spans="1:35" s="178" customFormat="1" x14ac:dyDescent="0.25">
      <c r="A190" s="176">
        <v>4</v>
      </c>
      <c r="B190" s="176"/>
      <c r="C190" s="176">
        <f t="shared" si="11"/>
        <v>19</v>
      </c>
      <c r="D190" s="176">
        <f t="shared" si="12"/>
        <v>1</v>
      </c>
      <c r="E190" s="176">
        <f t="shared" si="13"/>
        <v>15</v>
      </c>
      <c r="F190" s="176" t="str">
        <f t="shared" si="14"/>
        <v>pm</v>
      </c>
      <c r="G190" s="176" t="s">
        <v>673</v>
      </c>
      <c r="H190" s="176" t="s">
        <v>412</v>
      </c>
      <c r="I190" s="176" t="s">
        <v>674</v>
      </c>
      <c r="J190" s="177" t="s">
        <v>22</v>
      </c>
      <c r="K190" s="178">
        <f t="shared" si="15"/>
        <v>2400</v>
      </c>
      <c r="L190" s="176"/>
      <c r="M190" s="178">
        <v>2400</v>
      </c>
      <c r="AH190" s="175"/>
      <c r="AI190" s="175"/>
    </row>
    <row r="191" spans="1:35" s="178" customFormat="1" x14ac:dyDescent="0.25">
      <c r="A191" s="176">
        <v>4</v>
      </c>
      <c r="B191" s="176"/>
      <c r="C191" s="176">
        <f t="shared" si="11"/>
        <v>20</v>
      </c>
      <c r="D191" s="176">
        <f t="shared" si="12"/>
        <v>1</v>
      </c>
      <c r="E191" s="176">
        <f t="shared" si="13"/>
        <v>15</v>
      </c>
      <c r="F191" s="176" t="str">
        <f t="shared" si="14"/>
        <v>pm</v>
      </c>
      <c r="G191" s="176" t="s">
        <v>675</v>
      </c>
      <c r="H191" s="176" t="s">
        <v>365</v>
      </c>
      <c r="I191" s="176" t="s">
        <v>676</v>
      </c>
      <c r="J191" s="177" t="s">
        <v>22</v>
      </c>
      <c r="K191" s="178">
        <f t="shared" si="15"/>
        <v>2400</v>
      </c>
      <c r="L191" s="176"/>
      <c r="M191" s="178">
        <v>2400</v>
      </c>
      <c r="AH191" s="175"/>
      <c r="AI191" s="175"/>
    </row>
    <row r="192" spans="1:35" s="178" customFormat="1" x14ac:dyDescent="0.25">
      <c r="A192" s="176">
        <v>7</v>
      </c>
      <c r="B192" s="176"/>
      <c r="C192" s="176">
        <f t="shared" si="11"/>
        <v>21</v>
      </c>
      <c r="D192" s="176">
        <f t="shared" si="12"/>
        <v>1</v>
      </c>
      <c r="E192" s="176">
        <f t="shared" si="13"/>
        <v>15</v>
      </c>
      <c r="F192" s="176" t="str">
        <f t="shared" si="14"/>
        <v>pm</v>
      </c>
      <c r="G192" s="176" t="s">
        <v>677</v>
      </c>
      <c r="H192" s="176" t="s">
        <v>368</v>
      </c>
      <c r="I192" s="176" t="s">
        <v>678</v>
      </c>
      <c r="J192" s="177" t="s">
        <v>22</v>
      </c>
      <c r="K192" s="178">
        <f t="shared" si="15"/>
        <v>2390.4386500342198</v>
      </c>
      <c r="L192" s="176"/>
      <c r="M192" s="178">
        <v>2400</v>
      </c>
      <c r="P192" s="178">
        <v>2433.8983579853784</v>
      </c>
      <c r="Q192" s="178">
        <v>2431.8105354897539</v>
      </c>
      <c r="S192" s="178">
        <v>2390.4386500342198</v>
      </c>
      <c r="AH192" s="175"/>
      <c r="AI192" s="175"/>
    </row>
    <row r="193" spans="1:35" s="178" customFormat="1" x14ac:dyDescent="0.25">
      <c r="A193" s="176">
        <v>2</v>
      </c>
      <c r="B193" s="176"/>
      <c r="C193" s="176">
        <f t="shared" si="11"/>
        <v>22</v>
      </c>
      <c r="D193" s="176">
        <f t="shared" si="12"/>
        <v>1</v>
      </c>
      <c r="E193" s="176">
        <f t="shared" si="13"/>
        <v>15</v>
      </c>
      <c r="F193" s="176" t="str">
        <f t="shared" si="14"/>
        <v>pm</v>
      </c>
      <c r="G193" s="176" t="s">
        <v>679</v>
      </c>
      <c r="H193" s="176" t="s">
        <v>387</v>
      </c>
      <c r="I193" s="176" t="s">
        <v>680</v>
      </c>
      <c r="J193" s="177" t="s">
        <v>22</v>
      </c>
      <c r="K193" s="178">
        <f t="shared" si="15"/>
        <v>2510.3988721585351</v>
      </c>
      <c r="L193" s="176"/>
      <c r="M193" s="178">
        <v>2400</v>
      </c>
      <c r="S193" s="178">
        <v>2510.3988721585351</v>
      </c>
      <c r="AH193" s="175"/>
      <c r="AI193" s="175"/>
    </row>
    <row r="194" spans="1:35" s="178" customFormat="1" x14ac:dyDescent="0.25">
      <c r="A194" s="176">
        <v>2</v>
      </c>
      <c r="B194" s="176"/>
      <c r="C194" s="176">
        <f t="shared" ref="C194:C257" si="16">IF(E194=E193,C193+1,1)</f>
        <v>23</v>
      </c>
      <c r="D194" s="176">
        <f t="shared" ref="D194:D257" si="17">IF(M194=M193,D193,C194)</f>
        <v>1</v>
      </c>
      <c r="E194" s="176">
        <f t="shared" ref="E194:E257" si="18">10+VALUE(RIGHT(LEFT(G194,3),1))</f>
        <v>15</v>
      </c>
      <c r="F194" s="176" t="str">
        <f t="shared" ref="F194:F257" si="19">RIGHT(G194,2) &amp; IF(A194&lt;2,"x","")</f>
        <v>pm</v>
      </c>
      <c r="G194" s="176" t="s">
        <v>681</v>
      </c>
      <c r="H194" s="176" t="s">
        <v>387</v>
      </c>
      <c r="I194" s="176" t="s">
        <v>682</v>
      </c>
      <c r="J194" s="177" t="s">
        <v>22</v>
      </c>
      <c r="K194" s="178">
        <f t="shared" ref="K194:K257" si="20">LOOKUP(1E+100,M194:AC194)</f>
        <v>2373.4548553972368</v>
      </c>
      <c r="L194" s="176"/>
      <c r="M194" s="178">
        <v>2400</v>
      </c>
      <c r="S194" s="178">
        <v>2373.4548553972368</v>
      </c>
      <c r="AH194" s="175"/>
      <c r="AI194" s="175"/>
    </row>
    <row r="195" spans="1:35" s="178" customFormat="1" x14ac:dyDescent="0.25">
      <c r="A195" s="176">
        <v>2</v>
      </c>
      <c r="B195" s="176"/>
      <c r="C195" s="176">
        <f t="shared" si="16"/>
        <v>24</v>
      </c>
      <c r="D195" s="176">
        <f t="shared" si="17"/>
        <v>1</v>
      </c>
      <c r="E195" s="176">
        <f t="shared" si="18"/>
        <v>15</v>
      </c>
      <c r="F195" s="176" t="str">
        <f t="shared" si="19"/>
        <v>pm</v>
      </c>
      <c r="G195" s="176" t="s">
        <v>683</v>
      </c>
      <c r="H195" s="176" t="s">
        <v>454</v>
      </c>
      <c r="I195" s="176" t="s">
        <v>684</v>
      </c>
      <c r="J195" s="177" t="s">
        <v>22</v>
      </c>
      <c r="K195" s="178">
        <f t="shared" si="20"/>
        <v>2358.6895672074957</v>
      </c>
      <c r="L195" s="176"/>
      <c r="M195" s="178">
        <v>2400</v>
      </c>
      <c r="P195" s="178">
        <v>2358.6895672074957</v>
      </c>
      <c r="AH195" s="175"/>
      <c r="AI195" s="175"/>
    </row>
    <row r="196" spans="1:35" s="178" customFormat="1" x14ac:dyDescent="0.25">
      <c r="A196" s="176">
        <v>4</v>
      </c>
      <c r="B196" s="176"/>
      <c r="C196" s="176">
        <f t="shared" si="16"/>
        <v>25</v>
      </c>
      <c r="D196" s="176">
        <f t="shared" si="17"/>
        <v>1</v>
      </c>
      <c r="E196" s="176">
        <f t="shared" si="18"/>
        <v>15</v>
      </c>
      <c r="F196" s="176" t="str">
        <f t="shared" si="19"/>
        <v>pm</v>
      </c>
      <c r="G196" s="176" t="s">
        <v>685</v>
      </c>
      <c r="H196" s="176" t="s">
        <v>378</v>
      </c>
      <c r="I196" s="176" t="s">
        <v>686</v>
      </c>
      <c r="J196" s="177" t="s">
        <v>22</v>
      </c>
      <c r="K196" s="178">
        <f t="shared" si="20"/>
        <v>2478.3685552215939</v>
      </c>
      <c r="L196" s="176"/>
      <c r="M196" s="178">
        <v>2400</v>
      </c>
      <c r="P196" s="178">
        <v>2433.9655474743449</v>
      </c>
      <c r="S196" s="178">
        <v>2478.3685552215939</v>
      </c>
      <c r="AH196" s="175"/>
      <c r="AI196" s="175"/>
    </row>
    <row r="197" spans="1:35" s="178" customFormat="1" x14ac:dyDescent="0.25">
      <c r="A197" s="176">
        <v>5</v>
      </c>
      <c r="B197" s="176"/>
      <c r="C197" s="176">
        <f t="shared" si="16"/>
        <v>26</v>
      </c>
      <c r="D197" s="176">
        <f t="shared" si="17"/>
        <v>1</v>
      </c>
      <c r="E197" s="176">
        <f t="shared" si="18"/>
        <v>15</v>
      </c>
      <c r="F197" s="176" t="str">
        <f t="shared" si="19"/>
        <v>pm</v>
      </c>
      <c r="G197" s="176" t="s">
        <v>687</v>
      </c>
      <c r="H197" s="176" t="s">
        <v>392</v>
      </c>
      <c r="I197" s="176" t="s">
        <v>688</v>
      </c>
      <c r="J197" s="177" t="s">
        <v>22</v>
      </c>
      <c r="K197" s="178">
        <f t="shared" si="20"/>
        <v>2498.4629299605249</v>
      </c>
      <c r="L197" s="176"/>
      <c r="M197" s="178">
        <v>2400</v>
      </c>
      <c r="S197" s="178">
        <v>2498.4629299605249</v>
      </c>
      <c r="AH197" s="175"/>
      <c r="AI197" s="175"/>
    </row>
    <row r="198" spans="1:35" s="178" customFormat="1" x14ac:dyDescent="0.25">
      <c r="A198" s="176">
        <v>5</v>
      </c>
      <c r="B198" s="176"/>
      <c r="C198" s="176">
        <f t="shared" si="16"/>
        <v>27</v>
      </c>
      <c r="D198" s="176">
        <f t="shared" si="17"/>
        <v>1</v>
      </c>
      <c r="E198" s="176">
        <f t="shared" si="18"/>
        <v>15</v>
      </c>
      <c r="F198" s="176" t="str">
        <f t="shared" si="19"/>
        <v>pm</v>
      </c>
      <c r="G198" s="176" t="s">
        <v>689</v>
      </c>
      <c r="H198" s="176" t="s">
        <v>392</v>
      </c>
      <c r="I198" s="176" t="s">
        <v>690</v>
      </c>
      <c r="J198" s="177" t="s">
        <v>22</v>
      </c>
      <c r="K198" s="178">
        <f t="shared" si="20"/>
        <v>2304.2233246789406</v>
      </c>
      <c r="L198" s="176"/>
      <c r="M198" s="178">
        <v>2400</v>
      </c>
      <c r="S198" s="178">
        <v>2304.2233246789406</v>
      </c>
      <c r="AH198" s="175"/>
      <c r="AI198" s="175"/>
    </row>
    <row r="199" spans="1:35" s="178" customFormat="1" x14ac:dyDescent="0.25">
      <c r="A199" s="176"/>
      <c r="B199" s="176"/>
      <c r="C199" s="176">
        <f t="shared" si="16"/>
        <v>28</v>
      </c>
      <c r="D199" s="176">
        <f t="shared" si="17"/>
        <v>1</v>
      </c>
      <c r="E199" s="176">
        <f t="shared" si="18"/>
        <v>15</v>
      </c>
      <c r="F199" s="176" t="str">
        <f t="shared" si="19"/>
        <v>crx</v>
      </c>
      <c r="G199" s="176" t="s">
        <v>691</v>
      </c>
      <c r="H199" s="176"/>
      <c r="I199" s="176" t="s">
        <v>692</v>
      </c>
      <c r="J199" s="177" t="s">
        <v>22</v>
      </c>
      <c r="K199" s="178">
        <f t="shared" si="20"/>
        <v>2425.9832095434467</v>
      </c>
      <c r="L199" s="176"/>
      <c r="M199" s="178">
        <v>2400</v>
      </c>
      <c r="O199" s="175"/>
      <c r="P199" s="175">
        <v>2425.9832095434467</v>
      </c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H199" s="175"/>
      <c r="AI199" s="175"/>
    </row>
    <row r="200" spans="1:35" s="178" customFormat="1" x14ac:dyDescent="0.25">
      <c r="A200" s="176">
        <v>3</v>
      </c>
      <c r="B200" s="176"/>
      <c r="C200" s="176">
        <f t="shared" si="16"/>
        <v>29</v>
      </c>
      <c r="D200" s="176">
        <f t="shared" si="17"/>
        <v>1</v>
      </c>
      <c r="E200" s="176">
        <f t="shared" si="18"/>
        <v>15</v>
      </c>
      <c r="F200" s="176" t="str">
        <f t="shared" si="19"/>
        <v>pm</v>
      </c>
      <c r="G200" s="176" t="s">
        <v>693</v>
      </c>
      <c r="H200" s="176" t="s">
        <v>694</v>
      </c>
      <c r="I200" s="176" t="s">
        <v>695</v>
      </c>
      <c r="J200" s="177" t="s">
        <v>22</v>
      </c>
      <c r="K200" s="178">
        <f t="shared" si="20"/>
        <v>2333.7938394280536</v>
      </c>
      <c r="L200" s="176"/>
      <c r="M200" s="178">
        <v>2400</v>
      </c>
      <c r="P200" s="178">
        <v>2333.7938394280536</v>
      </c>
      <c r="AH200" s="175"/>
      <c r="AI200" s="175"/>
    </row>
    <row r="201" spans="1:35" s="178" customFormat="1" x14ac:dyDescent="0.25">
      <c r="A201" s="176">
        <v>6</v>
      </c>
      <c r="B201" s="176"/>
      <c r="C201" s="176">
        <f t="shared" si="16"/>
        <v>30</v>
      </c>
      <c r="D201" s="176">
        <f t="shared" si="17"/>
        <v>30</v>
      </c>
      <c r="E201" s="176">
        <f t="shared" si="18"/>
        <v>15</v>
      </c>
      <c r="F201" s="176" t="str">
        <f t="shared" si="19"/>
        <v>pm</v>
      </c>
      <c r="G201" s="176" t="s">
        <v>696</v>
      </c>
      <c r="H201" s="176" t="s">
        <v>401</v>
      </c>
      <c r="I201" s="176" t="s">
        <v>697</v>
      </c>
      <c r="J201" s="177" t="s">
        <v>22</v>
      </c>
      <c r="K201" s="178">
        <f t="shared" si="20"/>
        <v>2266.0282548789673</v>
      </c>
      <c r="L201" s="176"/>
      <c r="M201" s="178">
        <v>2333.3333333333335</v>
      </c>
      <c r="P201" s="178">
        <v>2254.874844323052</v>
      </c>
      <c r="R201" s="178">
        <v>2271.1608850477701</v>
      </c>
      <c r="S201" s="178">
        <v>2266.0282548789673</v>
      </c>
      <c r="AH201" s="175"/>
      <c r="AI201" s="175"/>
    </row>
    <row r="202" spans="1:35" s="178" customFormat="1" x14ac:dyDescent="0.25">
      <c r="A202" s="176">
        <v>2</v>
      </c>
      <c r="B202" s="176"/>
      <c r="C202" s="176">
        <f t="shared" si="16"/>
        <v>31</v>
      </c>
      <c r="D202" s="176">
        <f t="shared" si="17"/>
        <v>31</v>
      </c>
      <c r="E202" s="176">
        <f t="shared" si="18"/>
        <v>15</v>
      </c>
      <c r="F202" s="176" t="str">
        <f t="shared" si="19"/>
        <v>pm</v>
      </c>
      <c r="G202" s="176" t="s">
        <v>335</v>
      </c>
      <c r="H202" s="176" t="s">
        <v>375</v>
      </c>
      <c r="I202" s="176" t="s">
        <v>334</v>
      </c>
      <c r="J202" s="177" t="s">
        <v>22</v>
      </c>
      <c r="K202" s="178">
        <f t="shared" si="20"/>
        <v>2200</v>
      </c>
      <c r="L202" s="176"/>
      <c r="M202" s="178">
        <v>2200</v>
      </c>
      <c r="AH202" s="175"/>
      <c r="AI202" s="175"/>
    </row>
    <row r="203" spans="1:35" s="178" customFormat="1" x14ac:dyDescent="0.25">
      <c r="A203" s="176">
        <v>2</v>
      </c>
      <c r="B203" s="176"/>
      <c r="C203" s="176">
        <f t="shared" si="16"/>
        <v>32</v>
      </c>
      <c r="D203" s="176">
        <f t="shared" si="17"/>
        <v>31</v>
      </c>
      <c r="E203" s="176">
        <f t="shared" si="18"/>
        <v>15</v>
      </c>
      <c r="F203" s="176" t="str">
        <f t="shared" si="19"/>
        <v>pm</v>
      </c>
      <c r="G203" s="176" t="s">
        <v>309</v>
      </c>
      <c r="H203" s="176" t="s">
        <v>375</v>
      </c>
      <c r="I203" s="176" t="s">
        <v>308</v>
      </c>
      <c r="J203" s="177" t="s">
        <v>22</v>
      </c>
      <c r="K203" s="178">
        <f t="shared" si="20"/>
        <v>2200</v>
      </c>
      <c r="L203" s="176"/>
      <c r="M203" s="178">
        <v>2200</v>
      </c>
      <c r="AH203" s="175"/>
      <c r="AI203" s="175"/>
    </row>
    <row r="204" spans="1:35" s="178" customFormat="1" x14ac:dyDescent="0.25">
      <c r="A204" s="176">
        <v>2</v>
      </c>
      <c r="B204" s="176"/>
      <c r="C204" s="176">
        <f t="shared" si="16"/>
        <v>33</v>
      </c>
      <c r="D204" s="176">
        <f t="shared" si="17"/>
        <v>31</v>
      </c>
      <c r="E204" s="176">
        <f t="shared" si="18"/>
        <v>15</v>
      </c>
      <c r="F204" s="176" t="str">
        <f t="shared" si="19"/>
        <v>pm</v>
      </c>
      <c r="G204" s="176" t="s">
        <v>183</v>
      </c>
      <c r="H204" s="176" t="s">
        <v>375</v>
      </c>
      <c r="I204" s="176" t="s">
        <v>182</v>
      </c>
      <c r="J204" s="177" t="s">
        <v>22</v>
      </c>
      <c r="K204" s="178">
        <f t="shared" si="20"/>
        <v>2200</v>
      </c>
      <c r="L204" s="176"/>
      <c r="M204" s="178">
        <v>2200</v>
      </c>
      <c r="AH204" s="175"/>
      <c r="AI204" s="175"/>
    </row>
    <row r="205" spans="1:35" s="178" customFormat="1" x14ac:dyDescent="0.25">
      <c r="A205" s="176">
        <v>2</v>
      </c>
      <c r="B205" s="176"/>
      <c r="C205" s="176">
        <f t="shared" si="16"/>
        <v>34</v>
      </c>
      <c r="D205" s="176">
        <f t="shared" si="17"/>
        <v>31</v>
      </c>
      <c r="E205" s="176">
        <f t="shared" si="18"/>
        <v>15</v>
      </c>
      <c r="F205" s="176" t="str">
        <f t="shared" si="19"/>
        <v>pm</v>
      </c>
      <c r="G205" s="176" t="s">
        <v>181</v>
      </c>
      <c r="H205" s="176" t="s">
        <v>375</v>
      </c>
      <c r="I205" s="176" t="s">
        <v>180</v>
      </c>
      <c r="J205" s="177" t="s">
        <v>22</v>
      </c>
      <c r="K205" s="178">
        <f t="shared" si="20"/>
        <v>2200</v>
      </c>
      <c r="L205" s="176"/>
      <c r="M205" s="178">
        <v>2200</v>
      </c>
      <c r="AH205" s="175"/>
      <c r="AI205" s="175"/>
    </row>
    <row r="206" spans="1:35" s="178" customFormat="1" x14ac:dyDescent="0.25">
      <c r="A206" s="176">
        <v>3</v>
      </c>
      <c r="B206" s="176"/>
      <c r="C206" s="176">
        <f t="shared" si="16"/>
        <v>35</v>
      </c>
      <c r="D206" s="176">
        <f t="shared" si="17"/>
        <v>35</v>
      </c>
      <c r="E206" s="176">
        <f t="shared" si="18"/>
        <v>15</v>
      </c>
      <c r="F206" s="176" t="str">
        <f t="shared" si="19"/>
        <v>pm</v>
      </c>
      <c r="G206" s="176" t="s">
        <v>698</v>
      </c>
      <c r="H206" s="176" t="s">
        <v>612</v>
      </c>
      <c r="I206" s="176" t="s">
        <v>699</v>
      </c>
      <c r="J206" s="177" t="s">
        <v>21</v>
      </c>
      <c r="K206" s="178">
        <f t="shared" si="20"/>
        <v>2218.9901714404259</v>
      </c>
      <c r="L206" s="176"/>
      <c r="M206" s="178">
        <v>2133.3333333333335</v>
      </c>
      <c r="O206" s="175"/>
      <c r="P206" s="175">
        <v>2171.2364438273903</v>
      </c>
      <c r="Q206" s="175"/>
      <c r="R206" s="175"/>
      <c r="S206" s="175">
        <v>2218.9901714404259</v>
      </c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175"/>
      <c r="AI206" s="175"/>
    </row>
    <row r="207" spans="1:35" s="178" customFormat="1" x14ac:dyDescent="0.25">
      <c r="A207" s="176">
        <v>7</v>
      </c>
      <c r="B207" s="176"/>
      <c r="C207" s="176">
        <f t="shared" si="16"/>
        <v>36</v>
      </c>
      <c r="D207" s="176">
        <f t="shared" si="17"/>
        <v>36</v>
      </c>
      <c r="E207" s="176">
        <f t="shared" si="18"/>
        <v>15</v>
      </c>
      <c r="F207" s="176" t="str">
        <f t="shared" si="19"/>
        <v>pm</v>
      </c>
      <c r="G207" s="176" t="s">
        <v>179</v>
      </c>
      <c r="H207" s="176" t="s">
        <v>518</v>
      </c>
      <c r="I207" s="176" t="s">
        <v>178</v>
      </c>
      <c r="J207" s="177" t="s">
        <v>21</v>
      </c>
      <c r="K207" s="178">
        <f t="shared" si="20"/>
        <v>2203.6952157273317</v>
      </c>
      <c r="L207" s="176"/>
      <c r="M207" s="178">
        <v>2114.2857142857142</v>
      </c>
      <c r="P207" s="178">
        <v>2102.3245224321704</v>
      </c>
      <c r="Q207" s="178">
        <v>2203.6952157273317</v>
      </c>
      <c r="AH207" s="175"/>
      <c r="AI207" s="175"/>
    </row>
    <row r="208" spans="1:35" s="178" customFormat="1" x14ac:dyDescent="0.25">
      <c r="A208" s="176">
        <v>4</v>
      </c>
      <c r="B208" s="176"/>
      <c r="C208" s="176">
        <f t="shared" si="16"/>
        <v>37</v>
      </c>
      <c r="D208" s="176">
        <f t="shared" si="17"/>
        <v>37</v>
      </c>
      <c r="E208" s="176">
        <f t="shared" si="18"/>
        <v>15</v>
      </c>
      <c r="F208" s="176" t="str">
        <f t="shared" si="19"/>
        <v>pm</v>
      </c>
      <c r="G208" s="176" t="s">
        <v>185</v>
      </c>
      <c r="H208" s="176" t="s">
        <v>700</v>
      </c>
      <c r="I208" s="176" t="s">
        <v>184</v>
      </c>
      <c r="J208" s="177" t="s">
        <v>21</v>
      </c>
      <c r="K208" s="178">
        <f t="shared" si="20"/>
        <v>2138.2377521954518</v>
      </c>
      <c r="L208" s="176"/>
      <c r="M208" s="178">
        <v>2000</v>
      </c>
      <c r="P208" s="178">
        <v>2074.6603823800419</v>
      </c>
      <c r="R208" s="178">
        <v>2138.2377521954518</v>
      </c>
      <c r="AH208" s="175"/>
      <c r="AI208" s="175"/>
    </row>
    <row r="209" spans="1:35" s="178" customFormat="1" x14ac:dyDescent="0.25">
      <c r="A209" s="176">
        <v>6</v>
      </c>
      <c r="B209" s="176"/>
      <c r="C209" s="176">
        <f t="shared" si="16"/>
        <v>38</v>
      </c>
      <c r="D209" s="176">
        <f t="shared" si="17"/>
        <v>37</v>
      </c>
      <c r="E209" s="176">
        <f t="shared" si="18"/>
        <v>15</v>
      </c>
      <c r="F209" s="176" t="str">
        <f t="shared" si="19"/>
        <v>pm</v>
      </c>
      <c r="G209" s="176" t="s">
        <v>290</v>
      </c>
      <c r="H209" s="176" t="s">
        <v>701</v>
      </c>
      <c r="I209" s="176" t="s">
        <v>289</v>
      </c>
      <c r="J209" s="177" t="s">
        <v>21</v>
      </c>
      <c r="K209" s="178">
        <f t="shared" si="20"/>
        <v>1957.3259502278074</v>
      </c>
      <c r="L209" s="176"/>
      <c r="M209" s="178">
        <v>2000</v>
      </c>
      <c r="O209" s="175"/>
      <c r="P209" s="175">
        <v>1934.8260348820634</v>
      </c>
      <c r="Q209" s="175"/>
      <c r="R209" s="175">
        <v>1957.3259502278074</v>
      </c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  <c r="AG209" s="175"/>
      <c r="AH209" s="175"/>
      <c r="AI209" s="175"/>
    </row>
    <row r="210" spans="1:35" s="178" customFormat="1" x14ac:dyDescent="0.25">
      <c r="A210" s="176">
        <v>3</v>
      </c>
      <c r="B210" s="176"/>
      <c r="C210" s="176">
        <f t="shared" si="16"/>
        <v>39</v>
      </c>
      <c r="D210" s="176">
        <f t="shared" si="17"/>
        <v>37</v>
      </c>
      <c r="E210" s="176">
        <f t="shared" si="18"/>
        <v>15</v>
      </c>
      <c r="F210" s="176" t="str">
        <f t="shared" si="19"/>
        <v>pm</v>
      </c>
      <c r="G210" s="176" t="s">
        <v>702</v>
      </c>
      <c r="H210" s="176" t="s">
        <v>355</v>
      </c>
      <c r="I210" s="176" t="s">
        <v>703</v>
      </c>
      <c r="J210" s="177" t="s">
        <v>21</v>
      </c>
      <c r="K210" s="178">
        <f t="shared" si="20"/>
        <v>1999.324379837778</v>
      </c>
      <c r="L210" s="176"/>
      <c r="M210" s="178">
        <v>2000</v>
      </c>
      <c r="P210" s="178">
        <v>1999.324379837778</v>
      </c>
      <c r="AH210" s="175"/>
      <c r="AI210" s="175"/>
    </row>
    <row r="211" spans="1:35" s="178" customFormat="1" x14ac:dyDescent="0.25">
      <c r="A211" s="176">
        <v>6</v>
      </c>
      <c r="B211" s="176"/>
      <c r="C211" s="176">
        <f t="shared" si="16"/>
        <v>40</v>
      </c>
      <c r="D211" s="176">
        <f t="shared" si="17"/>
        <v>37</v>
      </c>
      <c r="E211" s="176">
        <f t="shared" si="18"/>
        <v>15</v>
      </c>
      <c r="F211" s="176" t="str">
        <f t="shared" si="19"/>
        <v>pm</v>
      </c>
      <c r="G211" s="176" t="s">
        <v>294</v>
      </c>
      <c r="H211" s="176" t="s">
        <v>402</v>
      </c>
      <c r="I211" s="176" t="s">
        <v>293</v>
      </c>
      <c r="J211" s="177" t="s">
        <v>21</v>
      </c>
      <c r="K211" s="178">
        <f t="shared" si="20"/>
        <v>1923.1880111835867</v>
      </c>
      <c r="L211" s="176"/>
      <c r="M211" s="178">
        <v>2000</v>
      </c>
      <c r="R211" s="178">
        <v>1923.1880111835867</v>
      </c>
      <c r="AH211" s="175"/>
      <c r="AI211" s="175"/>
    </row>
    <row r="212" spans="1:35" s="178" customFormat="1" x14ac:dyDescent="0.25">
      <c r="A212" s="176">
        <v>3</v>
      </c>
      <c r="B212" s="176"/>
      <c r="C212" s="176">
        <f t="shared" si="16"/>
        <v>41</v>
      </c>
      <c r="D212" s="176">
        <f t="shared" si="17"/>
        <v>37</v>
      </c>
      <c r="E212" s="176">
        <f t="shared" si="18"/>
        <v>15</v>
      </c>
      <c r="F212" s="176" t="str">
        <f t="shared" si="19"/>
        <v>pm</v>
      </c>
      <c r="G212" s="176" t="s">
        <v>704</v>
      </c>
      <c r="H212" s="176" t="s">
        <v>406</v>
      </c>
      <c r="I212" s="176" t="s">
        <v>705</v>
      </c>
      <c r="J212" s="177" t="s">
        <v>21</v>
      </c>
      <c r="K212" s="178">
        <f t="shared" si="20"/>
        <v>2091.2559564984886</v>
      </c>
      <c r="L212" s="176"/>
      <c r="M212" s="178">
        <v>2000</v>
      </c>
      <c r="P212" s="178">
        <v>2091.2559564984886</v>
      </c>
      <c r="AH212" s="175"/>
      <c r="AI212" s="175"/>
    </row>
    <row r="213" spans="1:35" s="178" customFormat="1" x14ac:dyDescent="0.25">
      <c r="A213" s="176">
        <v>7</v>
      </c>
      <c r="B213" s="176"/>
      <c r="C213" s="176">
        <f t="shared" si="16"/>
        <v>42</v>
      </c>
      <c r="D213" s="176">
        <f t="shared" si="17"/>
        <v>37</v>
      </c>
      <c r="E213" s="176">
        <f t="shared" si="18"/>
        <v>15</v>
      </c>
      <c r="F213" s="176" t="str">
        <f t="shared" si="19"/>
        <v>pm</v>
      </c>
      <c r="G213" s="176" t="s">
        <v>194</v>
      </c>
      <c r="H213" s="176" t="s">
        <v>706</v>
      </c>
      <c r="I213" s="176" t="s">
        <v>193</v>
      </c>
      <c r="J213" s="177" t="s">
        <v>21</v>
      </c>
      <c r="K213" s="178">
        <f t="shared" si="20"/>
        <v>1825.171036313171</v>
      </c>
      <c r="L213" s="176"/>
      <c r="M213" s="178">
        <v>2000</v>
      </c>
      <c r="P213" s="178">
        <v>1902.9009970891748</v>
      </c>
      <c r="R213" s="178">
        <v>1825.171036313171</v>
      </c>
      <c r="AH213" s="175"/>
      <c r="AI213" s="175"/>
    </row>
    <row r="214" spans="1:35" s="178" customFormat="1" x14ac:dyDescent="0.25">
      <c r="A214" s="176">
        <v>4</v>
      </c>
      <c r="B214" s="176"/>
      <c r="C214" s="176">
        <f t="shared" si="16"/>
        <v>43</v>
      </c>
      <c r="D214" s="176">
        <f t="shared" si="17"/>
        <v>37</v>
      </c>
      <c r="E214" s="176">
        <f t="shared" si="18"/>
        <v>15</v>
      </c>
      <c r="F214" s="176" t="str">
        <f t="shared" si="19"/>
        <v>pm</v>
      </c>
      <c r="G214" s="176" t="s">
        <v>296</v>
      </c>
      <c r="H214" s="176" t="s">
        <v>707</v>
      </c>
      <c r="I214" s="176" t="s">
        <v>295</v>
      </c>
      <c r="J214" s="177" t="s">
        <v>21</v>
      </c>
      <c r="K214" s="178">
        <f t="shared" si="20"/>
        <v>2000.3203057553364</v>
      </c>
      <c r="L214" s="176"/>
      <c r="M214" s="178">
        <v>2000</v>
      </c>
      <c r="R214" s="178">
        <v>2000.3203057553364</v>
      </c>
      <c r="AH214" s="175"/>
      <c r="AI214" s="175"/>
    </row>
    <row r="215" spans="1:35" s="178" customFormat="1" x14ac:dyDescent="0.25">
      <c r="A215" s="176">
        <v>6</v>
      </c>
      <c r="B215" s="176"/>
      <c r="C215" s="176">
        <f t="shared" si="16"/>
        <v>44</v>
      </c>
      <c r="D215" s="176">
        <f t="shared" si="17"/>
        <v>37</v>
      </c>
      <c r="E215" s="176">
        <f t="shared" si="18"/>
        <v>15</v>
      </c>
      <c r="F215" s="176" t="str">
        <f t="shared" si="19"/>
        <v>pm</v>
      </c>
      <c r="G215" s="176" t="s">
        <v>189</v>
      </c>
      <c r="H215" s="176" t="s">
        <v>368</v>
      </c>
      <c r="I215" s="176" t="s">
        <v>188</v>
      </c>
      <c r="J215" s="177" t="s">
        <v>21</v>
      </c>
      <c r="K215" s="178">
        <f t="shared" si="20"/>
        <v>1965.4518951526236</v>
      </c>
      <c r="L215" s="176"/>
      <c r="M215" s="178">
        <v>2000</v>
      </c>
      <c r="P215" s="178">
        <v>1958.3689992097629</v>
      </c>
      <c r="R215" s="178">
        <v>1965.4518951526236</v>
      </c>
      <c r="AH215" s="175"/>
      <c r="AI215" s="175"/>
    </row>
    <row r="216" spans="1:35" s="178" customFormat="1" x14ac:dyDescent="0.25">
      <c r="A216" s="176">
        <v>2</v>
      </c>
      <c r="B216" s="176"/>
      <c r="C216" s="176">
        <f t="shared" si="16"/>
        <v>45</v>
      </c>
      <c r="D216" s="176">
        <f t="shared" si="17"/>
        <v>37</v>
      </c>
      <c r="E216" s="176">
        <f t="shared" si="18"/>
        <v>15</v>
      </c>
      <c r="F216" s="176" t="str">
        <f t="shared" si="19"/>
        <v>pm</v>
      </c>
      <c r="G216" s="176" t="s">
        <v>708</v>
      </c>
      <c r="H216" s="176" t="s">
        <v>387</v>
      </c>
      <c r="I216" s="176" t="s">
        <v>709</v>
      </c>
      <c r="J216" s="177" t="s">
        <v>21</v>
      </c>
      <c r="K216" s="178">
        <f t="shared" si="20"/>
        <v>2156.7248903018326</v>
      </c>
      <c r="L216" s="176"/>
      <c r="M216" s="178">
        <v>2000</v>
      </c>
      <c r="R216" s="178">
        <v>2102.6797261517463</v>
      </c>
      <c r="S216" s="178">
        <v>2156.7248903018326</v>
      </c>
      <c r="AH216" s="175"/>
      <c r="AI216" s="175"/>
    </row>
    <row r="217" spans="1:35" s="178" customFormat="1" x14ac:dyDescent="0.25">
      <c r="A217" s="176">
        <v>3</v>
      </c>
      <c r="B217" s="176"/>
      <c r="C217" s="176">
        <f t="shared" si="16"/>
        <v>46</v>
      </c>
      <c r="D217" s="176">
        <f t="shared" si="17"/>
        <v>37</v>
      </c>
      <c r="E217" s="176">
        <f t="shared" si="18"/>
        <v>15</v>
      </c>
      <c r="F217" s="176" t="str">
        <f t="shared" si="19"/>
        <v>pm</v>
      </c>
      <c r="G217" s="176" t="s">
        <v>710</v>
      </c>
      <c r="H217" s="176" t="s">
        <v>387</v>
      </c>
      <c r="I217" s="176" t="s">
        <v>711</v>
      </c>
      <c r="J217" s="177" t="s">
        <v>21</v>
      </c>
      <c r="K217" s="178">
        <f t="shared" si="20"/>
        <v>2100.8963883194469</v>
      </c>
      <c r="L217" s="176"/>
      <c r="M217" s="178">
        <v>2000</v>
      </c>
      <c r="R217" s="178">
        <v>2029.398054141124</v>
      </c>
      <c r="S217" s="178">
        <v>2100.8963883194469</v>
      </c>
      <c r="AH217" s="175"/>
      <c r="AI217" s="175"/>
    </row>
    <row r="218" spans="1:35" s="178" customFormat="1" x14ac:dyDescent="0.25">
      <c r="A218" s="176">
        <v>3</v>
      </c>
      <c r="B218" s="176"/>
      <c r="C218" s="176">
        <f t="shared" si="16"/>
        <v>47</v>
      </c>
      <c r="D218" s="176">
        <f t="shared" si="17"/>
        <v>37</v>
      </c>
      <c r="E218" s="176">
        <f t="shared" si="18"/>
        <v>15</v>
      </c>
      <c r="F218" s="176" t="str">
        <f t="shared" si="19"/>
        <v>pm</v>
      </c>
      <c r="G218" s="176" t="s">
        <v>712</v>
      </c>
      <c r="H218" s="176" t="s">
        <v>378</v>
      </c>
      <c r="I218" s="176" t="s">
        <v>713</v>
      </c>
      <c r="J218" s="177" t="s">
        <v>21</v>
      </c>
      <c r="K218" s="178">
        <f t="shared" si="20"/>
        <v>2159.2866173179591</v>
      </c>
      <c r="L218" s="176"/>
      <c r="M218" s="178">
        <v>2000</v>
      </c>
      <c r="P218" s="178">
        <v>2084.4158112051268</v>
      </c>
      <c r="R218" s="178">
        <v>2159.2866173179591</v>
      </c>
      <c r="AH218" s="175"/>
      <c r="AI218" s="175"/>
    </row>
    <row r="219" spans="1:35" s="178" customFormat="1" x14ac:dyDescent="0.25">
      <c r="A219" s="176">
        <v>5</v>
      </c>
      <c r="B219" s="176"/>
      <c r="C219" s="176">
        <f t="shared" si="16"/>
        <v>48</v>
      </c>
      <c r="D219" s="176">
        <f t="shared" si="17"/>
        <v>37</v>
      </c>
      <c r="E219" s="176">
        <f t="shared" si="18"/>
        <v>15</v>
      </c>
      <c r="F219" s="176" t="str">
        <f t="shared" si="19"/>
        <v>pm</v>
      </c>
      <c r="G219" s="176" t="s">
        <v>714</v>
      </c>
      <c r="H219" s="176" t="s">
        <v>715</v>
      </c>
      <c r="I219" s="176" t="s">
        <v>716</v>
      </c>
      <c r="J219" s="177" t="s">
        <v>21</v>
      </c>
      <c r="K219" s="178">
        <f t="shared" si="20"/>
        <v>2028.7969395901496</v>
      </c>
      <c r="L219" s="176"/>
      <c r="M219" s="178">
        <v>2000</v>
      </c>
      <c r="P219" s="178">
        <v>1949.6387452744243</v>
      </c>
      <c r="R219" s="178">
        <v>2028.7969395901496</v>
      </c>
      <c r="AH219" s="175"/>
      <c r="AI219" s="175"/>
    </row>
    <row r="220" spans="1:35" s="178" customFormat="1" x14ac:dyDescent="0.25">
      <c r="A220" s="176">
        <v>6</v>
      </c>
      <c r="B220" s="176"/>
      <c r="C220" s="176">
        <f t="shared" si="16"/>
        <v>49</v>
      </c>
      <c r="D220" s="176">
        <f t="shared" si="17"/>
        <v>37</v>
      </c>
      <c r="E220" s="176">
        <f t="shared" si="18"/>
        <v>15</v>
      </c>
      <c r="F220" s="176" t="str">
        <f t="shared" si="19"/>
        <v>pm</v>
      </c>
      <c r="G220" s="176" t="s">
        <v>191</v>
      </c>
      <c r="H220" s="176" t="s">
        <v>392</v>
      </c>
      <c r="I220" s="176" t="s">
        <v>190</v>
      </c>
      <c r="J220" s="177" t="s">
        <v>21</v>
      </c>
      <c r="K220" s="178">
        <f t="shared" si="20"/>
        <v>1918.5906334054932</v>
      </c>
      <c r="L220" s="176"/>
      <c r="M220" s="178">
        <v>2000</v>
      </c>
      <c r="R220" s="178">
        <v>1918.5906334054932</v>
      </c>
      <c r="AH220" s="175"/>
      <c r="AI220" s="175"/>
    </row>
    <row r="221" spans="1:35" s="178" customFormat="1" x14ac:dyDescent="0.25">
      <c r="A221" s="176">
        <v>6</v>
      </c>
      <c r="B221" s="176"/>
      <c r="C221" s="176">
        <f t="shared" si="16"/>
        <v>50</v>
      </c>
      <c r="D221" s="176">
        <f t="shared" si="17"/>
        <v>37</v>
      </c>
      <c r="E221" s="176">
        <f t="shared" si="18"/>
        <v>15</v>
      </c>
      <c r="F221" s="176" t="str">
        <f t="shared" si="19"/>
        <v>pm</v>
      </c>
      <c r="G221" s="176" t="s">
        <v>298</v>
      </c>
      <c r="H221" s="176" t="s">
        <v>392</v>
      </c>
      <c r="I221" s="176" t="s">
        <v>297</v>
      </c>
      <c r="J221" s="177" t="s">
        <v>21</v>
      </c>
      <c r="K221" s="178">
        <f t="shared" si="20"/>
        <v>1909.4303022328752</v>
      </c>
      <c r="L221" s="176"/>
      <c r="M221" s="178">
        <v>2000</v>
      </c>
      <c r="R221" s="178">
        <v>1909.4303022328752</v>
      </c>
      <c r="AH221" s="175"/>
      <c r="AI221" s="175"/>
    </row>
    <row r="222" spans="1:35" s="178" customFormat="1" x14ac:dyDescent="0.25">
      <c r="A222" s="176">
        <v>5</v>
      </c>
      <c r="B222" s="176"/>
      <c r="C222" s="176">
        <f t="shared" si="16"/>
        <v>51</v>
      </c>
      <c r="D222" s="176">
        <f t="shared" si="17"/>
        <v>37</v>
      </c>
      <c r="E222" s="176">
        <f t="shared" si="18"/>
        <v>15</v>
      </c>
      <c r="F222" s="176" t="str">
        <f t="shared" si="19"/>
        <v>pm</v>
      </c>
      <c r="G222" s="176" t="s">
        <v>292</v>
      </c>
      <c r="H222" s="176" t="s">
        <v>528</v>
      </c>
      <c r="I222" s="176" t="s">
        <v>291</v>
      </c>
      <c r="J222" s="177" t="s">
        <v>21</v>
      </c>
      <c r="K222" s="178">
        <f t="shared" si="20"/>
        <v>1930.6477056485521</v>
      </c>
      <c r="L222" s="176"/>
      <c r="M222" s="178">
        <v>2000</v>
      </c>
      <c r="R222" s="178">
        <v>1930.6477056485521</v>
      </c>
      <c r="AH222" s="175"/>
      <c r="AI222" s="175"/>
    </row>
    <row r="223" spans="1:35" s="178" customFormat="1" x14ac:dyDescent="0.25">
      <c r="A223" s="176">
        <v>3</v>
      </c>
      <c r="B223" s="176"/>
      <c r="C223" s="176">
        <f t="shared" si="16"/>
        <v>52</v>
      </c>
      <c r="D223" s="176">
        <f t="shared" si="17"/>
        <v>37</v>
      </c>
      <c r="E223" s="176">
        <f t="shared" si="18"/>
        <v>15</v>
      </c>
      <c r="F223" s="176" t="str">
        <f t="shared" si="19"/>
        <v>pm</v>
      </c>
      <c r="G223" s="176" t="s">
        <v>187</v>
      </c>
      <c r="H223" s="176" t="s">
        <v>694</v>
      </c>
      <c r="I223" s="176" t="s">
        <v>186</v>
      </c>
      <c r="J223" s="177" t="s">
        <v>21</v>
      </c>
      <c r="K223" s="178">
        <f t="shared" si="20"/>
        <v>2014.4481187300305</v>
      </c>
      <c r="L223" s="176"/>
      <c r="M223" s="178">
        <v>2000</v>
      </c>
      <c r="P223" s="178">
        <v>2014.4481187300305</v>
      </c>
      <c r="AH223" s="175"/>
      <c r="AI223" s="175"/>
    </row>
    <row r="224" spans="1:35" s="178" customFormat="1" x14ac:dyDescent="0.25">
      <c r="A224" s="176">
        <v>3</v>
      </c>
      <c r="B224" s="176"/>
      <c r="C224" s="176">
        <f t="shared" si="16"/>
        <v>53</v>
      </c>
      <c r="D224" s="176">
        <f t="shared" si="17"/>
        <v>37</v>
      </c>
      <c r="E224" s="176">
        <f t="shared" si="18"/>
        <v>15</v>
      </c>
      <c r="F224" s="176" t="str">
        <f t="shared" si="19"/>
        <v>pm</v>
      </c>
      <c r="G224" s="176" t="s">
        <v>717</v>
      </c>
      <c r="H224" s="176" t="s">
        <v>390</v>
      </c>
      <c r="I224" s="176" t="s">
        <v>718</v>
      </c>
      <c r="J224" s="177" t="s">
        <v>21</v>
      </c>
      <c r="K224" s="178">
        <f t="shared" si="20"/>
        <v>2000</v>
      </c>
      <c r="L224" s="176"/>
      <c r="M224" s="178">
        <v>2000</v>
      </c>
      <c r="AH224" s="175"/>
      <c r="AI224" s="175"/>
    </row>
    <row r="225" spans="1:35" s="178" customFormat="1" x14ac:dyDescent="0.25">
      <c r="A225" s="176">
        <v>2</v>
      </c>
      <c r="B225" s="176"/>
      <c r="C225" s="176">
        <f t="shared" si="16"/>
        <v>1</v>
      </c>
      <c r="D225" s="176">
        <f t="shared" si="17"/>
        <v>1</v>
      </c>
      <c r="E225" s="176">
        <f t="shared" si="18"/>
        <v>16</v>
      </c>
      <c r="F225" s="176" t="str">
        <f t="shared" si="19"/>
        <v>pm</v>
      </c>
      <c r="G225" s="176" t="s">
        <v>719</v>
      </c>
      <c r="H225" s="176" t="s">
        <v>461</v>
      </c>
      <c r="I225" s="176" t="s">
        <v>720</v>
      </c>
      <c r="J225" s="177" t="s">
        <v>22</v>
      </c>
      <c r="K225" s="178">
        <f t="shared" si="20"/>
        <v>2631.6664736634525</v>
      </c>
      <c r="L225" s="176"/>
      <c r="M225" s="178">
        <v>2600</v>
      </c>
      <c r="P225" s="178">
        <v>2588.4978348912359</v>
      </c>
      <c r="S225" s="178">
        <v>2631.6664736634525</v>
      </c>
      <c r="AH225" s="175"/>
      <c r="AI225" s="175"/>
    </row>
    <row r="226" spans="1:35" s="178" customFormat="1" x14ac:dyDescent="0.25">
      <c r="A226" s="176"/>
      <c r="B226" s="176"/>
      <c r="C226" s="176">
        <f t="shared" si="16"/>
        <v>2</v>
      </c>
      <c r="D226" s="176">
        <f t="shared" si="17"/>
        <v>1</v>
      </c>
      <c r="E226" s="176">
        <f t="shared" si="18"/>
        <v>16</v>
      </c>
      <c r="F226" s="176" t="str">
        <f t="shared" si="19"/>
        <v>crx</v>
      </c>
      <c r="G226" s="176" t="s">
        <v>721</v>
      </c>
      <c r="H226" s="176"/>
      <c r="I226" s="176" t="s">
        <v>722</v>
      </c>
      <c r="J226" s="177" t="s">
        <v>22</v>
      </c>
      <c r="K226" s="178">
        <f t="shared" si="20"/>
        <v>2590.6949709264486</v>
      </c>
      <c r="L226" s="176"/>
      <c r="M226" s="178">
        <v>2600</v>
      </c>
      <c r="O226" s="175"/>
      <c r="P226" s="175">
        <v>2590.6949709264486</v>
      </c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H226" s="175"/>
      <c r="AI226" s="175"/>
    </row>
    <row r="227" spans="1:35" s="178" customFormat="1" x14ac:dyDescent="0.25">
      <c r="A227" s="176"/>
      <c r="B227" s="176"/>
      <c r="C227" s="176">
        <f t="shared" si="16"/>
        <v>3</v>
      </c>
      <c r="D227" s="176">
        <f t="shared" si="17"/>
        <v>1</v>
      </c>
      <c r="E227" s="176">
        <f t="shared" si="18"/>
        <v>16</v>
      </c>
      <c r="F227" s="176" t="str">
        <f t="shared" si="19"/>
        <v>crx</v>
      </c>
      <c r="G227" s="176" t="s">
        <v>723</v>
      </c>
      <c r="H227" s="176"/>
      <c r="I227" s="176" t="s">
        <v>724</v>
      </c>
      <c r="J227" s="177" t="s">
        <v>22</v>
      </c>
      <c r="K227" s="178">
        <f t="shared" si="20"/>
        <v>2494.0367535342011</v>
      </c>
      <c r="L227" s="176"/>
      <c r="M227" s="178">
        <v>2600</v>
      </c>
      <c r="O227" s="175"/>
      <c r="P227" s="175">
        <v>2494.0367535342011</v>
      </c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H227" s="175"/>
      <c r="AI227" s="175"/>
    </row>
    <row r="228" spans="1:35" s="178" customFormat="1" x14ac:dyDescent="0.25">
      <c r="A228" s="176">
        <v>3</v>
      </c>
      <c r="B228" s="176"/>
      <c r="C228" s="176">
        <f t="shared" si="16"/>
        <v>4</v>
      </c>
      <c r="D228" s="176">
        <f t="shared" si="17"/>
        <v>1</v>
      </c>
      <c r="E228" s="176">
        <f t="shared" si="18"/>
        <v>16</v>
      </c>
      <c r="F228" s="176" t="str">
        <f t="shared" si="19"/>
        <v>pm</v>
      </c>
      <c r="G228" s="176" t="s">
        <v>725</v>
      </c>
      <c r="H228" s="176" t="s">
        <v>355</v>
      </c>
      <c r="I228" s="176" t="s">
        <v>726</v>
      </c>
      <c r="J228" s="177" t="s">
        <v>22</v>
      </c>
      <c r="K228" s="178">
        <f t="shared" si="20"/>
        <v>2737.8174694588593</v>
      </c>
      <c r="L228" s="176"/>
      <c r="M228" s="178">
        <v>2600</v>
      </c>
      <c r="P228" s="178">
        <v>2742.7064901130243</v>
      </c>
      <c r="S228" s="178">
        <v>2737.8174694588593</v>
      </c>
      <c r="AH228" s="175"/>
      <c r="AI228" s="175"/>
    </row>
    <row r="229" spans="1:35" s="178" customFormat="1" x14ac:dyDescent="0.25">
      <c r="A229" s="176">
        <v>3</v>
      </c>
      <c r="B229" s="176"/>
      <c r="C229" s="176">
        <f t="shared" si="16"/>
        <v>5</v>
      </c>
      <c r="D229" s="176">
        <f t="shared" si="17"/>
        <v>1</v>
      </c>
      <c r="E229" s="176">
        <f t="shared" si="18"/>
        <v>16</v>
      </c>
      <c r="F229" s="176" t="str">
        <f t="shared" si="19"/>
        <v>pm</v>
      </c>
      <c r="G229" s="176" t="s">
        <v>727</v>
      </c>
      <c r="H229" s="176" t="s">
        <v>355</v>
      </c>
      <c r="I229" s="176" t="s">
        <v>728</v>
      </c>
      <c r="J229" s="177" t="s">
        <v>22</v>
      </c>
      <c r="K229" s="178">
        <f t="shared" si="20"/>
        <v>2667.1608520539512</v>
      </c>
      <c r="L229" s="176"/>
      <c r="M229" s="178">
        <v>2600</v>
      </c>
      <c r="P229" s="178">
        <v>2667.1608520539512</v>
      </c>
      <c r="AH229" s="175"/>
      <c r="AI229" s="175"/>
    </row>
    <row r="230" spans="1:35" s="178" customFormat="1" x14ac:dyDescent="0.25">
      <c r="A230" s="176">
        <v>5</v>
      </c>
      <c r="B230" s="176"/>
      <c r="C230" s="176">
        <f t="shared" si="16"/>
        <v>6</v>
      </c>
      <c r="D230" s="176">
        <f t="shared" si="17"/>
        <v>1</v>
      </c>
      <c r="E230" s="176">
        <f t="shared" si="18"/>
        <v>16</v>
      </c>
      <c r="F230" s="176" t="str">
        <f t="shared" si="19"/>
        <v>pm</v>
      </c>
      <c r="G230" s="176" t="s">
        <v>729</v>
      </c>
      <c r="H230" s="176" t="s">
        <v>400</v>
      </c>
      <c r="I230" s="176" t="s">
        <v>730</v>
      </c>
      <c r="J230" s="177" t="s">
        <v>22</v>
      </c>
      <c r="K230" s="178">
        <f t="shared" si="20"/>
        <v>2498.4008847697546</v>
      </c>
      <c r="L230" s="176"/>
      <c r="M230" s="178">
        <v>2600</v>
      </c>
      <c r="P230" s="178">
        <v>2498.4008847697546</v>
      </c>
      <c r="AH230" s="175"/>
      <c r="AI230" s="175"/>
    </row>
    <row r="231" spans="1:35" s="178" customFormat="1" x14ac:dyDescent="0.25">
      <c r="A231" s="176">
        <v>5</v>
      </c>
      <c r="B231" s="176"/>
      <c r="C231" s="176">
        <f t="shared" si="16"/>
        <v>7</v>
      </c>
      <c r="D231" s="176">
        <f t="shared" si="17"/>
        <v>1</v>
      </c>
      <c r="E231" s="176">
        <f t="shared" si="18"/>
        <v>16</v>
      </c>
      <c r="F231" s="176" t="str">
        <f t="shared" si="19"/>
        <v>pm</v>
      </c>
      <c r="G231" s="176" t="s">
        <v>731</v>
      </c>
      <c r="H231" s="176" t="s">
        <v>401</v>
      </c>
      <c r="I231" s="176" t="s">
        <v>732</v>
      </c>
      <c r="J231" s="177" t="s">
        <v>22</v>
      </c>
      <c r="K231" s="178">
        <f t="shared" si="20"/>
        <v>2522.8013817469564</v>
      </c>
      <c r="L231" s="176"/>
      <c r="M231" s="178">
        <v>2600</v>
      </c>
      <c r="P231" s="178">
        <v>2536.3497914010086</v>
      </c>
      <c r="S231" s="178">
        <v>2522.8013817469564</v>
      </c>
      <c r="AH231" s="175"/>
      <c r="AI231" s="175"/>
    </row>
    <row r="232" spans="1:35" s="178" customFormat="1" x14ac:dyDescent="0.25">
      <c r="A232" s="176">
        <v>1</v>
      </c>
      <c r="B232" s="176"/>
      <c r="C232" s="176">
        <f t="shared" si="16"/>
        <v>8</v>
      </c>
      <c r="D232" s="176">
        <f t="shared" si="17"/>
        <v>1</v>
      </c>
      <c r="E232" s="176">
        <f t="shared" si="18"/>
        <v>16</v>
      </c>
      <c r="F232" s="176" t="str">
        <f t="shared" si="19"/>
        <v>pmx</v>
      </c>
      <c r="G232" s="176" t="s">
        <v>733</v>
      </c>
      <c r="H232" s="176" t="s">
        <v>410</v>
      </c>
      <c r="I232" s="176" t="s">
        <v>734</v>
      </c>
      <c r="J232" s="177" t="s">
        <v>22</v>
      </c>
      <c r="K232" s="178">
        <f t="shared" si="20"/>
        <v>2600</v>
      </c>
      <c r="L232" s="176"/>
      <c r="M232" s="178">
        <v>2600</v>
      </c>
      <c r="AH232" s="175"/>
      <c r="AI232" s="175"/>
    </row>
    <row r="233" spans="1:35" s="178" customFormat="1" x14ac:dyDescent="0.25">
      <c r="A233" s="176">
        <v>2</v>
      </c>
      <c r="B233" s="176"/>
      <c r="C233" s="176">
        <f t="shared" si="16"/>
        <v>9</v>
      </c>
      <c r="D233" s="176">
        <f t="shared" si="17"/>
        <v>1</v>
      </c>
      <c r="E233" s="176">
        <f t="shared" si="18"/>
        <v>16</v>
      </c>
      <c r="F233" s="176" t="str">
        <f t="shared" si="19"/>
        <v>pm</v>
      </c>
      <c r="G233" s="176" t="s">
        <v>735</v>
      </c>
      <c r="H233" s="176" t="s">
        <v>410</v>
      </c>
      <c r="I233" s="176" t="s">
        <v>736</v>
      </c>
      <c r="J233" s="177" t="s">
        <v>22</v>
      </c>
      <c r="K233" s="178">
        <f t="shared" si="20"/>
        <v>2529.9395928312915</v>
      </c>
      <c r="L233" s="176"/>
      <c r="M233" s="178">
        <v>2600</v>
      </c>
      <c r="P233" s="178">
        <v>2529.9395928312915</v>
      </c>
      <c r="AH233" s="175"/>
      <c r="AI233" s="175"/>
    </row>
    <row r="234" spans="1:35" s="178" customFormat="1" x14ac:dyDescent="0.25">
      <c r="A234" s="176">
        <v>2</v>
      </c>
      <c r="B234" s="176"/>
      <c r="C234" s="176">
        <f t="shared" si="16"/>
        <v>10</v>
      </c>
      <c r="D234" s="176">
        <f t="shared" si="17"/>
        <v>1</v>
      </c>
      <c r="E234" s="176">
        <f t="shared" si="18"/>
        <v>16</v>
      </c>
      <c r="F234" s="176" t="str">
        <f t="shared" si="19"/>
        <v>pm</v>
      </c>
      <c r="G234" s="176" t="s">
        <v>737</v>
      </c>
      <c r="H234" s="176" t="s">
        <v>410</v>
      </c>
      <c r="I234" s="176" t="s">
        <v>738</v>
      </c>
      <c r="J234" s="177" t="s">
        <v>22</v>
      </c>
      <c r="K234" s="178">
        <f t="shared" si="20"/>
        <v>2482.7077944451225</v>
      </c>
      <c r="L234" s="176"/>
      <c r="M234" s="178">
        <v>2600</v>
      </c>
      <c r="P234" s="178">
        <v>2482.7077944451225</v>
      </c>
      <c r="AH234" s="175"/>
      <c r="AI234" s="175"/>
    </row>
    <row r="235" spans="1:35" s="178" customFormat="1" x14ac:dyDescent="0.25">
      <c r="A235" s="176">
        <v>7</v>
      </c>
      <c r="B235" s="176"/>
      <c r="C235" s="176">
        <f t="shared" si="16"/>
        <v>11</v>
      </c>
      <c r="D235" s="176">
        <f t="shared" si="17"/>
        <v>1</v>
      </c>
      <c r="E235" s="176">
        <f t="shared" si="18"/>
        <v>16</v>
      </c>
      <c r="F235" s="176" t="str">
        <f t="shared" si="19"/>
        <v>pm</v>
      </c>
      <c r="G235" s="176" t="s">
        <v>739</v>
      </c>
      <c r="H235" s="176" t="s">
        <v>706</v>
      </c>
      <c r="I235" s="176" t="s">
        <v>740</v>
      </c>
      <c r="J235" s="177" t="s">
        <v>22</v>
      </c>
      <c r="K235" s="178">
        <f t="shared" si="20"/>
        <v>2544.7969756063999</v>
      </c>
      <c r="L235" s="176"/>
      <c r="M235" s="178">
        <v>2600</v>
      </c>
      <c r="P235" s="178">
        <v>2535.1589990784814</v>
      </c>
      <c r="Q235" s="178">
        <v>2535.2536812939006</v>
      </c>
      <c r="S235" s="178">
        <v>2544.7969756063999</v>
      </c>
      <c r="AH235" s="175"/>
      <c r="AI235" s="175"/>
    </row>
    <row r="236" spans="1:35" s="178" customFormat="1" x14ac:dyDescent="0.25">
      <c r="A236" s="176">
        <v>5</v>
      </c>
      <c r="B236" s="176"/>
      <c r="C236" s="176">
        <f t="shared" si="16"/>
        <v>12</v>
      </c>
      <c r="D236" s="176">
        <f t="shared" si="17"/>
        <v>1</v>
      </c>
      <c r="E236" s="176">
        <f t="shared" si="18"/>
        <v>16</v>
      </c>
      <c r="F236" s="176" t="str">
        <f t="shared" si="19"/>
        <v>pm</v>
      </c>
      <c r="G236" s="176" t="s">
        <v>741</v>
      </c>
      <c r="H236" s="176" t="s">
        <v>412</v>
      </c>
      <c r="I236" s="176" t="s">
        <v>742</v>
      </c>
      <c r="J236" s="177" t="s">
        <v>22</v>
      </c>
      <c r="K236" s="178">
        <f t="shared" si="20"/>
        <v>2628.2574952617479</v>
      </c>
      <c r="L236" s="176"/>
      <c r="M236" s="178">
        <v>2600</v>
      </c>
      <c r="P236" s="178">
        <v>2628.2574952617479</v>
      </c>
      <c r="AH236" s="175"/>
      <c r="AI236" s="175"/>
    </row>
    <row r="237" spans="1:35" s="178" customFormat="1" x14ac:dyDescent="0.25">
      <c r="A237" s="176">
        <v>6</v>
      </c>
      <c r="B237" s="176"/>
      <c r="C237" s="176">
        <f t="shared" si="16"/>
        <v>13</v>
      </c>
      <c r="D237" s="176">
        <f t="shared" si="17"/>
        <v>1</v>
      </c>
      <c r="E237" s="176">
        <f t="shared" si="18"/>
        <v>16</v>
      </c>
      <c r="F237" s="176" t="str">
        <f t="shared" si="19"/>
        <v>pm</v>
      </c>
      <c r="G237" s="176" t="s">
        <v>743</v>
      </c>
      <c r="H237" s="176" t="s">
        <v>412</v>
      </c>
      <c r="I237" s="176" t="s">
        <v>744</v>
      </c>
      <c r="J237" s="177" t="s">
        <v>22</v>
      </c>
      <c r="K237" s="178">
        <f t="shared" si="20"/>
        <v>2488.2982676302595</v>
      </c>
      <c r="L237" s="176"/>
      <c r="M237" s="178">
        <v>2600</v>
      </c>
      <c r="Q237" s="178">
        <v>2453.989388007974</v>
      </c>
      <c r="S237" s="178">
        <v>2488.2982676302595</v>
      </c>
      <c r="AH237" s="175"/>
      <c r="AI237" s="175"/>
    </row>
    <row r="238" spans="1:35" s="178" customFormat="1" x14ac:dyDescent="0.25">
      <c r="A238" s="176">
        <v>4</v>
      </c>
      <c r="B238" s="176"/>
      <c r="C238" s="176">
        <f t="shared" si="16"/>
        <v>14</v>
      </c>
      <c r="D238" s="176">
        <f t="shared" si="17"/>
        <v>1</v>
      </c>
      <c r="E238" s="176">
        <f t="shared" si="18"/>
        <v>16</v>
      </c>
      <c r="F238" s="176" t="str">
        <f t="shared" si="19"/>
        <v>pm</v>
      </c>
      <c r="G238" s="176" t="s">
        <v>745</v>
      </c>
      <c r="H238" s="176" t="s">
        <v>412</v>
      </c>
      <c r="I238" s="176" t="s">
        <v>746</v>
      </c>
      <c r="J238" s="177" t="s">
        <v>22</v>
      </c>
      <c r="K238" s="178">
        <f t="shared" si="20"/>
        <v>2600</v>
      </c>
      <c r="L238" s="176"/>
      <c r="M238" s="178">
        <v>2600</v>
      </c>
      <c r="AH238" s="175"/>
      <c r="AI238" s="175"/>
    </row>
    <row r="239" spans="1:35" s="178" customFormat="1" x14ac:dyDescent="0.25">
      <c r="A239" s="176">
        <v>4</v>
      </c>
      <c r="B239" s="176"/>
      <c r="C239" s="176">
        <f t="shared" si="16"/>
        <v>15</v>
      </c>
      <c r="D239" s="176">
        <f t="shared" si="17"/>
        <v>1</v>
      </c>
      <c r="E239" s="176">
        <f t="shared" si="18"/>
        <v>16</v>
      </c>
      <c r="F239" s="176" t="str">
        <f t="shared" si="19"/>
        <v>pm</v>
      </c>
      <c r="G239" s="176" t="s">
        <v>747</v>
      </c>
      <c r="H239" s="176" t="s">
        <v>412</v>
      </c>
      <c r="I239" s="176" t="s">
        <v>748</v>
      </c>
      <c r="J239" s="177" t="s">
        <v>22</v>
      </c>
      <c r="K239" s="178">
        <f t="shared" si="20"/>
        <v>2600</v>
      </c>
      <c r="L239" s="176"/>
      <c r="M239" s="178">
        <v>2600</v>
      </c>
      <c r="AH239" s="175"/>
      <c r="AI239" s="175"/>
    </row>
    <row r="240" spans="1:35" s="178" customFormat="1" x14ac:dyDescent="0.25">
      <c r="A240" s="176">
        <v>1</v>
      </c>
      <c r="B240" s="176"/>
      <c r="C240" s="176">
        <f t="shared" si="16"/>
        <v>16</v>
      </c>
      <c r="D240" s="176">
        <f t="shared" si="17"/>
        <v>1</v>
      </c>
      <c r="E240" s="176">
        <f t="shared" si="18"/>
        <v>16</v>
      </c>
      <c r="F240" s="176" t="str">
        <f t="shared" si="19"/>
        <v>pmx</v>
      </c>
      <c r="G240" s="176" t="s">
        <v>749</v>
      </c>
      <c r="H240" s="176" t="s">
        <v>750</v>
      </c>
      <c r="I240" s="176" t="s">
        <v>751</v>
      </c>
      <c r="J240" s="177" t="s">
        <v>22</v>
      </c>
      <c r="K240" s="178">
        <f t="shared" si="20"/>
        <v>2600</v>
      </c>
      <c r="L240" s="176"/>
      <c r="M240" s="178">
        <v>2600</v>
      </c>
      <c r="O240" s="175"/>
      <c r="P240" s="175"/>
      <c r="Q240" s="17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H240" s="175"/>
      <c r="AI240" s="175"/>
    </row>
    <row r="241" spans="1:35" s="178" customFormat="1" x14ac:dyDescent="0.25">
      <c r="A241" s="176">
        <v>4</v>
      </c>
      <c r="B241" s="176"/>
      <c r="C241" s="176">
        <f t="shared" si="16"/>
        <v>17</v>
      </c>
      <c r="D241" s="176">
        <f t="shared" si="17"/>
        <v>1</v>
      </c>
      <c r="E241" s="176">
        <f t="shared" si="18"/>
        <v>16</v>
      </c>
      <c r="F241" s="176" t="str">
        <f t="shared" si="19"/>
        <v>pm</v>
      </c>
      <c r="G241" s="176" t="s">
        <v>752</v>
      </c>
      <c r="H241" s="176" t="s">
        <v>365</v>
      </c>
      <c r="I241" s="176" t="s">
        <v>753</v>
      </c>
      <c r="J241" s="177" t="s">
        <v>22</v>
      </c>
      <c r="K241" s="178">
        <f t="shared" si="20"/>
        <v>2600</v>
      </c>
      <c r="L241" s="176"/>
      <c r="M241" s="178">
        <v>2600</v>
      </c>
      <c r="AH241" s="175"/>
      <c r="AI241" s="175"/>
    </row>
    <row r="242" spans="1:35" s="178" customFormat="1" x14ac:dyDescent="0.25">
      <c r="A242" s="176">
        <v>7</v>
      </c>
      <c r="B242" s="176"/>
      <c r="C242" s="176">
        <f t="shared" si="16"/>
        <v>18</v>
      </c>
      <c r="D242" s="176">
        <f t="shared" si="17"/>
        <v>1</v>
      </c>
      <c r="E242" s="176">
        <f t="shared" si="18"/>
        <v>16</v>
      </c>
      <c r="F242" s="176" t="str">
        <f t="shared" si="19"/>
        <v>pm</v>
      </c>
      <c r="G242" s="176" t="s">
        <v>754</v>
      </c>
      <c r="H242" s="176" t="s">
        <v>368</v>
      </c>
      <c r="I242" s="176" t="s">
        <v>755</v>
      </c>
      <c r="J242" s="177" t="s">
        <v>22</v>
      </c>
      <c r="K242" s="178">
        <f t="shared" si="20"/>
        <v>2574.6020405067334</v>
      </c>
      <c r="L242" s="176"/>
      <c r="M242" s="178">
        <v>2600</v>
      </c>
      <c r="P242" s="178">
        <v>2586.1087425520964</v>
      </c>
      <c r="Q242" s="178">
        <v>2642.1061403984222</v>
      </c>
      <c r="S242" s="178">
        <v>2574.6020405067334</v>
      </c>
      <c r="AH242" s="175"/>
      <c r="AI242" s="175"/>
    </row>
    <row r="243" spans="1:35" s="178" customFormat="1" x14ac:dyDescent="0.25">
      <c r="A243" s="176">
        <v>5</v>
      </c>
      <c r="B243" s="176"/>
      <c r="C243" s="176">
        <f t="shared" si="16"/>
        <v>19</v>
      </c>
      <c r="D243" s="176">
        <f t="shared" si="17"/>
        <v>1</v>
      </c>
      <c r="E243" s="176">
        <f t="shared" si="18"/>
        <v>16</v>
      </c>
      <c r="F243" s="176" t="str">
        <f t="shared" si="19"/>
        <v>pm</v>
      </c>
      <c r="G243" s="176" t="s">
        <v>756</v>
      </c>
      <c r="H243" s="176" t="s">
        <v>567</v>
      </c>
      <c r="I243" s="176" t="s">
        <v>757</v>
      </c>
      <c r="J243" s="177" t="s">
        <v>22</v>
      </c>
      <c r="K243" s="178">
        <f t="shared" si="20"/>
        <v>2521.6112649182251</v>
      </c>
      <c r="L243" s="176"/>
      <c r="M243" s="178">
        <v>2600</v>
      </c>
      <c r="P243" s="178">
        <v>2521.6112649182251</v>
      </c>
      <c r="AH243" s="175"/>
      <c r="AI243" s="175"/>
    </row>
    <row r="244" spans="1:35" s="178" customFormat="1" x14ac:dyDescent="0.25">
      <c r="A244" s="176">
        <v>2</v>
      </c>
      <c r="B244" s="176"/>
      <c r="C244" s="176">
        <f t="shared" si="16"/>
        <v>20</v>
      </c>
      <c r="D244" s="176">
        <f t="shared" si="17"/>
        <v>1</v>
      </c>
      <c r="E244" s="176">
        <f t="shared" si="18"/>
        <v>16</v>
      </c>
      <c r="F244" s="176" t="str">
        <f t="shared" si="19"/>
        <v>pm</v>
      </c>
      <c r="G244" s="176" t="s">
        <v>758</v>
      </c>
      <c r="H244" s="176" t="s">
        <v>387</v>
      </c>
      <c r="I244" s="176" t="s">
        <v>759</v>
      </c>
      <c r="J244" s="177" t="s">
        <v>22</v>
      </c>
      <c r="K244" s="178">
        <f t="shared" si="20"/>
        <v>2642.4197784613143</v>
      </c>
      <c r="L244" s="176"/>
      <c r="M244" s="178">
        <v>2600</v>
      </c>
      <c r="S244" s="178">
        <v>2642.4197784613143</v>
      </c>
      <c r="AH244" s="175"/>
      <c r="AI244" s="175"/>
    </row>
    <row r="245" spans="1:35" s="178" customFormat="1" x14ac:dyDescent="0.25">
      <c r="A245" s="176">
        <v>3</v>
      </c>
      <c r="B245" s="176"/>
      <c r="C245" s="176">
        <f t="shared" si="16"/>
        <v>21</v>
      </c>
      <c r="D245" s="176">
        <f t="shared" si="17"/>
        <v>1</v>
      </c>
      <c r="E245" s="176">
        <f t="shared" si="18"/>
        <v>16</v>
      </c>
      <c r="F245" s="176" t="str">
        <f t="shared" si="19"/>
        <v>pm</v>
      </c>
      <c r="G245" s="176" t="s">
        <v>760</v>
      </c>
      <c r="H245" s="176" t="s">
        <v>387</v>
      </c>
      <c r="I245" s="176" t="s">
        <v>761</v>
      </c>
      <c r="J245" s="177" t="s">
        <v>22</v>
      </c>
      <c r="K245" s="178">
        <f t="shared" si="20"/>
        <v>2624.1968354614924</v>
      </c>
      <c r="L245" s="176"/>
      <c r="M245" s="178">
        <v>2600</v>
      </c>
      <c r="S245" s="178">
        <v>2624.1968354614924</v>
      </c>
      <c r="AH245" s="175"/>
      <c r="AI245" s="175"/>
    </row>
    <row r="246" spans="1:35" s="178" customFormat="1" x14ac:dyDescent="0.25">
      <c r="A246" s="176">
        <v>5</v>
      </c>
      <c r="B246" s="176"/>
      <c r="C246" s="176">
        <f t="shared" si="16"/>
        <v>22</v>
      </c>
      <c r="D246" s="176">
        <f t="shared" si="17"/>
        <v>1</v>
      </c>
      <c r="E246" s="176">
        <f t="shared" si="18"/>
        <v>16</v>
      </c>
      <c r="F246" s="176" t="str">
        <f t="shared" si="19"/>
        <v>pm</v>
      </c>
      <c r="G246" s="176" t="s">
        <v>762</v>
      </c>
      <c r="H246" s="176" t="s">
        <v>384</v>
      </c>
      <c r="I246" s="176" t="s">
        <v>763</v>
      </c>
      <c r="J246" s="177" t="s">
        <v>22</v>
      </c>
      <c r="K246" s="178">
        <f t="shared" si="20"/>
        <v>2501.7317909930653</v>
      </c>
      <c r="L246" s="176"/>
      <c r="M246" s="178">
        <v>2600</v>
      </c>
      <c r="P246" s="178">
        <v>2534.3306077253792</v>
      </c>
      <c r="S246" s="178">
        <v>2501.7317909930653</v>
      </c>
      <c r="AH246" s="175"/>
      <c r="AI246" s="175"/>
    </row>
    <row r="247" spans="1:35" s="178" customFormat="1" x14ac:dyDescent="0.25">
      <c r="A247" s="176">
        <v>5</v>
      </c>
      <c r="B247" s="176"/>
      <c r="C247" s="176">
        <f t="shared" si="16"/>
        <v>23</v>
      </c>
      <c r="D247" s="176">
        <f t="shared" si="17"/>
        <v>1</v>
      </c>
      <c r="E247" s="176">
        <f t="shared" si="18"/>
        <v>16</v>
      </c>
      <c r="F247" s="176" t="str">
        <f t="shared" si="19"/>
        <v>pm</v>
      </c>
      <c r="G247" s="176" t="s">
        <v>764</v>
      </c>
      <c r="H247" s="176" t="s">
        <v>384</v>
      </c>
      <c r="I247" s="176" t="s">
        <v>765</v>
      </c>
      <c r="J247" s="177" t="s">
        <v>22</v>
      </c>
      <c r="K247" s="178">
        <f t="shared" si="20"/>
        <v>2334.1471641922385</v>
      </c>
      <c r="L247" s="176"/>
      <c r="M247" s="178">
        <v>2600</v>
      </c>
      <c r="P247" s="178">
        <v>2430.3121523701575</v>
      </c>
      <c r="S247" s="178">
        <v>2334.1471641922385</v>
      </c>
      <c r="AH247" s="175"/>
      <c r="AI247" s="175"/>
    </row>
    <row r="248" spans="1:35" s="178" customFormat="1" x14ac:dyDescent="0.25">
      <c r="A248" s="176">
        <v>5</v>
      </c>
      <c r="B248" s="176"/>
      <c r="C248" s="176">
        <f t="shared" si="16"/>
        <v>24</v>
      </c>
      <c r="D248" s="176">
        <f t="shared" si="17"/>
        <v>1</v>
      </c>
      <c r="E248" s="176">
        <f t="shared" si="18"/>
        <v>16</v>
      </c>
      <c r="F248" s="176" t="str">
        <f t="shared" si="19"/>
        <v>pm</v>
      </c>
      <c r="G248" s="176" t="s">
        <v>766</v>
      </c>
      <c r="H248" s="176" t="s">
        <v>392</v>
      </c>
      <c r="I248" s="176" t="s">
        <v>767</v>
      </c>
      <c r="J248" s="177" t="s">
        <v>22</v>
      </c>
      <c r="K248" s="178">
        <f t="shared" si="20"/>
        <v>2525.6392172060614</v>
      </c>
      <c r="L248" s="176"/>
      <c r="M248" s="178">
        <v>2600</v>
      </c>
      <c r="S248" s="178">
        <v>2525.6392172060614</v>
      </c>
      <c r="AH248" s="175"/>
      <c r="AI248" s="175"/>
    </row>
    <row r="249" spans="1:35" s="178" customFormat="1" x14ac:dyDescent="0.25">
      <c r="A249" s="176">
        <v>5</v>
      </c>
      <c r="B249" s="176"/>
      <c r="C249" s="176">
        <f t="shared" si="16"/>
        <v>25</v>
      </c>
      <c r="D249" s="176">
        <f t="shared" si="17"/>
        <v>1</v>
      </c>
      <c r="E249" s="176">
        <f t="shared" si="18"/>
        <v>16</v>
      </c>
      <c r="F249" s="176" t="str">
        <f t="shared" si="19"/>
        <v>pm</v>
      </c>
      <c r="G249" s="176" t="s">
        <v>768</v>
      </c>
      <c r="H249" s="176" t="s">
        <v>392</v>
      </c>
      <c r="I249" s="176" t="s">
        <v>769</v>
      </c>
      <c r="J249" s="177" t="s">
        <v>22</v>
      </c>
      <c r="K249" s="178">
        <f t="shared" si="20"/>
        <v>2522.040418704566</v>
      </c>
      <c r="L249" s="176"/>
      <c r="M249" s="178">
        <v>2600</v>
      </c>
      <c r="S249" s="178">
        <v>2522.040418704566</v>
      </c>
      <c r="AH249" s="175"/>
      <c r="AI249" s="175"/>
    </row>
    <row r="250" spans="1:35" s="178" customFormat="1" x14ac:dyDescent="0.25">
      <c r="A250" s="176"/>
      <c r="B250" s="176"/>
      <c r="C250" s="176">
        <f t="shared" si="16"/>
        <v>26</v>
      </c>
      <c r="D250" s="176">
        <f t="shared" si="17"/>
        <v>1</v>
      </c>
      <c r="E250" s="176">
        <f t="shared" si="18"/>
        <v>16</v>
      </c>
      <c r="F250" s="176" t="str">
        <f t="shared" si="19"/>
        <v>crx</v>
      </c>
      <c r="G250" s="176" t="s">
        <v>770</v>
      </c>
      <c r="H250" s="176"/>
      <c r="I250" s="176" t="s">
        <v>771</v>
      </c>
      <c r="J250" s="177" t="s">
        <v>22</v>
      </c>
      <c r="K250" s="178">
        <f t="shared" si="20"/>
        <v>2614.0741138246112</v>
      </c>
      <c r="L250" s="176"/>
      <c r="M250" s="178">
        <v>2600</v>
      </c>
      <c r="O250" s="175"/>
      <c r="P250" s="175">
        <v>2614.0741138246112</v>
      </c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H250" s="175"/>
      <c r="AI250" s="175"/>
    </row>
    <row r="251" spans="1:35" s="178" customFormat="1" x14ac:dyDescent="0.25">
      <c r="A251" s="176">
        <v>1</v>
      </c>
      <c r="B251" s="176"/>
      <c r="C251" s="176">
        <f t="shared" si="16"/>
        <v>27</v>
      </c>
      <c r="D251" s="176">
        <f t="shared" si="17"/>
        <v>1</v>
      </c>
      <c r="E251" s="176">
        <f t="shared" si="18"/>
        <v>16</v>
      </c>
      <c r="F251" s="176" t="str">
        <f t="shared" si="19"/>
        <v>pmx</v>
      </c>
      <c r="G251" s="176" t="s">
        <v>772</v>
      </c>
      <c r="H251" s="176" t="s">
        <v>375</v>
      </c>
      <c r="I251" s="176" t="s">
        <v>773</v>
      </c>
      <c r="J251" s="177" t="s">
        <v>22</v>
      </c>
      <c r="K251" s="178">
        <f t="shared" si="20"/>
        <v>2840.6890102224856</v>
      </c>
      <c r="L251" s="176"/>
      <c r="M251" s="178">
        <v>2600</v>
      </c>
      <c r="O251" s="178">
        <v>2840.6890102224856</v>
      </c>
      <c r="AH251" s="175"/>
      <c r="AI251" s="175"/>
    </row>
    <row r="252" spans="1:35" s="178" customFormat="1" x14ac:dyDescent="0.25">
      <c r="A252" s="176">
        <v>2</v>
      </c>
      <c r="B252" s="176"/>
      <c r="C252" s="176">
        <f t="shared" si="16"/>
        <v>28</v>
      </c>
      <c r="D252" s="176">
        <f t="shared" si="17"/>
        <v>1</v>
      </c>
      <c r="E252" s="176">
        <f t="shared" si="18"/>
        <v>16</v>
      </c>
      <c r="F252" s="176" t="str">
        <f t="shared" si="19"/>
        <v>pm</v>
      </c>
      <c r="G252" s="176" t="s">
        <v>774</v>
      </c>
      <c r="H252" s="176" t="s">
        <v>375</v>
      </c>
      <c r="I252" s="176" t="s">
        <v>775</v>
      </c>
      <c r="J252" s="177" t="s">
        <v>22</v>
      </c>
      <c r="K252" s="178">
        <f t="shared" si="20"/>
        <v>2668.4093745251066</v>
      </c>
      <c r="L252" s="176"/>
      <c r="M252" s="178">
        <v>2600</v>
      </c>
      <c r="S252" s="178">
        <v>2668.4093745251066</v>
      </c>
      <c r="AH252" s="175"/>
      <c r="AI252" s="175"/>
    </row>
    <row r="253" spans="1:35" s="178" customFormat="1" x14ac:dyDescent="0.25">
      <c r="A253" s="176">
        <v>5</v>
      </c>
      <c r="B253" s="176"/>
      <c r="C253" s="176">
        <f t="shared" si="16"/>
        <v>29</v>
      </c>
      <c r="D253" s="176">
        <f t="shared" si="17"/>
        <v>1</v>
      </c>
      <c r="E253" s="176">
        <f t="shared" si="18"/>
        <v>16</v>
      </c>
      <c r="F253" s="176" t="str">
        <f t="shared" si="19"/>
        <v>pm</v>
      </c>
      <c r="G253" s="176" t="s">
        <v>776</v>
      </c>
      <c r="H253" s="176" t="s">
        <v>390</v>
      </c>
      <c r="I253" s="176" t="s">
        <v>777</v>
      </c>
      <c r="J253" s="177" t="s">
        <v>22</v>
      </c>
      <c r="K253" s="178">
        <f t="shared" si="20"/>
        <v>2531.9153909770039</v>
      </c>
      <c r="L253" s="176"/>
      <c r="M253" s="178">
        <v>2600</v>
      </c>
      <c r="P253" s="178">
        <v>2550.7095999075605</v>
      </c>
      <c r="S253" s="178">
        <v>2531.9153909770039</v>
      </c>
      <c r="AH253" s="175"/>
      <c r="AI253" s="175"/>
    </row>
    <row r="254" spans="1:35" s="178" customFormat="1" x14ac:dyDescent="0.25">
      <c r="A254" s="176">
        <v>4</v>
      </c>
      <c r="B254" s="176"/>
      <c r="C254" s="176">
        <f t="shared" si="16"/>
        <v>30</v>
      </c>
      <c r="D254" s="176">
        <f t="shared" si="17"/>
        <v>30</v>
      </c>
      <c r="E254" s="176">
        <f t="shared" si="18"/>
        <v>16</v>
      </c>
      <c r="F254" s="176" t="str">
        <f t="shared" si="19"/>
        <v>pm</v>
      </c>
      <c r="G254" s="176" t="s">
        <v>778</v>
      </c>
      <c r="H254" s="176" t="s">
        <v>378</v>
      </c>
      <c r="I254" s="176" t="s">
        <v>779</v>
      </c>
      <c r="J254" s="177" t="s">
        <v>22</v>
      </c>
      <c r="K254" s="178">
        <f t="shared" si="20"/>
        <v>2783.6188433078114</v>
      </c>
      <c r="L254" s="176"/>
      <c r="M254" s="178">
        <v>2550</v>
      </c>
      <c r="O254" s="178">
        <v>2651.1345929277209</v>
      </c>
      <c r="S254" s="178">
        <v>2783.6188433078114</v>
      </c>
      <c r="AH254" s="175"/>
      <c r="AI254" s="175"/>
    </row>
    <row r="255" spans="1:35" s="178" customFormat="1" x14ac:dyDescent="0.25">
      <c r="A255" s="176">
        <v>6</v>
      </c>
      <c r="B255" s="176"/>
      <c r="C255" s="176">
        <f t="shared" si="16"/>
        <v>31</v>
      </c>
      <c r="D255" s="176">
        <f t="shared" si="17"/>
        <v>31</v>
      </c>
      <c r="E255" s="176">
        <f t="shared" si="18"/>
        <v>16</v>
      </c>
      <c r="F255" s="176" t="str">
        <f t="shared" si="19"/>
        <v>pm</v>
      </c>
      <c r="G255" s="176" t="s">
        <v>305</v>
      </c>
      <c r="H255" s="176" t="s">
        <v>637</v>
      </c>
      <c r="I255" s="176" t="s">
        <v>304</v>
      </c>
      <c r="J255" s="177" t="s">
        <v>22</v>
      </c>
      <c r="K255" s="178">
        <f t="shared" si="20"/>
        <v>2550.4882821127521</v>
      </c>
      <c r="L255" s="176"/>
      <c r="M255" s="178">
        <v>2533.3333333333335</v>
      </c>
      <c r="O255" s="175"/>
      <c r="P255" s="175">
        <v>2604.4583365042622</v>
      </c>
      <c r="Q255" s="175"/>
      <c r="R255" s="175"/>
      <c r="S255" s="175">
        <v>2550.4882821127521</v>
      </c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</row>
    <row r="256" spans="1:35" s="178" customFormat="1" x14ac:dyDescent="0.25">
      <c r="A256" s="176">
        <v>6</v>
      </c>
      <c r="B256" s="176"/>
      <c r="C256" s="176">
        <f t="shared" si="16"/>
        <v>32</v>
      </c>
      <c r="D256" s="176">
        <f t="shared" si="17"/>
        <v>31</v>
      </c>
      <c r="E256" s="176">
        <f t="shared" si="18"/>
        <v>16</v>
      </c>
      <c r="F256" s="176" t="str">
        <f t="shared" si="19"/>
        <v>pm</v>
      </c>
      <c r="G256" s="176" t="s">
        <v>780</v>
      </c>
      <c r="H256" s="176" t="s">
        <v>401</v>
      </c>
      <c r="I256" s="176" t="s">
        <v>781</v>
      </c>
      <c r="J256" s="177" t="s">
        <v>22</v>
      </c>
      <c r="K256" s="178">
        <f t="shared" si="20"/>
        <v>2350.7701139447186</v>
      </c>
      <c r="L256" s="176"/>
      <c r="M256" s="178">
        <v>2533.3333333333335</v>
      </c>
      <c r="P256" s="178">
        <v>2435.1163107014972</v>
      </c>
      <c r="R256" s="178">
        <v>2430.7561370754192</v>
      </c>
      <c r="S256" s="178">
        <v>2350.7701139447186</v>
      </c>
      <c r="AH256" s="175"/>
      <c r="AI256" s="175"/>
    </row>
    <row r="257" spans="1:35" s="178" customFormat="1" x14ac:dyDescent="0.25">
      <c r="A257" s="176">
        <v>5</v>
      </c>
      <c r="B257" s="176"/>
      <c r="C257" s="176">
        <f t="shared" si="16"/>
        <v>33</v>
      </c>
      <c r="D257" s="176">
        <f t="shared" si="17"/>
        <v>33</v>
      </c>
      <c r="E257" s="176">
        <f t="shared" si="18"/>
        <v>16</v>
      </c>
      <c r="F257" s="176" t="str">
        <f t="shared" si="19"/>
        <v>pm</v>
      </c>
      <c r="G257" s="176" t="s">
        <v>782</v>
      </c>
      <c r="H257" s="176" t="s">
        <v>783</v>
      </c>
      <c r="I257" s="176" t="s">
        <v>784</v>
      </c>
      <c r="J257" s="177" t="s">
        <v>22</v>
      </c>
      <c r="K257" s="178">
        <f t="shared" si="20"/>
        <v>2402.6393736189211</v>
      </c>
      <c r="L257" s="176"/>
      <c r="M257" s="178">
        <v>2520</v>
      </c>
      <c r="P257" s="178">
        <v>2367.8687365373366</v>
      </c>
      <c r="S257" s="178">
        <v>2402.6393736189211</v>
      </c>
      <c r="AH257" s="175"/>
      <c r="AI257" s="175"/>
    </row>
    <row r="258" spans="1:35" s="178" customFormat="1" x14ac:dyDescent="0.25">
      <c r="A258" s="176">
        <v>2</v>
      </c>
      <c r="B258" s="176"/>
      <c r="C258" s="176">
        <f t="shared" ref="C258:C321" si="21">IF(E258=E257,C257+1,1)</f>
        <v>34</v>
      </c>
      <c r="D258" s="176">
        <f t="shared" ref="D258:D321" si="22">IF(M258=M257,D257,C258)</f>
        <v>34</v>
      </c>
      <c r="E258" s="176">
        <f t="shared" ref="E258:E321" si="23">10+VALUE(RIGHT(LEFT(G258,3),1))</f>
        <v>16</v>
      </c>
      <c r="F258" s="176" t="str">
        <f t="shared" ref="F258:F321" si="24">RIGHT(G258,2) &amp; IF(A258&lt;2,"x","")</f>
        <v>pm</v>
      </c>
      <c r="G258" s="176" t="s">
        <v>785</v>
      </c>
      <c r="H258" s="176" t="s">
        <v>612</v>
      </c>
      <c r="I258" s="176" t="s">
        <v>786</v>
      </c>
      <c r="J258" s="177" t="s">
        <v>22</v>
      </c>
      <c r="K258" s="178">
        <f t="shared" ref="K258:K321" si="25">LOOKUP(1E+100,M258:AC258)</f>
        <v>2353.7316539645976</v>
      </c>
      <c r="L258" s="176"/>
      <c r="M258" s="178">
        <v>2400</v>
      </c>
      <c r="O258" s="175"/>
      <c r="P258" s="175"/>
      <c r="Q258" s="175"/>
      <c r="R258" s="175"/>
      <c r="S258" s="175">
        <v>2353.7316539645976</v>
      </c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</row>
    <row r="259" spans="1:35" s="178" customFormat="1" x14ac:dyDescent="0.25">
      <c r="A259" s="176">
        <v>2</v>
      </c>
      <c r="B259" s="176"/>
      <c r="C259" s="176">
        <f t="shared" si="21"/>
        <v>35</v>
      </c>
      <c r="D259" s="176">
        <f t="shared" si="22"/>
        <v>34</v>
      </c>
      <c r="E259" s="176">
        <f t="shared" si="23"/>
        <v>16</v>
      </c>
      <c r="F259" s="176" t="str">
        <f t="shared" si="24"/>
        <v>pm</v>
      </c>
      <c r="G259" s="176" t="s">
        <v>787</v>
      </c>
      <c r="H259" s="176" t="s">
        <v>358</v>
      </c>
      <c r="I259" s="176" t="s">
        <v>788</v>
      </c>
      <c r="J259" s="177" t="s">
        <v>22</v>
      </c>
      <c r="K259" s="178">
        <f t="shared" si="25"/>
        <v>2402.8944222193199</v>
      </c>
      <c r="L259" s="176"/>
      <c r="M259" s="178">
        <v>2400</v>
      </c>
      <c r="P259" s="178">
        <v>2402.8944222193199</v>
      </c>
      <c r="AH259" s="175"/>
      <c r="AI259" s="175"/>
    </row>
    <row r="260" spans="1:35" s="178" customFormat="1" x14ac:dyDescent="0.25">
      <c r="A260" s="176">
        <v>4</v>
      </c>
      <c r="B260" s="176"/>
      <c r="C260" s="176">
        <f t="shared" si="21"/>
        <v>36</v>
      </c>
      <c r="D260" s="176">
        <f t="shared" si="22"/>
        <v>34</v>
      </c>
      <c r="E260" s="176">
        <f t="shared" si="23"/>
        <v>16</v>
      </c>
      <c r="F260" s="176" t="str">
        <f t="shared" si="24"/>
        <v>pm</v>
      </c>
      <c r="G260" s="176" t="s">
        <v>307</v>
      </c>
      <c r="H260" s="176" t="s">
        <v>449</v>
      </c>
      <c r="I260" s="176" t="s">
        <v>306</v>
      </c>
      <c r="J260" s="177" t="s">
        <v>22</v>
      </c>
      <c r="K260" s="178">
        <f t="shared" si="25"/>
        <v>2504.8525408531418</v>
      </c>
      <c r="L260" s="176"/>
      <c r="M260" s="178">
        <v>2400</v>
      </c>
      <c r="Q260" s="178">
        <v>2451.1169432151924</v>
      </c>
      <c r="S260" s="178">
        <v>2504.8525408531418</v>
      </c>
      <c r="AH260" s="175"/>
      <c r="AI260" s="175"/>
    </row>
    <row r="261" spans="1:35" s="178" customFormat="1" x14ac:dyDescent="0.25">
      <c r="A261" s="176">
        <v>4</v>
      </c>
      <c r="B261" s="176"/>
      <c r="C261" s="176">
        <f t="shared" si="21"/>
        <v>37</v>
      </c>
      <c r="D261" s="176">
        <f t="shared" si="22"/>
        <v>34</v>
      </c>
      <c r="E261" s="176">
        <f t="shared" si="23"/>
        <v>16</v>
      </c>
      <c r="F261" s="176" t="str">
        <f t="shared" si="24"/>
        <v>pm</v>
      </c>
      <c r="G261" s="176" t="s">
        <v>789</v>
      </c>
      <c r="H261" s="176" t="s">
        <v>378</v>
      </c>
      <c r="I261" s="176" t="s">
        <v>790</v>
      </c>
      <c r="J261" s="177" t="s">
        <v>22</v>
      </c>
      <c r="K261" s="178">
        <f t="shared" si="25"/>
        <v>2511.732454820823</v>
      </c>
      <c r="L261" s="176"/>
      <c r="M261" s="178">
        <v>2400</v>
      </c>
      <c r="P261" s="178">
        <v>2480.5272461425175</v>
      </c>
      <c r="R261" s="178">
        <v>2511.732454820823</v>
      </c>
      <c r="AH261" s="175"/>
      <c r="AI261" s="175"/>
    </row>
    <row r="262" spans="1:35" s="178" customFormat="1" x14ac:dyDescent="0.25">
      <c r="A262" s="176">
        <v>2</v>
      </c>
      <c r="B262" s="176"/>
      <c r="C262" s="176">
        <f t="shared" si="21"/>
        <v>38</v>
      </c>
      <c r="D262" s="176">
        <f t="shared" si="22"/>
        <v>34</v>
      </c>
      <c r="E262" s="176">
        <f t="shared" si="23"/>
        <v>16</v>
      </c>
      <c r="F262" s="176" t="str">
        <f t="shared" si="24"/>
        <v>pm</v>
      </c>
      <c r="G262" s="176" t="s">
        <v>791</v>
      </c>
      <c r="H262" s="176" t="s">
        <v>375</v>
      </c>
      <c r="I262" s="176" t="s">
        <v>792</v>
      </c>
      <c r="J262" s="177" t="s">
        <v>22</v>
      </c>
      <c r="K262" s="178">
        <f t="shared" si="25"/>
        <v>2400</v>
      </c>
      <c r="L262" s="176"/>
      <c r="M262" s="178">
        <v>2400</v>
      </c>
      <c r="AH262" s="175"/>
      <c r="AI262" s="175"/>
    </row>
    <row r="263" spans="1:35" s="178" customFormat="1" x14ac:dyDescent="0.25">
      <c r="A263" s="176">
        <v>2</v>
      </c>
      <c r="B263" s="176"/>
      <c r="C263" s="176">
        <f t="shared" si="21"/>
        <v>39</v>
      </c>
      <c r="D263" s="176">
        <f t="shared" si="22"/>
        <v>34</v>
      </c>
      <c r="E263" s="176">
        <f t="shared" si="23"/>
        <v>16</v>
      </c>
      <c r="F263" s="176" t="str">
        <f t="shared" si="24"/>
        <v>pm</v>
      </c>
      <c r="G263" s="176" t="s">
        <v>311</v>
      </c>
      <c r="H263" s="176" t="s">
        <v>375</v>
      </c>
      <c r="I263" s="176" t="s">
        <v>310</v>
      </c>
      <c r="J263" s="177" t="s">
        <v>22</v>
      </c>
      <c r="K263" s="178">
        <f t="shared" si="25"/>
        <v>2400</v>
      </c>
      <c r="L263" s="176"/>
      <c r="M263" s="178">
        <v>2400</v>
      </c>
      <c r="AH263" s="175"/>
      <c r="AI263" s="175"/>
    </row>
    <row r="264" spans="1:35" s="178" customFormat="1" x14ac:dyDescent="0.25">
      <c r="A264" s="176">
        <v>2</v>
      </c>
      <c r="B264" s="176"/>
      <c r="C264" s="176">
        <f t="shared" si="21"/>
        <v>40</v>
      </c>
      <c r="D264" s="176">
        <f t="shared" si="22"/>
        <v>34</v>
      </c>
      <c r="E264" s="176">
        <f t="shared" si="23"/>
        <v>16</v>
      </c>
      <c r="F264" s="176" t="str">
        <f t="shared" si="24"/>
        <v>pm</v>
      </c>
      <c r="G264" s="176" t="s">
        <v>313</v>
      </c>
      <c r="H264" s="176" t="s">
        <v>375</v>
      </c>
      <c r="I264" s="176" t="s">
        <v>312</v>
      </c>
      <c r="J264" s="177" t="s">
        <v>22</v>
      </c>
      <c r="K264" s="178">
        <f t="shared" si="25"/>
        <v>2400</v>
      </c>
      <c r="L264" s="176"/>
      <c r="M264" s="178">
        <v>2400</v>
      </c>
      <c r="AH264" s="175"/>
      <c r="AI264" s="175"/>
    </row>
    <row r="265" spans="1:35" s="178" customFormat="1" x14ac:dyDescent="0.25">
      <c r="A265" s="176">
        <v>7</v>
      </c>
      <c r="B265" s="176"/>
      <c r="C265" s="176">
        <f t="shared" si="21"/>
        <v>41</v>
      </c>
      <c r="D265" s="176">
        <f t="shared" si="22"/>
        <v>41</v>
      </c>
      <c r="E265" s="176">
        <f t="shared" si="23"/>
        <v>16</v>
      </c>
      <c r="F265" s="176" t="str">
        <f t="shared" si="24"/>
        <v>pm</v>
      </c>
      <c r="G265" s="176" t="s">
        <v>319</v>
      </c>
      <c r="H265" s="176" t="s">
        <v>518</v>
      </c>
      <c r="I265" s="176" t="s">
        <v>318</v>
      </c>
      <c r="J265" s="177" t="s">
        <v>21</v>
      </c>
      <c r="K265" s="178">
        <f t="shared" si="25"/>
        <v>2314.8207408110184</v>
      </c>
      <c r="L265" s="176"/>
      <c r="M265" s="178">
        <v>2314.2857142857142</v>
      </c>
      <c r="P265" s="178">
        <v>2273.6545201751719</v>
      </c>
      <c r="Q265" s="178">
        <v>2314.8207408110184</v>
      </c>
      <c r="AH265" s="175"/>
      <c r="AI265" s="175"/>
    </row>
    <row r="266" spans="1:35" s="178" customFormat="1" x14ac:dyDescent="0.25">
      <c r="A266" s="176">
        <v>3</v>
      </c>
      <c r="B266" s="176"/>
      <c r="C266" s="176">
        <f t="shared" si="21"/>
        <v>42</v>
      </c>
      <c r="D266" s="176">
        <f t="shared" si="22"/>
        <v>42</v>
      </c>
      <c r="E266" s="176">
        <f t="shared" si="23"/>
        <v>16</v>
      </c>
      <c r="F266" s="176" t="str">
        <f t="shared" si="24"/>
        <v>pm</v>
      </c>
      <c r="G266" s="176" t="s">
        <v>793</v>
      </c>
      <c r="H266" s="176" t="s">
        <v>612</v>
      </c>
      <c r="I266" s="176" t="s">
        <v>794</v>
      </c>
      <c r="J266" s="177" t="s">
        <v>21</v>
      </c>
      <c r="K266" s="178">
        <f t="shared" si="25"/>
        <v>2423.8121809417348</v>
      </c>
      <c r="L266" s="176"/>
      <c r="M266" s="178">
        <v>2266.6666666666665</v>
      </c>
      <c r="O266" s="175"/>
      <c r="P266" s="175">
        <v>2345.6284465465415</v>
      </c>
      <c r="Q266" s="175"/>
      <c r="R266" s="175">
        <v>2423.8121809417348</v>
      </c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</row>
    <row r="267" spans="1:35" s="178" customFormat="1" x14ac:dyDescent="0.25">
      <c r="A267" s="176">
        <v>7</v>
      </c>
      <c r="B267" s="176"/>
      <c r="C267" s="176">
        <f t="shared" si="21"/>
        <v>43</v>
      </c>
      <c r="D267" s="176">
        <f t="shared" si="22"/>
        <v>43</v>
      </c>
      <c r="E267" s="176">
        <f t="shared" si="23"/>
        <v>16</v>
      </c>
      <c r="F267" s="176" t="str">
        <f t="shared" si="24"/>
        <v>pm</v>
      </c>
      <c r="G267" s="176" t="s">
        <v>317</v>
      </c>
      <c r="H267" s="176" t="s">
        <v>422</v>
      </c>
      <c r="I267" s="176" t="s">
        <v>316</v>
      </c>
      <c r="J267" s="177" t="s">
        <v>21</v>
      </c>
      <c r="K267" s="178">
        <f t="shared" si="25"/>
        <v>2330.3909835910367</v>
      </c>
      <c r="L267" s="176"/>
      <c r="M267" s="178">
        <v>2257.1428571428573</v>
      </c>
      <c r="P267" s="178">
        <v>2275.0843041720645</v>
      </c>
      <c r="Q267" s="178">
        <v>2330.3909835910367</v>
      </c>
      <c r="AH267" s="175"/>
      <c r="AI267" s="175"/>
    </row>
    <row r="268" spans="1:35" s="178" customFormat="1" x14ac:dyDescent="0.25">
      <c r="A268" s="176">
        <v>5</v>
      </c>
      <c r="B268" s="176"/>
      <c r="C268" s="176">
        <f t="shared" si="21"/>
        <v>44</v>
      </c>
      <c r="D268" s="176">
        <f t="shared" si="22"/>
        <v>44</v>
      </c>
      <c r="E268" s="176">
        <f t="shared" si="23"/>
        <v>16</v>
      </c>
      <c r="F268" s="176" t="str">
        <f t="shared" si="24"/>
        <v>pm</v>
      </c>
      <c r="G268" s="176" t="s">
        <v>795</v>
      </c>
      <c r="H268" s="176" t="s">
        <v>515</v>
      </c>
      <c r="I268" s="176" t="s">
        <v>796</v>
      </c>
      <c r="J268" s="177" t="s">
        <v>21</v>
      </c>
      <c r="K268" s="178">
        <f t="shared" si="25"/>
        <v>2246.3189419369232</v>
      </c>
      <c r="L268" s="176"/>
      <c r="M268" s="178">
        <v>2240</v>
      </c>
      <c r="R268" s="178">
        <v>2246.3189419369232</v>
      </c>
      <c r="AH268" s="175"/>
      <c r="AI268" s="175"/>
    </row>
    <row r="269" spans="1:35" s="178" customFormat="1" x14ac:dyDescent="0.25">
      <c r="A269" s="176">
        <v>6</v>
      </c>
      <c r="B269" s="176"/>
      <c r="C269" s="176">
        <f t="shared" si="21"/>
        <v>45</v>
      </c>
      <c r="D269" s="176">
        <f t="shared" si="22"/>
        <v>45</v>
      </c>
      <c r="E269" s="176">
        <f t="shared" si="23"/>
        <v>16</v>
      </c>
      <c r="F269" s="176" t="str">
        <f t="shared" si="24"/>
        <v>pm</v>
      </c>
      <c r="G269" s="176" t="s">
        <v>797</v>
      </c>
      <c r="H269" s="176" t="s">
        <v>798</v>
      </c>
      <c r="I269" s="176" t="s">
        <v>799</v>
      </c>
      <c r="J269" s="177" t="s">
        <v>21</v>
      </c>
      <c r="K269" s="178">
        <f t="shared" si="25"/>
        <v>2258.8911105410434</v>
      </c>
      <c r="L269" s="176"/>
      <c r="M269" s="178">
        <v>2200</v>
      </c>
      <c r="O269" s="175"/>
      <c r="P269" s="175">
        <v>2229.6713187665032</v>
      </c>
      <c r="Q269" s="175"/>
      <c r="R269" s="175">
        <v>2258.8911105410434</v>
      </c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</row>
    <row r="270" spans="1:35" s="178" customFormat="1" x14ac:dyDescent="0.25">
      <c r="A270" s="176">
        <v>6</v>
      </c>
      <c r="B270" s="176"/>
      <c r="C270" s="176">
        <f t="shared" si="21"/>
        <v>46</v>
      </c>
      <c r="D270" s="176">
        <f t="shared" si="22"/>
        <v>45</v>
      </c>
      <c r="E270" s="176">
        <f t="shared" si="23"/>
        <v>16</v>
      </c>
      <c r="F270" s="176" t="str">
        <f t="shared" si="24"/>
        <v>pm</v>
      </c>
      <c r="G270" s="176" t="s">
        <v>196</v>
      </c>
      <c r="H270" s="176" t="s">
        <v>798</v>
      </c>
      <c r="I270" s="176" t="s">
        <v>195</v>
      </c>
      <c r="J270" s="177" t="s">
        <v>21</v>
      </c>
      <c r="K270" s="178">
        <f t="shared" si="25"/>
        <v>2123.540387847499</v>
      </c>
      <c r="L270" s="176"/>
      <c r="M270" s="178">
        <v>2200</v>
      </c>
      <c r="O270" s="175"/>
      <c r="P270" s="175">
        <v>2122.3031989403148</v>
      </c>
      <c r="Q270" s="175"/>
      <c r="R270" s="175">
        <v>2123.540387847499</v>
      </c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</row>
    <row r="271" spans="1:35" s="178" customFormat="1" x14ac:dyDescent="0.25">
      <c r="A271" s="176">
        <v>6</v>
      </c>
      <c r="B271" s="176"/>
      <c r="C271" s="176">
        <f t="shared" si="21"/>
        <v>47</v>
      </c>
      <c r="D271" s="176">
        <f t="shared" si="22"/>
        <v>45</v>
      </c>
      <c r="E271" s="176">
        <f t="shared" si="23"/>
        <v>16</v>
      </c>
      <c r="F271" s="176" t="str">
        <f t="shared" si="24"/>
        <v>pm</v>
      </c>
      <c r="G271" s="176" t="s">
        <v>800</v>
      </c>
      <c r="H271" s="176" t="s">
        <v>615</v>
      </c>
      <c r="I271" s="176" t="s">
        <v>801</v>
      </c>
      <c r="J271" s="177" t="s">
        <v>21</v>
      </c>
      <c r="K271" s="178">
        <f t="shared" si="25"/>
        <v>2166.7229327282698</v>
      </c>
      <c r="L271" s="176"/>
      <c r="M271" s="178">
        <v>2200</v>
      </c>
      <c r="P271" s="178">
        <v>2170.5044212207163</v>
      </c>
      <c r="R271" s="178">
        <v>2166.7229327282698</v>
      </c>
      <c r="AH271" s="175"/>
      <c r="AI271" s="175"/>
    </row>
    <row r="272" spans="1:35" s="178" customFormat="1" x14ac:dyDescent="0.25">
      <c r="A272" s="176">
        <v>3</v>
      </c>
      <c r="B272" s="176"/>
      <c r="C272" s="176">
        <f t="shared" si="21"/>
        <v>48</v>
      </c>
      <c r="D272" s="176">
        <f t="shared" si="22"/>
        <v>45</v>
      </c>
      <c r="E272" s="176">
        <f t="shared" si="23"/>
        <v>16</v>
      </c>
      <c r="F272" s="176" t="str">
        <f t="shared" si="24"/>
        <v>pm</v>
      </c>
      <c r="G272" s="176" t="s">
        <v>802</v>
      </c>
      <c r="H272" s="176" t="s">
        <v>355</v>
      </c>
      <c r="I272" s="176" t="s">
        <v>803</v>
      </c>
      <c r="J272" s="177" t="s">
        <v>21</v>
      </c>
      <c r="K272" s="178">
        <f t="shared" si="25"/>
        <v>2158.0851509034469</v>
      </c>
      <c r="L272" s="176"/>
      <c r="M272" s="178">
        <v>2200</v>
      </c>
      <c r="P272" s="178">
        <v>2158.0851509034469</v>
      </c>
      <c r="AH272" s="175"/>
      <c r="AI272" s="175"/>
    </row>
    <row r="273" spans="1:35" s="178" customFormat="1" x14ac:dyDescent="0.25">
      <c r="A273" s="176">
        <v>3</v>
      </c>
      <c r="B273" s="176"/>
      <c r="C273" s="176">
        <f t="shared" si="21"/>
        <v>49</v>
      </c>
      <c r="D273" s="176">
        <f t="shared" si="22"/>
        <v>45</v>
      </c>
      <c r="E273" s="176">
        <f t="shared" si="23"/>
        <v>16</v>
      </c>
      <c r="F273" s="176" t="str">
        <f t="shared" si="24"/>
        <v>pm</v>
      </c>
      <c r="G273" s="176" t="s">
        <v>804</v>
      </c>
      <c r="H273" s="176" t="s">
        <v>597</v>
      </c>
      <c r="I273" s="176" t="s">
        <v>805</v>
      </c>
      <c r="J273" s="177" t="s">
        <v>21</v>
      </c>
      <c r="K273" s="178">
        <f t="shared" si="25"/>
        <v>2259.2297058558725</v>
      </c>
      <c r="L273" s="176"/>
      <c r="M273" s="178">
        <v>2200</v>
      </c>
      <c r="P273" s="178">
        <v>2259.2297058558725</v>
      </c>
      <c r="AH273" s="175"/>
      <c r="AI273" s="175"/>
    </row>
    <row r="274" spans="1:35" s="178" customFormat="1" x14ac:dyDescent="0.25">
      <c r="A274" s="176">
        <v>6</v>
      </c>
      <c r="B274" s="176"/>
      <c r="C274" s="176">
        <f t="shared" si="21"/>
        <v>50</v>
      </c>
      <c r="D274" s="176">
        <f t="shared" si="22"/>
        <v>45</v>
      </c>
      <c r="E274" s="176">
        <f t="shared" si="23"/>
        <v>16</v>
      </c>
      <c r="F274" s="176" t="str">
        <f t="shared" si="24"/>
        <v>pm</v>
      </c>
      <c r="G274" s="176" t="s">
        <v>806</v>
      </c>
      <c r="H274" s="176" t="s">
        <v>412</v>
      </c>
      <c r="I274" s="176" t="s">
        <v>807</v>
      </c>
      <c r="J274" s="177" t="s">
        <v>21</v>
      </c>
      <c r="K274" s="178">
        <f t="shared" si="25"/>
        <v>2102.1310809793767</v>
      </c>
      <c r="L274" s="176"/>
      <c r="M274" s="178">
        <v>2200</v>
      </c>
      <c r="R274" s="178">
        <v>2102.1310809793767</v>
      </c>
      <c r="AH274" s="175"/>
      <c r="AI274" s="175"/>
    </row>
    <row r="275" spans="1:35" s="178" customFormat="1" x14ac:dyDescent="0.25">
      <c r="A275" s="176">
        <v>6</v>
      </c>
      <c r="B275" s="176"/>
      <c r="C275" s="176">
        <f t="shared" si="21"/>
        <v>51</v>
      </c>
      <c r="D275" s="176">
        <f t="shared" si="22"/>
        <v>45</v>
      </c>
      <c r="E275" s="176">
        <f t="shared" si="23"/>
        <v>16</v>
      </c>
      <c r="F275" s="176" t="str">
        <f t="shared" si="24"/>
        <v>pm</v>
      </c>
      <c r="G275" s="176" t="s">
        <v>300</v>
      </c>
      <c r="H275" s="176" t="s">
        <v>412</v>
      </c>
      <c r="I275" s="176" t="s">
        <v>299</v>
      </c>
      <c r="J275" s="177" t="s">
        <v>21</v>
      </c>
      <c r="K275" s="178">
        <f t="shared" si="25"/>
        <v>2115.980955417655</v>
      </c>
      <c r="L275" s="176"/>
      <c r="M275" s="178">
        <v>2200</v>
      </c>
      <c r="R275" s="178">
        <v>2115.980955417655</v>
      </c>
      <c r="AH275" s="175"/>
      <c r="AI275" s="175"/>
    </row>
    <row r="276" spans="1:35" s="178" customFormat="1" x14ac:dyDescent="0.25">
      <c r="A276" s="176">
        <v>4</v>
      </c>
      <c r="B276" s="176"/>
      <c r="C276" s="176">
        <f t="shared" si="21"/>
        <v>52</v>
      </c>
      <c r="D276" s="176">
        <f t="shared" si="22"/>
        <v>45</v>
      </c>
      <c r="E276" s="176">
        <f t="shared" si="23"/>
        <v>16</v>
      </c>
      <c r="F276" s="176" t="str">
        <f t="shared" si="24"/>
        <v>pm</v>
      </c>
      <c r="G276" s="176" t="s">
        <v>808</v>
      </c>
      <c r="H276" s="176" t="s">
        <v>365</v>
      </c>
      <c r="I276" s="176" t="s">
        <v>809</v>
      </c>
      <c r="J276" s="177" t="s">
        <v>21</v>
      </c>
      <c r="K276" s="178">
        <f t="shared" si="25"/>
        <v>2200</v>
      </c>
      <c r="L276" s="176"/>
      <c r="M276" s="178">
        <v>2200</v>
      </c>
      <c r="AH276" s="175"/>
      <c r="AI276" s="175"/>
    </row>
    <row r="277" spans="1:35" s="178" customFormat="1" x14ac:dyDescent="0.25">
      <c r="A277" s="176">
        <v>6</v>
      </c>
      <c r="B277" s="176"/>
      <c r="C277" s="176">
        <f t="shared" si="21"/>
        <v>53</v>
      </c>
      <c r="D277" s="176">
        <f t="shared" si="22"/>
        <v>45</v>
      </c>
      <c r="E277" s="176">
        <f t="shared" si="23"/>
        <v>16</v>
      </c>
      <c r="F277" s="176" t="str">
        <f t="shared" si="24"/>
        <v>pm</v>
      </c>
      <c r="G277" s="176" t="s">
        <v>315</v>
      </c>
      <c r="H277" s="176" t="s">
        <v>368</v>
      </c>
      <c r="I277" s="176" t="s">
        <v>314</v>
      </c>
      <c r="J277" s="177" t="s">
        <v>21</v>
      </c>
      <c r="K277" s="178">
        <f t="shared" si="25"/>
        <v>2366.6059849945268</v>
      </c>
      <c r="L277" s="176"/>
      <c r="M277" s="178">
        <v>2200</v>
      </c>
      <c r="P277" s="178">
        <v>2272.6437666154325</v>
      </c>
      <c r="R277" s="178">
        <v>2366.6059849945268</v>
      </c>
      <c r="AH277" s="175"/>
      <c r="AI277" s="175"/>
    </row>
    <row r="278" spans="1:35" s="178" customFormat="1" x14ac:dyDescent="0.25">
      <c r="A278" s="176">
        <v>6</v>
      </c>
      <c r="B278" s="176"/>
      <c r="C278" s="176">
        <f t="shared" si="21"/>
        <v>54</v>
      </c>
      <c r="D278" s="176">
        <f t="shared" si="22"/>
        <v>45</v>
      </c>
      <c r="E278" s="176">
        <f t="shared" si="23"/>
        <v>16</v>
      </c>
      <c r="F278" s="176" t="str">
        <f t="shared" si="24"/>
        <v>pm</v>
      </c>
      <c r="G278" s="176" t="s">
        <v>323</v>
      </c>
      <c r="H278" s="176" t="s">
        <v>392</v>
      </c>
      <c r="I278" s="176" t="s">
        <v>322</v>
      </c>
      <c r="J278" s="177" t="s">
        <v>21</v>
      </c>
      <c r="K278" s="178">
        <f t="shared" si="25"/>
        <v>2201.5596850765965</v>
      </c>
      <c r="L278" s="176"/>
      <c r="M278" s="178">
        <v>2200</v>
      </c>
      <c r="R278" s="178">
        <v>2201.5596850765965</v>
      </c>
      <c r="AH278" s="175"/>
      <c r="AI278" s="175"/>
    </row>
    <row r="279" spans="1:35" s="178" customFormat="1" x14ac:dyDescent="0.25">
      <c r="A279" s="176">
        <v>5</v>
      </c>
      <c r="B279" s="176"/>
      <c r="C279" s="176">
        <f t="shared" si="21"/>
        <v>55</v>
      </c>
      <c r="D279" s="176">
        <f t="shared" si="22"/>
        <v>45</v>
      </c>
      <c r="E279" s="176">
        <f t="shared" si="23"/>
        <v>16</v>
      </c>
      <c r="F279" s="176" t="str">
        <f t="shared" si="24"/>
        <v>pm</v>
      </c>
      <c r="G279" s="176" t="s">
        <v>321</v>
      </c>
      <c r="H279" s="176" t="s">
        <v>421</v>
      </c>
      <c r="I279" s="176" t="s">
        <v>320</v>
      </c>
      <c r="J279" s="177" t="s">
        <v>21</v>
      </c>
      <c r="K279" s="178">
        <f t="shared" si="25"/>
        <v>2266.9866046582174</v>
      </c>
      <c r="L279" s="176"/>
      <c r="M279" s="178">
        <v>2200</v>
      </c>
      <c r="O279" s="175"/>
      <c r="P279" s="175"/>
      <c r="Q279" s="175"/>
      <c r="R279" s="175">
        <v>2266.9866046582174</v>
      </c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H279" s="175"/>
      <c r="AI279" s="175"/>
    </row>
    <row r="280" spans="1:35" s="178" customFormat="1" x14ac:dyDescent="0.25">
      <c r="A280" s="176">
        <v>4</v>
      </c>
      <c r="B280" s="176"/>
      <c r="C280" s="176">
        <f t="shared" si="21"/>
        <v>56</v>
      </c>
      <c r="D280" s="176">
        <f t="shared" si="22"/>
        <v>45</v>
      </c>
      <c r="E280" s="176">
        <f t="shared" si="23"/>
        <v>16</v>
      </c>
      <c r="F280" s="176" t="str">
        <f t="shared" si="24"/>
        <v>pm</v>
      </c>
      <c r="G280" s="176" t="s">
        <v>810</v>
      </c>
      <c r="H280" s="176" t="s">
        <v>393</v>
      </c>
      <c r="I280" s="176" t="s">
        <v>811</v>
      </c>
      <c r="J280" s="177" t="s">
        <v>21</v>
      </c>
      <c r="K280" s="178">
        <f t="shared" si="25"/>
        <v>2159.5399863106313</v>
      </c>
      <c r="L280" s="176"/>
      <c r="M280" s="178">
        <v>2200</v>
      </c>
      <c r="O280" s="175"/>
      <c r="P280" s="175"/>
      <c r="Q280" s="175"/>
      <c r="R280" s="175">
        <v>2159.5399863106313</v>
      </c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H280" s="175"/>
      <c r="AI280" s="175"/>
    </row>
    <row r="281" spans="1:35" s="178" customFormat="1" x14ac:dyDescent="0.25">
      <c r="A281" s="176">
        <v>2</v>
      </c>
      <c r="B281" s="176"/>
      <c r="C281" s="176">
        <f t="shared" si="21"/>
        <v>1</v>
      </c>
      <c r="D281" s="176">
        <f t="shared" si="22"/>
        <v>1</v>
      </c>
      <c r="E281" s="176">
        <f t="shared" si="23"/>
        <v>17</v>
      </c>
      <c r="F281" s="176" t="str">
        <f t="shared" si="24"/>
        <v>pm</v>
      </c>
      <c r="G281" s="176" t="s">
        <v>812</v>
      </c>
      <c r="H281" s="176" t="s">
        <v>813</v>
      </c>
      <c r="I281" s="176" t="s">
        <v>814</v>
      </c>
      <c r="J281" s="177" t="s">
        <v>22</v>
      </c>
      <c r="K281" s="178">
        <f t="shared" si="25"/>
        <v>2779.2387967590221</v>
      </c>
      <c r="L281" s="176"/>
      <c r="M281" s="178">
        <v>2800</v>
      </c>
      <c r="S281" s="178">
        <v>2779.2387967590221</v>
      </c>
      <c r="AH281" s="175"/>
      <c r="AI281" s="175"/>
    </row>
    <row r="282" spans="1:35" s="178" customFormat="1" x14ac:dyDescent="0.25">
      <c r="A282" s="176">
        <v>2</v>
      </c>
      <c r="B282" s="176"/>
      <c r="C282" s="176">
        <f t="shared" si="21"/>
        <v>2</v>
      </c>
      <c r="D282" s="176">
        <f t="shared" si="22"/>
        <v>1</v>
      </c>
      <c r="E282" s="176">
        <f t="shared" si="23"/>
        <v>17</v>
      </c>
      <c r="F282" s="176" t="str">
        <f t="shared" si="24"/>
        <v>pm</v>
      </c>
      <c r="G282" s="176" t="s">
        <v>815</v>
      </c>
      <c r="H282" s="176" t="s">
        <v>362</v>
      </c>
      <c r="I282" s="176" t="s">
        <v>816</v>
      </c>
      <c r="J282" s="177" t="s">
        <v>22</v>
      </c>
      <c r="K282" s="178">
        <f t="shared" si="25"/>
        <v>2800</v>
      </c>
      <c r="L282" s="176"/>
      <c r="M282" s="178">
        <v>2800</v>
      </c>
      <c r="AH282" s="175"/>
      <c r="AI282" s="175"/>
    </row>
    <row r="283" spans="1:35" s="178" customFormat="1" x14ac:dyDescent="0.25">
      <c r="A283" s="176">
        <v>3</v>
      </c>
      <c r="B283" s="176"/>
      <c r="C283" s="176">
        <f t="shared" si="21"/>
        <v>3</v>
      </c>
      <c r="D283" s="176">
        <f t="shared" si="22"/>
        <v>1</v>
      </c>
      <c r="E283" s="176">
        <f t="shared" si="23"/>
        <v>17</v>
      </c>
      <c r="F283" s="176" t="str">
        <f t="shared" si="24"/>
        <v>pm</v>
      </c>
      <c r="G283" s="176" t="s">
        <v>817</v>
      </c>
      <c r="H283" s="176" t="s">
        <v>461</v>
      </c>
      <c r="I283" s="176" t="s">
        <v>818</v>
      </c>
      <c r="J283" s="177" t="s">
        <v>22</v>
      </c>
      <c r="K283" s="178">
        <f t="shared" si="25"/>
        <v>3102.4893975941986</v>
      </c>
      <c r="L283" s="176"/>
      <c r="M283" s="178">
        <v>2800</v>
      </c>
      <c r="O283" s="178">
        <v>2973.4736131947657</v>
      </c>
      <c r="S283" s="178">
        <v>3102.4893975941986</v>
      </c>
      <c r="AH283" s="175"/>
      <c r="AI283" s="175"/>
    </row>
    <row r="284" spans="1:35" s="178" customFormat="1" x14ac:dyDescent="0.25">
      <c r="A284" s="176"/>
      <c r="B284" s="176"/>
      <c r="C284" s="176">
        <f t="shared" si="21"/>
        <v>4</v>
      </c>
      <c r="D284" s="176">
        <f t="shared" si="22"/>
        <v>1</v>
      </c>
      <c r="E284" s="176">
        <f t="shared" si="23"/>
        <v>17</v>
      </c>
      <c r="F284" s="176" t="str">
        <f t="shared" si="24"/>
        <v>crx</v>
      </c>
      <c r="G284" s="176" t="s">
        <v>819</v>
      </c>
      <c r="H284" s="176"/>
      <c r="I284" s="176" t="s">
        <v>820</v>
      </c>
      <c r="J284" s="177" t="s">
        <v>22</v>
      </c>
      <c r="K284" s="178">
        <f t="shared" si="25"/>
        <v>2766.2528151956494</v>
      </c>
      <c r="L284" s="176"/>
      <c r="M284" s="178">
        <v>2800</v>
      </c>
      <c r="O284" s="175">
        <v>2766.2528151956494</v>
      </c>
      <c r="P284" s="175"/>
      <c r="Q284" s="17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H284" s="175"/>
      <c r="AI284" s="175"/>
    </row>
    <row r="285" spans="1:35" s="178" customFormat="1" x14ac:dyDescent="0.25">
      <c r="A285" s="176"/>
      <c r="B285" s="176"/>
      <c r="C285" s="176">
        <f t="shared" si="21"/>
        <v>5</v>
      </c>
      <c r="D285" s="176">
        <f t="shared" si="22"/>
        <v>1</v>
      </c>
      <c r="E285" s="176">
        <f t="shared" si="23"/>
        <v>17</v>
      </c>
      <c r="F285" s="176" t="str">
        <f t="shared" si="24"/>
        <v>crx</v>
      </c>
      <c r="G285" s="176" t="s">
        <v>821</v>
      </c>
      <c r="H285" s="176"/>
      <c r="I285" s="176" t="s">
        <v>822</v>
      </c>
      <c r="J285" s="177" t="s">
        <v>22</v>
      </c>
      <c r="K285" s="178">
        <f t="shared" si="25"/>
        <v>2723.786117369797</v>
      </c>
      <c r="L285" s="176"/>
      <c r="M285" s="178">
        <v>2800</v>
      </c>
      <c r="O285" s="175">
        <v>2723.786117369797</v>
      </c>
      <c r="P285" s="175"/>
      <c r="Q285" s="17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H285" s="175"/>
      <c r="AI285" s="175"/>
    </row>
    <row r="286" spans="1:35" s="178" customFormat="1" x14ac:dyDescent="0.25">
      <c r="A286" s="176">
        <v>5</v>
      </c>
      <c r="B286" s="176"/>
      <c r="C286" s="176">
        <f t="shared" si="21"/>
        <v>6</v>
      </c>
      <c r="D286" s="176">
        <f t="shared" si="22"/>
        <v>1</v>
      </c>
      <c r="E286" s="176">
        <f t="shared" si="23"/>
        <v>17</v>
      </c>
      <c r="F286" s="176" t="str">
        <f t="shared" si="24"/>
        <v>pm</v>
      </c>
      <c r="G286" s="176" t="s">
        <v>823</v>
      </c>
      <c r="H286" s="176" t="s">
        <v>400</v>
      </c>
      <c r="I286" s="176" t="s">
        <v>824</v>
      </c>
      <c r="J286" s="177" t="s">
        <v>22</v>
      </c>
      <c r="K286" s="178">
        <f t="shared" si="25"/>
        <v>2754.6049256265082</v>
      </c>
      <c r="L286" s="176"/>
      <c r="M286" s="178">
        <v>2800</v>
      </c>
      <c r="O286" s="178">
        <v>2754.6049256265082</v>
      </c>
      <c r="AH286" s="175"/>
      <c r="AI286" s="175"/>
    </row>
    <row r="287" spans="1:35" s="178" customFormat="1" x14ac:dyDescent="0.25">
      <c r="A287" s="176">
        <v>5</v>
      </c>
      <c r="B287" s="176"/>
      <c r="C287" s="176">
        <f t="shared" si="21"/>
        <v>7</v>
      </c>
      <c r="D287" s="176">
        <f t="shared" si="22"/>
        <v>1</v>
      </c>
      <c r="E287" s="176">
        <f t="shared" si="23"/>
        <v>17</v>
      </c>
      <c r="F287" s="176" t="str">
        <f t="shared" si="24"/>
        <v>pm</v>
      </c>
      <c r="G287" s="176" t="s">
        <v>825</v>
      </c>
      <c r="H287" s="176" t="s">
        <v>401</v>
      </c>
      <c r="I287" s="176" t="s">
        <v>826</v>
      </c>
      <c r="J287" s="177" t="s">
        <v>22</v>
      </c>
      <c r="K287" s="178">
        <f t="shared" si="25"/>
        <v>2829.2198638381028</v>
      </c>
      <c r="L287" s="176"/>
      <c r="M287" s="178">
        <v>2800</v>
      </c>
      <c r="O287" s="178">
        <v>2861.234669416272</v>
      </c>
      <c r="S287" s="178">
        <v>2829.2198638381028</v>
      </c>
      <c r="AH287" s="175"/>
      <c r="AI287" s="175"/>
    </row>
    <row r="288" spans="1:35" s="178" customFormat="1" x14ac:dyDescent="0.25">
      <c r="A288" s="176">
        <v>6</v>
      </c>
      <c r="B288" s="176"/>
      <c r="C288" s="176">
        <f t="shared" si="21"/>
        <v>8</v>
      </c>
      <c r="D288" s="176">
        <f t="shared" si="22"/>
        <v>1</v>
      </c>
      <c r="E288" s="176">
        <f t="shared" si="23"/>
        <v>17</v>
      </c>
      <c r="F288" s="176" t="str">
        <f t="shared" si="24"/>
        <v>pm</v>
      </c>
      <c r="G288" s="176" t="s">
        <v>827</v>
      </c>
      <c r="H288" s="176" t="s">
        <v>402</v>
      </c>
      <c r="I288" s="176" t="s">
        <v>828</v>
      </c>
      <c r="J288" s="177" t="s">
        <v>22</v>
      </c>
      <c r="K288" s="178">
        <f t="shared" si="25"/>
        <v>2622.3374001433344</v>
      </c>
      <c r="L288" s="176"/>
      <c r="M288" s="178">
        <v>2800</v>
      </c>
      <c r="Q288" s="178">
        <v>2706.2787039991958</v>
      </c>
      <c r="S288" s="178">
        <v>2622.3374001433344</v>
      </c>
      <c r="AH288" s="175"/>
      <c r="AI288" s="175"/>
    </row>
    <row r="289" spans="1:35" s="178" customFormat="1" x14ac:dyDescent="0.25">
      <c r="A289" s="176"/>
      <c r="B289" s="176"/>
      <c r="C289" s="176">
        <f t="shared" si="21"/>
        <v>9</v>
      </c>
      <c r="D289" s="176">
        <f t="shared" si="22"/>
        <v>1</v>
      </c>
      <c r="E289" s="176">
        <f t="shared" si="23"/>
        <v>17</v>
      </c>
      <c r="F289" s="176" t="str">
        <f t="shared" si="24"/>
        <v>crx</v>
      </c>
      <c r="G289" s="176" t="s">
        <v>829</v>
      </c>
      <c r="H289" s="176"/>
      <c r="I289" s="176" t="s">
        <v>830</v>
      </c>
      <c r="J289" s="177" t="s">
        <v>22</v>
      </c>
      <c r="K289" s="178">
        <f t="shared" si="25"/>
        <v>2765.9984255776917</v>
      </c>
      <c r="L289" s="176"/>
      <c r="M289" s="178">
        <v>2800</v>
      </c>
      <c r="O289" s="175">
        <v>2765.9984255776917</v>
      </c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H289" s="175"/>
      <c r="AI289" s="175"/>
    </row>
    <row r="290" spans="1:35" s="178" customFormat="1" x14ac:dyDescent="0.25">
      <c r="A290" s="176">
        <v>1</v>
      </c>
      <c r="B290" s="176"/>
      <c r="C290" s="176">
        <f t="shared" si="21"/>
        <v>10</v>
      </c>
      <c r="D290" s="176">
        <f t="shared" si="22"/>
        <v>1</v>
      </c>
      <c r="E290" s="176">
        <f t="shared" si="23"/>
        <v>17</v>
      </c>
      <c r="F290" s="176" t="str">
        <f t="shared" si="24"/>
        <v>pmx</v>
      </c>
      <c r="G290" s="176" t="s">
        <v>831</v>
      </c>
      <c r="H290" s="176" t="s">
        <v>410</v>
      </c>
      <c r="I290" s="176" t="s">
        <v>832</v>
      </c>
      <c r="J290" s="177" t="s">
        <v>22</v>
      </c>
      <c r="K290" s="178">
        <f t="shared" si="25"/>
        <v>2800</v>
      </c>
      <c r="L290" s="176"/>
      <c r="M290" s="178">
        <v>2800</v>
      </c>
      <c r="AH290" s="175"/>
      <c r="AI290" s="175"/>
    </row>
    <row r="291" spans="1:35" s="178" customFormat="1" x14ac:dyDescent="0.25">
      <c r="A291" s="176">
        <v>4</v>
      </c>
      <c r="B291" s="176"/>
      <c r="C291" s="176">
        <f t="shared" si="21"/>
        <v>11</v>
      </c>
      <c r="D291" s="176">
        <f t="shared" si="22"/>
        <v>1</v>
      </c>
      <c r="E291" s="176">
        <f t="shared" si="23"/>
        <v>17</v>
      </c>
      <c r="F291" s="176" t="str">
        <f t="shared" si="24"/>
        <v>pm</v>
      </c>
      <c r="G291" s="176" t="s">
        <v>833</v>
      </c>
      <c r="H291" s="176" t="s">
        <v>783</v>
      </c>
      <c r="I291" s="176" t="s">
        <v>834</v>
      </c>
      <c r="J291" s="177" t="s">
        <v>22</v>
      </c>
      <c r="K291" s="178">
        <f t="shared" si="25"/>
        <v>2863.4119766884087</v>
      </c>
      <c r="L291" s="176"/>
      <c r="M291" s="178">
        <v>2800</v>
      </c>
      <c r="O291" s="178">
        <v>2863.4119766884087</v>
      </c>
      <c r="AH291" s="175"/>
      <c r="AI291" s="175"/>
    </row>
    <row r="292" spans="1:35" s="178" customFormat="1" x14ac:dyDescent="0.25">
      <c r="A292" s="176">
        <v>5</v>
      </c>
      <c r="B292" s="176"/>
      <c r="C292" s="176">
        <f t="shared" si="21"/>
        <v>12</v>
      </c>
      <c r="D292" s="176">
        <f t="shared" si="22"/>
        <v>1</v>
      </c>
      <c r="E292" s="176">
        <f t="shared" si="23"/>
        <v>17</v>
      </c>
      <c r="F292" s="176" t="str">
        <f t="shared" si="24"/>
        <v>pm</v>
      </c>
      <c r="G292" s="176" t="s">
        <v>835</v>
      </c>
      <c r="H292" s="176" t="s">
        <v>783</v>
      </c>
      <c r="I292" s="176" t="s">
        <v>836</v>
      </c>
      <c r="J292" s="177" t="s">
        <v>22</v>
      </c>
      <c r="K292" s="178">
        <f t="shared" si="25"/>
        <v>2821.4378785123886</v>
      </c>
      <c r="L292" s="176"/>
      <c r="M292" s="178">
        <v>2800</v>
      </c>
      <c r="O292" s="178">
        <v>2821.4378785123886</v>
      </c>
      <c r="AH292" s="175"/>
      <c r="AI292" s="175"/>
    </row>
    <row r="293" spans="1:35" s="178" customFormat="1" x14ac:dyDescent="0.25">
      <c r="A293" s="176">
        <v>6</v>
      </c>
      <c r="B293" s="176"/>
      <c r="C293" s="176">
        <f t="shared" si="21"/>
        <v>13</v>
      </c>
      <c r="D293" s="176">
        <f t="shared" si="22"/>
        <v>1</v>
      </c>
      <c r="E293" s="176">
        <f t="shared" si="23"/>
        <v>17</v>
      </c>
      <c r="F293" s="176" t="str">
        <f t="shared" si="24"/>
        <v>pm</v>
      </c>
      <c r="G293" s="176" t="s">
        <v>837</v>
      </c>
      <c r="H293" s="176" t="s">
        <v>412</v>
      </c>
      <c r="I293" s="176" t="s">
        <v>838</v>
      </c>
      <c r="J293" s="177" t="s">
        <v>22</v>
      </c>
      <c r="K293" s="178">
        <f t="shared" si="25"/>
        <v>2583.0048160921388</v>
      </c>
      <c r="L293" s="176"/>
      <c r="M293" s="178">
        <v>2800</v>
      </c>
      <c r="Q293" s="178">
        <v>2662.8923313239829</v>
      </c>
      <c r="S293" s="178">
        <v>2583.0048160921388</v>
      </c>
      <c r="AH293" s="175"/>
      <c r="AI293" s="175"/>
    </row>
    <row r="294" spans="1:35" s="178" customFormat="1" x14ac:dyDescent="0.25">
      <c r="A294" s="176">
        <v>7</v>
      </c>
      <c r="B294" s="176"/>
      <c r="C294" s="176">
        <f t="shared" si="21"/>
        <v>14</v>
      </c>
      <c r="D294" s="176">
        <f t="shared" si="22"/>
        <v>1</v>
      </c>
      <c r="E294" s="176">
        <f t="shared" si="23"/>
        <v>17</v>
      </c>
      <c r="F294" s="176" t="str">
        <f t="shared" si="24"/>
        <v>pm</v>
      </c>
      <c r="G294" s="176" t="s">
        <v>839</v>
      </c>
      <c r="H294" s="176" t="s">
        <v>368</v>
      </c>
      <c r="I294" s="176" t="s">
        <v>840</v>
      </c>
      <c r="J294" s="177" t="s">
        <v>22</v>
      </c>
      <c r="K294" s="178">
        <f t="shared" si="25"/>
        <v>2693.8652056318556</v>
      </c>
      <c r="L294" s="176"/>
      <c r="M294" s="178">
        <v>2800</v>
      </c>
      <c r="O294" s="178">
        <v>2784.6569942953811</v>
      </c>
      <c r="Q294" s="178">
        <v>2775.1107645117636</v>
      </c>
      <c r="S294" s="178">
        <v>2693.8652056318556</v>
      </c>
      <c r="AH294" s="175"/>
      <c r="AI294" s="175"/>
    </row>
    <row r="295" spans="1:35" s="178" customFormat="1" x14ac:dyDescent="0.25">
      <c r="A295" s="176">
        <v>2</v>
      </c>
      <c r="B295" s="176"/>
      <c r="C295" s="176">
        <f t="shared" si="21"/>
        <v>15</v>
      </c>
      <c r="D295" s="176">
        <f t="shared" si="22"/>
        <v>1</v>
      </c>
      <c r="E295" s="176">
        <f t="shared" si="23"/>
        <v>17</v>
      </c>
      <c r="F295" s="176" t="str">
        <f t="shared" si="24"/>
        <v>pm</v>
      </c>
      <c r="G295" s="176" t="s">
        <v>841</v>
      </c>
      <c r="H295" s="176" t="s">
        <v>387</v>
      </c>
      <c r="I295" s="176" t="s">
        <v>842</v>
      </c>
      <c r="J295" s="177" t="s">
        <v>22</v>
      </c>
      <c r="K295" s="178">
        <f t="shared" si="25"/>
        <v>2866.5369510159803</v>
      </c>
      <c r="L295" s="176"/>
      <c r="M295" s="178">
        <v>2800</v>
      </c>
      <c r="S295" s="178">
        <v>2866.5369510159803</v>
      </c>
      <c r="AH295" s="175"/>
      <c r="AI295" s="175"/>
    </row>
    <row r="296" spans="1:35" s="178" customFormat="1" x14ac:dyDescent="0.25">
      <c r="A296" s="176">
        <v>2</v>
      </c>
      <c r="B296" s="176"/>
      <c r="C296" s="176">
        <f t="shared" si="21"/>
        <v>16</v>
      </c>
      <c r="D296" s="176">
        <f t="shared" si="22"/>
        <v>1</v>
      </c>
      <c r="E296" s="176">
        <f t="shared" si="23"/>
        <v>17</v>
      </c>
      <c r="F296" s="176" t="str">
        <f t="shared" si="24"/>
        <v>pm</v>
      </c>
      <c r="G296" s="176" t="s">
        <v>843</v>
      </c>
      <c r="H296" s="176" t="s">
        <v>387</v>
      </c>
      <c r="I296" s="176" t="s">
        <v>844</v>
      </c>
      <c r="J296" s="177" t="s">
        <v>22</v>
      </c>
      <c r="K296" s="178">
        <f t="shared" si="25"/>
        <v>2815.3029305288383</v>
      </c>
      <c r="L296" s="176"/>
      <c r="M296" s="178">
        <v>2800</v>
      </c>
      <c r="S296" s="178">
        <v>2815.3029305288383</v>
      </c>
      <c r="AH296" s="175"/>
      <c r="AI296" s="175"/>
    </row>
    <row r="297" spans="1:35" s="178" customFormat="1" x14ac:dyDescent="0.25">
      <c r="A297" s="176">
        <v>5</v>
      </c>
      <c r="B297" s="176"/>
      <c r="C297" s="176">
        <f t="shared" si="21"/>
        <v>17</v>
      </c>
      <c r="D297" s="176">
        <f t="shared" si="22"/>
        <v>1</v>
      </c>
      <c r="E297" s="176">
        <f t="shared" si="23"/>
        <v>17</v>
      </c>
      <c r="F297" s="176" t="str">
        <f t="shared" si="24"/>
        <v>pm</v>
      </c>
      <c r="G297" s="176" t="s">
        <v>845</v>
      </c>
      <c r="H297" s="176" t="s">
        <v>384</v>
      </c>
      <c r="I297" s="176" t="s">
        <v>846</v>
      </c>
      <c r="J297" s="177" t="s">
        <v>22</v>
      </c>
      <c r="K297" s="178">
        <f t="shared" si="25"/>
        <v>2737.7307164150166</v>
      </c>
      <c r="L297" s="176"/>
      <c r="M297" s="178">
        <v>2800</v>
      </c>
      <c r="O297" s="178">
        <v>2696.2480007280747</v>
      </c>
      <c r="S297" s="178">
        <v>2737.7307164150166</v>
      </c>
      <c r="AH297" s="175"/>
      <c r="AI297" s="175"/>
    </row>
    <row r="298" spans="1:35" s="178" customFormat="1" x14ac:dyDescent="0.25">
      <c r="A298" s="176">
        <v>4</v>
      </c>
      <c r="B298" s="176"/>
      <c r="C298" s="176">
        <f t="shared" si="21"/>
        <v>18</v>
      </c>
      <c r="D298" s="176">
        <f t="shared" si="22"/>
        <v>1</v>
      </c>
      <c r="E298" s="176">
        <f t="shared" si="23"/>
        <v>17</v>
      </c>
      <c r="F298" s="176" t="str">
        <f t="shared" si="24"/>
        <v>pm</v>
      </c>
      <c r="G298" s="176" t="s">
        <v>847</v>
      </c>
      <c r="H298" s="176" t="s">
        <v>378</v>
      </c>
      <c r="I298" s="176" t="s">
        <v>848</v>
      </c>
      <c r="J298" s="177" t="s">
        <v>22</v>
      </c>
      <c r="K298" s="178">
        <f t="shared" si="25"/>
        <v>2944.1884179431017</v>
      </c>
      <c r="L298" s="176"/>
      <c r="M298" s="178">
        <v>2800</v>
      </c>
      <c r="O298" s="178">
        <v>2844.5024511436382</v>
      </c>
      <c r="S298" s="178">
        <v>2944.1884179431017</v>
      </c>
      <c r="AH298" s="175"/>
      <c r="AI298" s="175"/>
    </row>
    <row r="299" spans="1:35" s="178" customFormat="1" x14ac:dyDescent="0.25">
      <c r="A299" s="176">
        <v>5</v>
      </c>
      <c r="B299" s="176"/>
      <c r="C299" s="176">
        <f t="shared" si="21"/>
        <v>19</v>
      </c>
      <c r="D299" s="176">
        <f t="shared" si="22"/>
        <v>1</v>
      </c>
      <c r="E299" s="176">
        <f t="shared" si="23"/>
        <v>17</v>
      </c>
      <c r="F299" s="176" t="str">
        <f t="shared" si="24"/>
        <v>pm</v>
      </c>
      <c r="G299" s="176" t="s">
        <v>849</v>
      </c>
      <c r="H299" s="176" t="s">
        <v>392</v>
      </c>
      <c r="I299" s="176" t="s">
        <v>850</v>
      </c>
      <c r="J299" s="177" t="s">
        <v>22</v>
      </c>
      <c r="K299" s="178">
        <f t="shared" si="25"/>
        <v>2897.9672276536103</v>
      </c>
      <c r="L299" s="176"/>
      <c r="M299" s="178">
        <v>2800</v>
      </c>
      <c r="S299" s="178">
        <v>2897.9672276536103</v>
      </c>
      <c r="AH299" s="175"/>
      <c r="AI299" s="175"/>
    </row>
    <row r="300" spans="1:35" s="178" customFormat="1" x14ac:dyDescent="0.25">
      <c r="A300" s="176">
        <v>5</v>
      </c>
      <c r="B300" s="176"/>
      <c r="C300" s="176">
        <f t="shared" si="21"/>
        <v>20</v>
      </c>
      <c r="D300" s="176">
        <f t="shared" si="22"/>
        <v>1</v>
      </c>
      <c r="E300" s="176">
        <f t="shared" si="23"/>
        <v>17</v>
      </c>
      <c r="F300" s="176" t="str">
        <f t="shared" si="24"/>
        <v>pm</v>
      </c>
      <c r="G300" s="176" t="s">
        <v>851</v>
      </c>
      <c r="H300" s="176" t="s">
        <v>392</v>
      </c>
      <c r="I300" s="176" t="s">
        <v>852</v>
      </c>
      <c r="J300" s="177" t="s">
        <v>22</v>
      </c>
      <c r="K300" s="178">
        <f t="shared" si="25"/>
        <v>2808.2840462244581</v>
      </c>
      <c r="L300" s="176"/>
      <c r="M300" s="178">
        <v>2800</v>
      </c>
      <c r="S300" s="178">
        <v>2808.2840462244581</v>
      </c>
      <c r="AH300" s="175"/>
      <c r="AI300" s="175"/>
    </row>
    <row r="301" spans="1:35" s="178" customFormat="1" x14ac:dyDescent="0.25">
      <c r="A301" s="176">
        <v>6</v>
      </c>
      <c r="B301" s="176"/>
      <c r="C301" s="176">
        <f t="shared" si="21"/>
        <v>21</v>
      </c>
      <c r="D301" s="176">
        <f t="shared" si="22"/>
        <v>1</v>
      </c>
      <c r="E301" s="176">
        <f t="shared" si="23"/>
        <v>17</v>
      </c>
      <c r="F301" s="176" t="str">
        <f t="shared" si="24"/>
        <v>pm</v>
      </c>
      <c r="G301" s="176" t="s">
        <v>853</v>
      </c>
      <c r="H301" s="176" t="s">
        <v>528</v>
      </c>
      <c r="I301" s="176" t="s">
        <v>854</v>
      </c>
      <c r="J301" s="177" t="s">
        <v>22</v>
      </c>
      <c r="K301" s="178">
        <f t="shared" si="25"/>
        <v>2776.5669321360288</v>
      </c>
      <c r="L301" s="176"/>
      <c r="M301" s="178">
        <v>2800</v>
      </c>
      <c r="O301" s="178">
        <v>2802.3886420389995</v>
      </c>
      <c r="S301" s="178">
        <v>2776.5669321360288</v>
      </c>
      <c r="AH301" s="175"/>
      <c r="AI301" s="175"/>
    </row>
    <row r="302" spans="1:35" s="178" customFormat="1" x14ac:dyDescent="0.25">
      <c r="A302" s="176">
        <v>3</v>
      </c>
      <c r="B302" s="176"/>
      <c r="C302" s="176">
        <f t="shared" si="21"/>
        <v>22</v>
      </c>
      <c r="D302" s="176">
        <f t="shared" si="22"/>
        <v>1</v>
      </c>
      <c r="E302" s="176">
        <f t="shared" si="23"/>
        <v>17</v>
      </c>
      <c r="F302" s="176" t="str">
        <f t="shared" si="24"/>
        <v>pm</v>
      </c>
      <c r="G302" s="176" t="s">
        <v>855</v>
      </c>
      <c r="H302" s="176" t="s">
        <v>694</v>
      </c>
      <c r="I302" s="176" t="s">
        <v>856</v>
      </c>
      <c r="J302" s="177" t="s">
        <v>22</v>
      </c>
      <c r="K302" s="178">
        <f t="shared" si="25"/>
        <v>2845.1085264971489</v>
      </c>
      <c r="L302" s="176"/>
      <c r="M302" s="178">
        <v>2800</v>
      </c>
      <c r="O302" s="178">
        <v>2845.1085264971489</v>
      </c>
      <c r="AH302" s="175"/>
      <c r="AI302" s="175"/>
    </row>
    <row r="303" spans="1:35" s="178" customFormat="1" x14ac:dyDescent="0.25">
      <c r="A303" s="176">
        <v>2</v>
      </c>
      <c r="B303" s="176"/>
      <c r="C303" s="176">
        <f t="shared" si="21"/>
        <v>23</v>
      </c>
      <c r="D303" s="176">
        <f t="shared" si="22"/>
        <v>1</v>
      </c>
      <c r="E303" s="176">
        <f t="shared" si="23"/>
        <v>17</v>
      </c>
      <c r="F303" s="176" t="str">
        <f t="shared" si="24"/>
        <v>pm</v>
      </c>
      <c r="G303" s="176" t="s">
        <v>857</v>
      </c>
      <c r="H303" s="176" t="s">
        <v>375</v>
      </c>
      <c r="I303" s="176" t="s">
        <v>858</v>
      </c>
      <c r="J303" s="177" t="s">
        <v>22</v>
      </c>
      <c r="K303" s="178">
        <f t="shared" si="25"/>
        <v>2885.9737041923854</v>
      </c>
      <c r="L303" s="176"/>
      <c r="M303" s="178">
        <v>2800</v>
      </c>
      <c r="O303" s="178">
        <v>2885.9737041923854</v>
      </c>
      <c r="AH303" s="175"/>
      <c r="AI303" s="175"/>
    </row>
    <row r="304" spans="1:35" s="178" customFormat="1" x14ac:dyDescent="0.25">
      <c r="A304" s="176">
        <v>6</v>
      </c>
      <c r="B304" s="176"/>
      <c r="C304" s="176">
        <f t="shared" si="21"/>
        <v>24</v>
      </c>
      <c r="D304" s="176">
        <f t="shared" si="22"/>
        <v>24</v>
      </c>
      <c r="E304" s="176">
        <f t="shared" si="23"/>
        <v>17</v>
      </c>
      <c r="F304" s="176" t="str">
        <f t="shared" si="24"/>
        <v>pm</v>
      </c>
      <c r="G304" s="176" t="s">
        <v>859</v>
      </c>
      <c r="H304" s="176" t="s">
        <v>422</v>
      </c>
      <c r="I304" s="176" t="s">
        <v>860</v>
      </c>
      <c r="J304" s="177" t="s">
        <v>22</v>
      </c>
      <c r="K304" s="178">
        <f t="shared" si="25"/>
        <v>2759.5348371771374</v>
      </c>
      <c r="L304" s="176"/>
      <c r="M304" s="178">
        <v>2733.3333333333335</v>
      </c>
      <c r="O304" s="178">
        <v>2732.753895579172</v>
      </c>
      <c r="Q304" s="178">
        <v>2797.9208619773253</v>
      </c>
      <c r="S304" s="178">
        <v>2759.5348371771374</v>
      </c>
      <c r="AH304" s="175"/>
      <c r="AI304" s="175"/>
    </row>
    <row r="305" spans="1:35" s="178" customFormat="1" x14ac:dyDescent="0.25">
      <c r="A305" s="176">
        <v>5</v>
      </c>
      <c r="B305" s="176"/>
      <c r="C305" s="176">
        <f t="shared" si="21"/>
        <v>25</v>
      </c>
      <c r="D305" s="176">
        <f t="shared" si="22"/>
        <v>25</v>
      </c>
      <c r="E305" s="176">
        <f t="shared" si="23"/>
        <v>17</v>
      </c>
      <c r="F305" s="176" t="str">
        <f t="shared" si="24"/>
        <v>pm</v>
      </c>
      <c r="G305" s="176" t="s">
        <v>861</v>
      </c>
      <c r="H305" s="176" t="s">
        <v>522</v>
      </c>
      <c r="I305" s="176" t="s">
        <v>862</v>
      </c>
      <c r="J305" s="177" t="s">
        <v>22</v>
      </c>
      <c r="K305" s="178">
        <f t="shared" si="25"/>
        <v>2797.0632037070941</v>
      </c>
      <c r="L305" s="176"/>
      <c r="M305" s="178">
        <v>2720</v>
      </c>
      <c r="O305" s="178">
        <v>2752.8864457613686</v>
      </c>
      <c r="R305" s="178">
        <v>2797.0632037070941</v>
      </c>
      <c r="AH305" s="175"/>
      <c r="AI305" s="175"/>
    </row>
    <row r="306" spans="1:35" s="178" customFormat="1" x14ac:dyDescent="0.25">
      <c r="A306" s="176">
        <v>2</v>
      </c>
      <c r="B306" s="176"/>
      <c r="C306" s="176">
        <f t="shared" si="21"/>
        <v>26</v>
      </c>
      <c r="D306" s="176">
        <f t="shared" si="22"/>
        <v>26</v>
      </c>
      <c r="E306" s="176">
        <f t="shared" si="23"/>
        <v>17</v>
      </c>
      <c r="F306" s="176" t="str">
        <f t="shared" si="24"/>
        <v>pm</v>
      </c>
      <c r="G306" s="176" t="s">
        <v>863</v>
      </c>
      <c r="H306" s="176" t="s">
        <v>375</v>
      </c>
      <c r="I306" s="176" t="s">
        <v>864</v>
      </c>
      <c r="J306" s="177" t="s">
        <v>22</v>
      </c>
      <c r="K306" s="178">
        <f t="shared" si="25"/>
        <v>2700</v>
      </c>
      <c r="L306" s="176"/>
      <c r="M306" s="178">
        <v>2700</v>
      </c>
      <c r="AH306" s="175"/>
      <c r="AI306" s="175"/>
    </row>
    <row r="307" spans="1:35" s="178" customFormat="1" x14ac:dyDescent="0.25">
      <c r="A307" s="176">
        <v>3</v>
      </c>
      <c r="B307" s="176"/>
      <c r="C307" s="176">
        <f t="shared" si="21"/>
        <v>27</v>
      </c>
      <c r="D307" s="176">
        <f t="shared" si="22"/>
        <v>27</v>
      </c>
      <c r="E307" s="176">
        <f t="shared" si="23"/>
        <v>17</v>
      </c>
      <c r="F307" s="176" t="str">
        <f t="shared" si="24"/>
        <v>pm</v>
      </c>
      <c r="G307" s="176" t="s">
        <v>865</v>
      </c>
      <c r="H307" s="176" t="s">
        <v>612</v>
      </c>
      <c r="I307" s="176" t="s">
        <v>866</v>
      </c>
      <c r="J307" s="177" t="s">
        <v>21</v>
      </c>
      <c r="K307" s="178">
        <f t="shared" si="25"/>
        <v>2447.0319715664677</v>
      </c>
      <c r="L307" s="176"/>
      <c r="M307" s="178">
        <v>2400</v>
      </c>
      <c r="O307" s="175"/>
      <c r="P307" s="175">
        <v>2541.3291547953268</v>
      </c>
      <c r="Q307" s="175"/>
      <c r="R307" s="175">
        <v>2447.0319715664677</v>
      </c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</row>
    <row r="308" spans="1:35" s="178" customFormat="1" x14ac:dyDescent="0.25">
      <c r="A308" s="176">
        <v>5</v>
      </c>
      <c r="B308" s="176"/>
      <c r="C308" s="176">
        <f t="shared" si="21"/>
        <v>28</v>
      </c>
      <c r="D308" s="176">
        <f t="shared" si="22"/>
        <v>27</v>
      </c>
      <c r="E308" s="176">
        <f t="shared" si="23"/>
        <v>17</v>
      </c>
      <c r="F308" s="176" t="str">
        <f t="shared" si="24"/>
        <v>pm</v>
      </c>
      <c r="G308" s="176" t="s">
        <v>326</v>
      </c>
      <c r="H308" s="176" t="s">
        <v>637</v>
      </c>
      <c r="I308" s="176" t="s">
        <v>325</v>
      </c>
      <c r="J308" s="177" t="s">
        <v>21</v>
      </c>
      <c r="K308" s="178">
        <f t="shared" si="25"/>
        <v>2525.1096133091269</v>
      </c>
      <c r="L308" s="176"/>
      <c r="M308" s="178">
        <v>2400</v>
      </c>
      <c r="O308" s="175"/>
      <c r="P308" s="175">
        <v>2525.1096133091269</v>
      </c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</row>
    <row r="309" spans="1:35" s="178" customFormat="1" x14ac:dyDescent="0.25">
      <c r="A309" s="176">
        <v>7</v>
      </c>
      <c r="B309" s="176"/>
      <c r="C309" s="176">
        <f t="shared" si="21"/>
        <v>29</v>
      </c>
      <c r="D309" s="176">
        <f t="shared" si="22"/>
        <v>27</v>
      </c>
      <c r="E309" s="176">
        <f t="shared" si="23"/>
        <v>17</v>
      </c>
      <c r="F309" s="176" t="str">
        <f t="shared" si="24"/>
        <v>pm</v>
      </c>
      <c r="G309" s="176" t="s">
        <v>333</v>
      </c>
      <c r="H309" s="176" t="s">
        <v>401</v>
      </c>
      <c r="I309" s="176" t="s">
        <v>332</v>
      </c>
      <c r="J309" s="177" t="s">
        <v>21</v>
      </c>
      <c r="K309" s="178">
        <f t="shared" si="25"/>
        <v>2338.5089997355412</v>
      </c>
      <c r="L309" s="176"/>
      <c r="M309" s="178">
        <v>2400</v>
      </c>
      <c r="P309" s="178">
        <v>2416.330453389638</v>
      </c>
      <c r="R309" s="178">
        <v>2338.5089997355412</v>
      </c>
      <c r="AH309" s="175"/>
      <c r="AI309" s="175"/>
    </row>
    <row r="310" spans="1:35" s="178" customFormat="1" x14ac:dyDescent="0.25">
      <c r="A310" s="176">
        <v>3</v>
      </c>
      <c r="B310" s="176"/>
      <c r="C310" s="176">
        <f t="shared" si="21"/>
        <v>30</v>
      </c>
      <c r="D310" s="176">
        <f t="shared" si="22"/>
        <v>27</v>
      </c>
      <c r="E310" s="176">
        <f t="shared" si="23"/>
        <v>17</v>
      </c>
      <c r="F310" s="176" t="str">
        <f t="shared" si="24"/>
        <v>pm</v>
      </c>
      <c r="G310" s="176" t="s">
        <v>867</v>
      </c>
      <c r="H310" s="176" t="s">
        <v>406</v>
      </c>
      <c r="I310" s="176" t="s">
        <v>868</v>
      </c>
      <c r="J310" s="177" t="s">
        <v>21</v>
      </c>
      <c r="K310" s="178">
        <f t="shared" si="25"/>
        <v>2438.5335285909896</v>
      </c>
      <c r="L310" s="176"/>
      <c r="M310" s="178">
        <v>2400</v>
      </c>
      <c r="P310" s="178">
        <v>2438.5335285909896</v>
      </c>
      <c r="AH310" s="175"/>
      <c r="AI310" s="175"/>
    </row>
    <row r="311" spans="1:35" s="178" customFormat="1" x14ac:dyDescent="0.25">
      <c r="A311" s="176">
        <v>6</v>
      </c>
      <c r="B311" s="176"/>
      <c r="C311" s="176">
        <f t="shared" si="21"/>
        <v>31</v>
      </c>
      <c r="D311" s="176">
        <f t="shared" si="22"/>
        <v>27</v>
      </c>
      <c r="E311" s="176">
        <f t="shared" si="23"/>
        <v>17</v>
      </c>
      <c r="F311" s="176" t="str">
        <f t="shared" si="24"/>
        <v>pm</v>
      </c>
      <c r="G311" s="176" t="s">
        <v>329</v>
      </c>
      <c r="H311" s="176" t="s">
        <v>392</v>
      </c>
      <c r="I311" s="176" t="s">
        <v>328</v>
      </c>
      <c r="J311" s="177" t="s">
        <v>21</v>
      </c>
      <c r="K311" s="178">
        <f t="shared" si="25"/>
        <v>2397.9058130222679</v>
      </c>
      <c r="L311" s="176"/>
      <c r="M311" s="178">
        <v>2400</v>
      </c>
      <c r="R311" s="178">
        <v>2397.9058130222679</v>
      </c>
      <c r="AH311" s="175"/>
      <c r="AI311" s="175"/>
    </row>
    <row r="312" spans="1:35" s="178" customFormat="1" x14ac:dyDescent="0.25">
      <c r="A312" s="176">
        <v>5</v>
      </c>
      <c r="B312" s="176"/>
      <c r="C312" s="176">
        <f t="shared" si="21"/>
        <v>32</v>
      </c>
      <c r="D312" s="176">
        <f t="shared" si="22"/>
        <v>27</v>
      </c>
      <c r="E312" s="176">
        <f t="shared" si="23"/>
        <v>17</v>
      </c>
      <c r="F312" s="176" t="str">
        <f t="shared" si="24"/>
        <v>pm</v>
      </c>
      <c r="G312" s="176" t="s">
        <v>869</v>
      </c>
      <c r="H312" s="176" t="s">
        <v>528</v>
      </c>
      <c r="I312" s="176" t="s">
        <v>870</v>
      </c>
      <c r="J312" s="177" t="s">
        <v>21</v>
      </c>
      <c r="K312" s="178">
        <f t="shared" si="25"/>
        <v>2337.7028474617719</v>
      </c>
      <c r="L312" s="176"/>
      <c r="M312" s="178">
        <v>2400</v>
      </c>
      <c r="R312" s="178">
        <v>2337.7028474617719</v>
      </c>
      <c r="AH312" s="175"/>
      <c r="AI312" s="175"/>
    </row>
    <row r="313" spans="1:35" s="178" customFormat="1" x14ac:dyDescent="0.25">
      <c r="A313" s="176">
        <v>4</v>
      </c>
      <c r="B313" s="176"/>
      <c r="C313" s="176">
        <f t="shared" si="21"/>
        <v>33</v>
      </c>
      <c r="D313" s="176">
        <f t="shared" si="22"/>
        <v>27</v>
      </c>
      <c r="E313" s="176">
        <f t="shared" si="23"/>
        <v>17</v>
      </c>
      <c r="F313" s="176" t="str">
        <f t="shared" si="24"/>
        <v>pm</v>
      </c>
      <c r="G313" s="176" t="s">
        <v>331</v>
      </c>
      <c r="H313" s="176" t="s">
        <v>393</v>
      </c>
      <c r="I313" s="176" t="s">
        <v>330</v>
      </c>
      <c r="J313" s="177" t="s">
        <v>21</v>
      </c>
      <c r="K313" s="178">
        <f t="shared" si="25"/>
        <v>2344.6275487157213</v>
      </c>
      <c r="L313" s="176"/>
      <c r="M313" s="178">
        <v>2400</v>
      </c>
      <c r="O313" s="175"/>
      <c r="P313" s="175"/>
      <c r="Q313" s="175"/>
      <c r="R313" s="175">
        <v>2344.6275487157213</v>
      </c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H313" s="175"/>
      <c r="AI313" s="175"/>
    </row>
    <row r="314" spans="1:35" s="178" customFormat="1" x14ac:dyDescent="0.25">
      <c r="A314" s="176">
        <v>1</v>
      </c>
      <c r="B314" s="176"/>
      <c r="C314" s="176">
        <f t="shared" si="21"/>
        <v>1</v>
      </c>
      <c r="D314" s="176">
        <f t="shared" si="22"/>
        <v>1</v>
      </c>
      <c r="E314" s="176">
        <f t="shared" si="23"/>
        <v>18</v>
      </c>
      <c r="F314" s="176" t="str">
        <f t="shared" si="24"/>
        <v>pmx</v>
      </c>
      <c r="G314" s="176" t="s">
        <v>871</v>
      </c>
      <c r="H314" s="176" t="s">
        <v>701</v>
      </c>
      <c r="I314" s="176" t="s">
        <v>872</v>
      </c>
      <c r="J314" s="177" t="s">
        <v>22</v>
      </c>
      <c r="K314" s="178">
        <f t="shared" si="25"/>
        <v>2910.1931858597623</v>
      </c>
      <c r="L314" s="176"/>
      <c r="M314" s="178">
        <v>3000</v>
      </c>
      <c r="O314" s="175"/>
      <c r="P314" s="175"/>
      <c r="Q314" s="175"/>
      <c r="R314" s="175"/>
      <c r="S314" s="175">
        <v>2910.1931858597623</v>
      </c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</row>
    <row r="315" spans="1:35" s="178" customFormat="1" x14ac:dyDescent="0.25">
      <c r="A315" s="176">
        <v>1</v>
      </c>
      <c r="B315" s="176"/>
      <c r="C315" s="176">
        <f t="shared" si="21"/>
        <v>2</v>
      </c>
      <c r="D315" s="176">
        <f t="shared" si="22"/>
        <v>1</v>
      </c>
      <c r="E315" s="176">
        <f t="shared" si="23"/>
        <v>18</v>
      </c>
      <c r="F315" s="176" t="str">
        <f t="shared" si="24"/>
        <v>pmx</v>
      </c>
      <c r="G315" s="176" t="s">
        <v>873</v>
      </c>
      <c r="H315" s="176" t="s">
        <v>362</v>
      </c>
      <c r="I315" s="176" t="s">
        <v>874</v>
      </c>
      <c r="J315" s="177" t="s">
        <v>22</v>
      </c>
      <c r="K315" s="178">
        <f t="shared" si="25"/>
        <v>3000</v>
      </c>
      <c r="L315" s="176"/>
      <c r="M315" s="178">
        <v>3000</v>
      </c>
      <c r="AH315" s="175"/>
      <c r="AI315" s="175"/>
    </row>
    <row r="316" spans="1:35" s="178" customFormat="1" x14ac:dyDescent="0.25">
      <c r="A316" s="176">
        <v>2</v>
      </c>
      <c r="B316" s="176"/>
      <c r="C316" s="176">
        <f t="shared" si="21"/>
        <v>3</v>
      </c>
      <c r="D316" s="176">
        <f t="shared" si="22"/>
        <v>1</v>
      </c>
      <c r="E316" s="176">
        <f t="shared" si="23"/>
        <v>18</v>
      </c>
      <c r="F316" s="176" t="str">
        <f t="shared" si="24"/>
        <v>pm</v>
      </c>
      <c r="G316" s="176" t="s">
        <v>875</v>
      </c>
      <c r="H316" s="176" t="s">
        <v>461</v>
      </c>
      <c r="I316" s="176" t="s">
        <v>876</v>
      </c>
      <c r="J316" s="177" t="s">
        <v>22</v>
      </c>
      <c r="K316" s="178">
        <f t="shared" si="25"/>
        <v>2931.3411210443674</v>
      </c>
      <c r="L316" s="176"/>
      <c r="M316" s="178">
        <v>3000</v>
      </c>
      <c r="O316" s="178">
        <v>2931.3411210443674</v>
      </c>
      <c r="AH316" s="175"/>
      <c r="AI316" s="175"/>
    </row>
    <row r="317" spans="1:35" s="178" customFormat="1" x14ac:dyDescent="0.25">
      <c r="A317" s="176"/>
      <c r="B317" s="176"/>
      <c r="C317" s="176">
        <f t="shared" si="21"/>
        <v>4</v>
      </c>
      <c r="D317" s="176">
        <f t="shared" si="22"/>
        <v>1</v>
      </c>
      <c r="E317" s="176">
        <f t="shared" si="23"/>
        <v>18</v>
      </c>
      <c r="F317" s="176" t="str">
        <f t="shared" si="24"/>
        <v>crx</v>
      </c>
      <c r="G317" s="176" t="s">
        <v>877</v>
      </c>
      <c r="H317" s="176"/>
      <c r="I317" s="176" t="s">
        <v>878</v>
      </c>
      <c r="J317" s="177" t="s">
        <v>22</v>
      </c>
      <c r="K317" s="178">
        <f t="shared" si="25"/>
        <v>2905.1897231891221</v>
      </c>
      <c r="L317" s="176"/>
      <c r="M317" s="178">
        <v>3000</v>
      </c>
      <c r="O317" s="175">
        <v>2905.1897231891221</v>
      </c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H317" s="175"/>
      <c r="AI317" s="175"/>
    </row>
    <row r="318" spans="1:35" s="178" customFormat="1" x14ac:dyDescent="0.25">
      <c r="A318" s="176">
        <v>2</v>
      </c>
      <c r="B318" s="176"/>
      <c r="C318" s="176">
        <f t="shared" si="21"/>
        <v>5</v>
      </c>
      <c r="D318" s="176">
        <f t="shared" si="22"/>
        <v>1</v>
      </c>
      <c r="E318" s="176">
        <f t="shared" si="23"/>
        <v>18</v>
      </c>
      <c r="F318" s="176" t="str">
        <f t="shared" si="24"/>
        <v>pm</v>
      </c>
      <c r="G318" s="176" t="s">
        <v>879</v>
      </c>
      <c r="H318" s="176" t="s">
        <v>355</v>
      </c>
      <c r="I318" s="176" t="s">
        <v>880</v>
      </c>
      <c r="J318" s="177" t="s">
        <v>22</v>
      </c>
      <c r="K318" s="178">
        <f t="shared" si="25"/>
        <v>2948.6084253075928</v>
      </c>
      <c r="L318" s="176"/>
      <c r="M318" s="178">
        <v>3000</v>
      </c>
      <c r="O318" s="178">
        <v>2948.6084253075928</v>
      </c>
      <c r="AH318" s="175"/>
      <c r="AI318" s="175"/>
    </row>
    <row r="319" spans="1:35" s="178" customFormat="1" x14ac:dyDescent="0.25">
      <c r="A319" s="176">
        <v>1</v>
      </c>
      <c r="B319" s="176"/>
      <c r="C319" s="176">
        <f t="shared" si="21"/>
        <v>6</v>
      </c>
      <c r="D319" s="176">
        <f t="shared" si="22"/>
        <v>1</v>
      </c>
      <c r="E319" s="176">
        <f t="shared" si="23"/>
        <v>18</v>
      </c>
      <c r="F319" s="176" t="str">
        <f t="shared" si="24"/>
        <v>pmx</v>
      </c>
      <c r="G319" s="176" t="s">
        <v>881</v>
      </c>
      <c r="H319" s="176" t="s">
        <v>410</v>
      </c>
      <c r="I319" s="176" t="s">
        <v>882</v>
      </c>
      <c r="J319" s="177" t="s">
        <v>22</v>
      </c>
      <c r="K319" s="178">
        <f t="shared" si="25"/>
        <v>3000</v>
      </c>
      <c r="L319" s="176"/>
      <c r="M319" s="178">
        <v>3000</v>
      </c>
      <c r="AH319" s="175"/>
      <c r="AI319" s="175"/>
    </row>
    <row r="320" spans="1:35" s="178" customFormat="1" x14ac:dyDescent="0.25">
      <c r="A320" s="176">
        <v>5</v>
      </c>
      <c r="B320" s="176"/>
      <c r="C320" s="176">
        <f t="shared" si="21"/>
        <v>7</v>
      </c>
      <c r="D320" s="176">
        <f t="shared" si="22"/>
        <v>1</v>
      </c>
      <c r="E320" s="176">
        <f t="shared" si="23"/>
        <v>18</v>
      </c>
      <c r="F320" s="176" t="str">
        <f t="shared" si="24"/>
        <v>pm</v>
      </c>
      <c r="G320" s="176" t="s">
        <v>883</v>
      </c>
      <c r="H320" s="176" t="s">
        <v>783</v>
      </c>
      <c r="I320" s="176" t="s">
        <v>884</v>
      </c>
      <c r="J320" s="177" t="s">
        <v>22</v>
      </c>
      <c r="K320" s="178">
        <f t="shared" si="25"/>
        <v>2926.6317320617309</v>
      </c>
      <c r="L320" s="176"/>
      <c r="M320" s="178">
        <v>3000</v>
      </c>
      <c r="O320" s="178">
        <v>2926.6317320617309</v>
      </c>
      <c r="AH320" s="175"/>
      <c r="AI320" s="175"/>
    </row>
    <row r="321" spans="1:35" s="178" customFormat="1" x14ac:dyDescent="0.25">
      <c r="A321" s="176">
        <v>4</v>
      </c>
      <c r="B321" s="176"/>
      <c r="C321" s="176">
        <f t="shared" si="21"/>
        <v>8</v>
      </c>
      <c r="D321" s="176">
        <f t="shared" si="22"/>
        <v>1</v>
      </c>
      <c r="E321" s="176">
        <f t="shared" si="23"/>
        <v>18</v>
      </c>
      <c r="F321" s="176" t="str">
        <f t="shared" si="24"/>
        <v>pm</v>
      </c>
      <c r="G321" s="176" t="s">
        <v>885</v>
      </c>
      <c r="H321" s="176" t="s">
        <v>886</v>
      </c>
      <c r="I321" s="176" t="s">
        <v>887</v>
      </c>
      <c r="J321" s="177" t="s">
        <v>22</v>
      </c>
      <c r="K321" s="178">
        <f t="shared" si="25"/>
        <v>3032.3841640874152</v>
      </c>
      <c r="L321" s="176"/>
      <c r="M321" s="178">
        <v>3000</v>
      </c>
      <c r="O321" s="178">
        <v>3032.3841640874152</v>
      </c>
      <c r="AH321" s="175"/>
      <c r="AI321" s="175"/>
    </row>
    <row r="322" spans="1:35" s="178" customFormat="1" x14ac:dyDescent="0.25">
      <c r="A322" s="176">
        <v>7</v>
      </c>
      <c r="B322" s="176"/>
      <c r="C322" s="176">
        <f t="shared" ref="C322:C340" si="26">IF(E322=E321,C321+1,1)</f>
        <v>9</v>
      </c>
      <c r="D322" s="176">
        <f t="shared" ref="D322:D340" si="27">IF(M322=M321,D321,C322)</f>
        <v>1</v>
      </c>
      <c r="E322" s="176">
        <f t="shared" ref="E322:E340" si="28">10+VALUE(RIGHT(LEFT(G322,3),1))</f>
        <v>18</v>
      </c>
      <c r="F322" s="176" t="str">
        <f t="shared" ref="F322:F340" si="29">RIGHT(G322,2) &amp; IF(A322&lt;2,"x","")</f>
        <v>pm</v>
      </c>
      <c r="G322" s="176" t="s">
        <v>888</v>
      </c>
      <c r="H322" s="176" t="s">
        <v>368</v>
      </c>
      <c r="I322" s="176" t="s">
        <v>889</v>
      </c>
      <c r="J322" s="177" t="s">
        <v>22</v>
      </c>
      <c r="K322" s="178">
        <f t="shared" ref="K322:K340" si="30">LOOKUP(1E+100,M322:AC322)</f>
        <v>2955.2831566080927</v>
      </c>
      <c r="L322" s="176"/>
      <c r="M322" s="178">
        <v>3000</v>
      </c>
      <c r="O322" s="178">
        <v>2961.5530975568113</v>
      </c>
      <c r="Q322" s="178">
        <v>3046.1529835455331</v>
      </c>
      <c r="S322" s="178">
        <v>2955.2831566080927</v>
      </c>
      <c r="AH322" s="175"/>
      <c r="AI322" s="175"/>
    </row>
    <row r="323" spans="1:35" s="178" customFormat="1" x14ac:dyDescent="0.25">
      <c r="A323" s="176">
        <v>2</v>
      </c>
      <c r="B323" s="176"/>
      <c r="C323" s="176">
        <f t="shared" si="26"/>
        <v>10</v>
      </c>
      <c r="D323" s="176">
        <f t="shared" si="27"/>
        <v>1</v>
      </c>
      <c r="E323" s="176">
        <f t="shared" si="28"/>
        <v>18</v>
      </c>
      <c r="F323" s="176" t="str">
        <f t="shared" si="29"/>
        <v>pm</v>
      </c>
      <c r="G323" s="176" t="s">
        <v>890</v>
      </c>
      <c r="H323" s="176" t="s">
        <v>567</v>
      </c>
      <c r="I323" s="176" t="s">
        <v>891</v>
      </c>
      <c r="J323" s="177" t="s">
        <v>22</v>
      </c>
      <c r="K323" s="178">
        <f t="shared" si="30"/>
        <v>2935.1707127088944</v>
      </c>
      <c r="L323" s="176"/>
      <c r="M323" s="178">
        <v>3000</v>
      </c>
      <c r="O323" s="178">
        <v>2935.1707127088944</v>
      </c>
      <c r="AH323" s="175"/>
      <c r="AI323" s="175"/>
    </row>
    <row r="324" spans="1:35" s="178" customFormat="1" x14ac:dyDescent="0.25">
      <c r="A324" s="176">
        <v>2</v>
      </c>
      <c r="B324" s="176"/>
      <c r="C324" s="176">
        <f t="shared" si="26"/>
        <v>11</v>
      </c>
      <c r="D324" s="176">
        <f t="shared" si="27"/>
        <v>1</v>
      </c>
      <c r="E324" s="176">
        <f t="shared" si="28"/>
        <v>18</v>
      </c>
      <c r="F324" s="176" t="str">
        <f t="shared" si="29"/>
        <v>pm</v>
      </c>
      <c r="G324" s="176" t="s">
        <v>892</v>
      </c>
      <c r="H324" s="176" t="s">
        <v>387</v>
      </c>
      <c r="I324" s="176" t="s">
        <v>893</v>
      </c>
      <c r="J324" s="177" t="s">
        <v>22</v>
      </c>
      <c r="K324" s="178">
        <f t="shared" si="30"/>
        <v>3000</v>
      </c>
      <c r="L324" s="176"/>
      <c r="M324" s="178">
        <v>3000</v>
      </c>
      <c r="AH324" s="175"/>
      <c r="AI324" s="175"/>
    </row>
    <row r="325" spans="1:35" s="178" customFormat="1" x14ac:dyDescent="0.25">
      <c r="A325" s="176">
        <v>3</v>
      </c>
      <c r="B325" s="176"/>
      <c r="C325" s="176">
        <f t="shared" si="26"/>
        <v>12</v>
      </c>
      <c r="D325" s="176">
        <f t="shared" si="27"/>
        <v>1</v>
      </c>
      <c r="E325" s="176">
        <f t="shared" si="28"/>
        <v>18</v>
      </c>
      <c r="F325" s="176" t="str">
        <f t="shared" si="29"/>
        <v>pm</v>
      </c>
      <c r="G325" s="176" t="s">
        <v>894</v>
      </c>
      <c r="H325" s="176" t="s">
        <v>387</v>
      </c>
      <c r="I325" s="176" t="s">
        <v>895</v>
      </c>
      <c r="J325" s="177" t="s">
        <v>22</v>
      </c>
      <c r="K325" s="178">
        <f t="shared" si="30"/>
        <v>2951.9748898787816</v>
      </c>
      <c r="L325" s="176"/>
      <c r="M325" s="178">
        <v>3000</v>
      </c>
      <c r="S325" s="178">
        <v>2951.9748898787816</v>
      </c>
      <c r="AH325" s="175"/>
      <c r="AI325" s="175"/>
    </row>
    <row r="326" spans="1:35" x14ac:dyDescent="0.25">
      <c r="A326" s="176">
        <v>2</v>
      </c>
      <c r="B326" s="176"/>
      <c r="C326" s="176">
        <f t="shared" si="26"/>
        <v>13</v>
      </c>
      <c r="D326" s="176">
        <f t="shared" si="27"/>
        <v>1</v>
      </c>
      <c r="E326" s="176">
        <f t="shared" si="28"/>
        <v>18</v>
      </c>
      <c r="F326" s="176" t="str">
        <f t="shared" si="29"/>
        <v>pm</v>
      </c>
      <c r="G326" s="176" t="s">
        <v>896</v>
      </c>
      <c r="H326" s="176" t="s">
        <v>454</v>
      </c>
      <c r="I326" s="176" t="s">
        <v>897</v>
      </c>
      <c r="J326" s="177" t="s">
        <v>22</v>
      </c>
      <c r="K326" s="178">
        <f t="shared" si="30"/>
        <v>2883.1952269491931</v>
      </c>
      <c r="L326" s="176"/>
      <c r="M326" s="178">
        <v>3000</v>
      </c>
      <c r="O326" s="178">
        <v>2883.1952269491931</v>
      </c>
      <c r="P326" s="178"/>
      <c r="Q326" s="178"/>
      <c r="R326" s="178"/>
      <c r="S326" s="178"/>
      <c r="T326" s="178"/>
      <c r="U326" s="178"/>
      <c r="V326" s="178"/>
      <c r="W326" s="178"/>
      <c r="X326" s="178"/>
      <c r="Y326" s="178"/>
      <c r="Z326" s="178"/>
      <c r="AA326" s="178"/>
      <c r="AB326" s="178"/>
      <c r="AC326" s="178"/>
      <c r="AD326" s="178"/>
      <c r="AE326" s="178"/>
      <c r="AF326" s="178"/>
      <c r="AG326" s="178"/>
    </row>
    <row r="327" spans="1:35" s="178" customFormat="1" x14ac:dyDescent="0.25">
      <c r="A327" s="176">
        <v>1</v>
      </c>
      <c r="B327" s="176"/>
      <c r="C327" s="176">
        <f t="shared" si="26"/>
        <v>14</v>
      </c>
      <c r="D327" s="176">
        <f t="shared" si="27"/>
        <v>1</v>
      </c>
      <c r="E327" s="176">
        <f t="shared" si="28"/>
        <v>18</v>
      </c>
      <c r="F327" s="176" t="str">
        <f t="shared" si="29"/>
        <v>pmx</v>
      </c>
      <c r="G327" s="176" t="s">
        <v>898</v>
      </c>
      <c r="H327" s="176" t="s">
        <v>352</v>
      </c>
      <c r="I327" s="176" t="s">
        <v>899</v>
      </c>
      <c r="J327" s="177" t="s">
        <v>22</v>
      </c>
      <c r="K327" s="178">
        <f t="shared" si="30"/>
        <v>3000</v>
      </c>
      <c r="L327" s="176"/>
      <c r="M327" s="178">
        <v>3000</v>
      </c>
      <c r="AH327" s="175"/>
      <c r="AI327" s="175"/>
    </row>
    <row r="328" spans="1:35" s="178" customFormat="1" x14ac:dyDescent="0.25">
      <c r="A328" s="176"/>
      <c r="B328" s="176"/>
      <c r="C328" s="176">
        <f t="shared" si="26"/>
        <v>15</v>
      </c>
      <c r="D328" s="176">
        <f t="shared" si="27"/>
        <v>1</v>
      </c>
      <c r="E328" s="176">
        <f t="shared" si="28"/>
        <v>18</v>
      </c>
      <c r="F328" s="176" t="str">
        <f t="shared" si="29"/>
        <v>crx</v>
      </c>
      <c r="G328" s="176" t="s">
        <v>900</v>
      </c>
      <c r="H328" s="176"/>
      <c r="I328" s="176" t="s">
        <v>901</v>
      </c>
      <c r="J328" s="177" t="s">
        <v>22</v>
      </c>
      <c r="K328" s="178">
        <f t="shared" si="30"/>
        <v>3011.2870081310043</v>
      </c>
      <c r="L328" s="176"/>
      <c r="M328" s="178">
        <v>3000</v>
      </c>
      <c r="O328" s="175">
        <v>3011.2870081310043</v>
      </c>
      <c r="P328" s="175"/>
      <c r="Q328" s="175"/>
      <c r="R328" s="175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H328" s="175"/>
      <c r="AI328" s="175"/>
    </row>
    <row r="329" spans="1:35" s="178" customFormat="1" x14ac:dyDescent="0.25">
      <c r="A329" s="176">
        <v>3</v>
      </c>
      <c r="B329" s="176"/>
      <c r="C329" s="176">
        <f t="shared" si="26"/>
        <v>16</v>
      </c>
      <c r="D329" s="176">
        <f t="shared" si="27"/>
        <v>1</v>
      </c>
      <c r="E329" s="176">
        <f t="shared" si="28"/>
        <v>18</v>
      </c>
      <c r="F329" s="176" t="str">
        <f t="shared" si="29"/>
        <v>pm</v>
      </c>
      <c r="G329" s="176" t="s">
        <v>902</v>
      </c>
      <c r="H329" s="176" t="s">
        <v>694</v>
      </c>
      <c r="I329" s="176" t="s">
        <v>903</v>
      </c>
      <c r="J329" s="177" t="s">
        <v>22</v>
      </c>
      <c r="K329" s="178">
        <f t="shared" si="30"/>
        <v>3073.5430014703875</v>
      </c>
      <c r="L329" s="176"/>
      <c r="M329" s="178">
        <v>3000</v>
      </c>
      <c r="O329" s="178">
        <v>3073.5430014703875</v>
      </c>
      <c r="AH329" s="175"/>
      <c r="AI329" s="175"/>
    </row>
    <row r="330" spans="1:35" s="178" customFormat="1" x14ac:dyDescent="0.25">
      <c r="A330" s="176">
        <v>3</v>
      </c>
      <c r="B330" s="176"/>
      <c r="C330" s="176">
        <f t="shared" si="26"/>
        <v>17</v>
      </c>
      <c r="D330" s="176">
        <f t="shared" si="27"/>
        <v>1</v>
      </c>
      <c r="E330" s="176">
        <f t="shared" si="28"/>
        <v>18</v>
      </c>
      <c r="F330" s="176" t="str">
        <f t="shared" si="29"/>
        <v>pm</v>
      </c>
      <c r="G330" s="176" t="s">
        <v>904</v>
      </c>
      <c r="H330" s="176" t="s">
        <v>694</v>
      </c>
      <c r="I330" s="176" t="s">
        <v>905</v>
      </c>
      <c r="J330" s="177" t="s">
        <v>22</v>
      </c>
      <c r="K330" s="178">
        <f t="shared" si="30"/>
        <v>2827.8864358589581</v>
      </c>
      <c r="L330" s="176"/>
      <c r="M330" s="178">
        <v>3000</v>
      </c>
      <c r="O330" s="178">
        <v>2827.8864358589581</v>
      </c>
      <c r="AH330" s="175"/>
      <c r="AI330" s="175"/>
    </row>
    <row r="331" spans="1:35" s="178" customFormat="1" x14ac:dyDescent="0.25">
      <c r="A331" s="176">
        <v>5</v>
      </c>
      <c r="B331" s="176"/>
      <c r="C331" s="176">
        <f t="shared" si="26"/>
        <v>18</v>
      </c>
      <c r="D331" s="176">
        <f t="shared" si="27"/>
        <v>18</v>
      </c>
      <c r="E331" s="176">
        <f t="shared" si="28"/>
        <v>18</v>
      </c>
      <c r="F331" s="176" t="str">
        <f t="shared" si="29"/>
        <v>pm</v>
      </c>
      <c r="G331" s="176" t="s">
        <v>906</v>
      </c>
      <c r="H331" s="176" t="s">
        <v>392</v>
      </c>
      <c r="I331" s="176" t="s">
        <v>907</v>
      </c>
      <c r="J331" s="177" t="s">
        <v>22</v>
      </c>
      <c r="K331" s="178">
        <f t="shared" si="30"/>
        <v>2920</v>
      </c>
      <c r="L331" s="176"/>
      <c r="M331" s="178">
        <v>2920</v>
      </c>
      <c r="AH331" s="175"/>
      <c r="AI331" s="175"/>
    </row>
    <row r="332" spans="1:35" s="178" customFormat="1" x14ac:dyDescent="0.25">
      <c r="A332" s="176">
        <v>3</v>
      </c>
      <c r="B332" s="176"/>
      <c r="C332" s="176">
        <f t="shared" si="26"/>
        <v>19</v>
      </c>
      <c r="D332" s="176">
        <f t="shared" si="27"/>
        <v>19</v>
      </c>
      <c r="E332" s="176">
        <f t="shared" si="28"/>
        <v>18</v>
      </c>
      <c r="F332" s="176" t="str">
        <f t="shared" si="29"/>
        <v>pm</v>
      </c>
      <c r="G332" s="176" t="s">
        <v>908</v>
      </c>
      <c r="H332" s="176" t="s">
        <v>515</v>
      </c>
      <c r="I332" s="176" t="s">
        <v>909</v>
      </c>
      <c r="J332" s="177" t="s">
        <v>22</v>
      </c>
      <c r="K332" s="178">
        <f t="shared" si="30"/>
        <v>2909.4290210334657</v>
      </c>
      <c r="L332" s="176"/>
      <c r="M332" s="178">
        <v>2866.6666666666665</v>
      </c>
      <c r="Q332" s="178">
        <v>2901.9683293212579</v>
      </c>
      <c r="R332" s="178">
        <v>2909.4290210334657</v>
      </c>
      <c r="AH332" s="175"/>
      <c r="AI332" s="175"/>
    </row>
    <row r="333" spans="1:35" s="178" customFormat="1" x14ac:dyDescent="0.25">
      <c r="A333" s="176">
        <v>2</v>
      </c>
      <c r="B333" s="176"/>
      <c r="C333" s="176">
        <f t="shared" si="26"/>
        <v>20</v>
      </c>
      <c r="D333" s="176">
        <f t="shared" si="27"/>
        <v>20</v>
      </c>
      <c r="E333" s="176">
        <f t="shared" si="28"/>
        <v>18</v>
      </c>
      <c r="F333" s="176" t="str">
        <f t="shared" si="29"/>
        <v>pm</v>
      </c>
      <c r="G333" s="176" t="s">
        <v>910</v>
      </c>
      <c r="H333" s="176" t="s">
        <v>614</v>
      </c>
      <c r="I333" s="176" t="s">
        <v>911</v>
      </c>
      <c r="J333" s="177" t="s">
        <v>22</v>
      </c>
      <c r="K333" s="178">
        <f t="shared" si="30"/>
        <v>2800</v>
      </c>
      <c r="L333" s="176"/>
      <c r="M333" s="178">
        <v>2800</v>
      </c>
      <c r="AH333" s="175"/>
      <c r="AI333" s="175"/>
    </row>
    <row r="334" spans="1:35" s="178" customFormat="1" x14ac:dyDescent="0.25">
      <c r="A334" s="176"/>
      <c r="B334" s="176"/>
      <c r="C334" s="176">
        <f t="shared" si="26"/>
        <v>21</v>
      </c>
      <c r="D334" s="176">
        <f t="shared" si="27"/>
        <v>21</v>
      </c>
      <c r="E334" s="176">
        <f t="shared" si="28"/>
        <v>18</v>
      </c>
      <c r="F334" s="176" t="str">
        <f t="shared" si="29"/>
        <v>odx</v>
      </c>
      <c r="G334" s="176" t="s">
        <v>912</v>
      </c>
      <c r="H334" s="176"/>
      <c r="I334" s="176" t="s">
        <v>913</v>
      </c>
      <c r="J334" s="177" t="s">
        <v>21</v>
      </c>
      <c r="K334" s="178">
        <f t="shared" si="30"/>
        <v>2602.9185670807669</v>
      </c>
      <c r="L334" s="176"/>
      <c r="M334" s="178">
        <v>2600</v>
      </c>
      <c r="O334" s="175"/>
      <c r="P334" s="175">
        <v>2602.9185670807669</v>
      </c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H334" s="175"/>
      <c r="AI334" s="175"/>
    </row>
    <row r="335" spans="1:35" s="178" customFormat="1" x14ac:dyDescent="0.25">
      <c r="A335" s="176">
        <v>6</v>
      </c>
      <c r="B335" s="176"/>
      <c r="C335" s="176">
        <f t="shared" si="26"/>
        <v>22</v>
      </c>
      <c r="D335" s="176">
        <f t="shared" si="27"/>
        <v>21</v>
      </c>
      <c r="E335" s="176">
        <f t="shared" si="28"/>
        <v>18</v>
      </c>
      <c r="F335" s="176" t="str">
        <f t="shared" si="29"/>
        <v>pm</v>
      </c>
      <c r="G335" s="176" t="s">
        <v>914</v>
      </c>
      <c r="H335" s="176" t="s">
        <v>798</v>
      </c>
      <c r="I335" s="176" t="s">
        <v>915</v>
      </c>
      <c r="J335" s="177" t="s">
        <v>21</v>
      </c>
      <c r="K335" s="178">
        <f t="shared" si="30"/>
        <v>2596.2496974466353</v>
      </c>
      <c r="L335" s="176"/>
      <c r="M335" s="178">
        <v>2600</v>
      </c>
      <c r="O335" s="175"/>
      <c r="P335" s="175">
        <v>2574.5250405208717</v>
      </c>
      <c r="Q335" s="175"/>
      <c r="R335" s="175">
        <v>2596.2496974466353</v>
      </c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</row>
    <row r="336" spans="1:35" s="178" customFormat="1" x14ac:dyDescent="0.25">
      <c r="A336" s="176">
        <v>5</v>
      </c>
      <c r="B336" s="176"/>
      <c r="C336" s="176">
        <f t="shared" si="26"/>
        <v>23</v>
      </c>
      <c r="D336" s="176">
        <f t="shared" si="27"/>
        <v>21</v>
      </c>
      <c r="E336" s="176">
        <f t="shared" si="28"/>
        <v>18</v>
      </c>
      <c r="F336" s="176" t="str">
        <f t="shared" si="29"/>
        <v>pm</v>
      </c>
      <c r="G336" s="176" t="s">
        <v>916</v>
      </c>
      <c r="H336" s="176" t="s">
        <v>701</v>
      </c>
      <c r="I336" s="176" t="s">
        <v>917</v>
      </c>
      <c r="J336" s="177" t="s">
        <v>21</v>
      </c>
      <c r="K336" s="178">
        <f t="shared" si="30"/>
        <v>2473.7158443350222</v>
      </c>
      <c r="L336" s="176"/>
      <c r="M336" s="178">
        <v>2600</v>
      </c>
      <c r="O336" s="175"/>
      <c r="P336" s="175">
        <v>2557.8851549220831</v>
      </c>
      <c r="Q336" s="175"/>
      <c r="R336" s="175">
        <v>2473.7158443350222</v>
      </c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</row>
    <row r="337" spans="1:35" s="178" customFormat="1" x14ac:dyDescent="0.25">
      <c r="A337" s="176">
        <v>6</v>
      </c>
      <c r="B337" s="176"/>
      <c r="C337" s="176">
        <f t="shared" si="26"/>
        <v>24</v>
      </c>
      <c r="D337" s="176">
        <f t="shared" si="27"/>
        <v>21</v>
      </c>
      <c r="E337" s="176">
        <f t="shared" si="28"/>
        <v>18</v>
      </c>
      <c r="F337" s="176" t="str">
        <f t="shared" si="29"/>
        <v>pm</v>
      </c>
      <c r="G337" s="176" t="s">
        <v>918</v>
      </c>
      <c r="H337" s="176" t="s">
        <v>615</v>
      </c>
      <c r="I337" s="176" t="s">
        <v>919</v>
      </c>
      <c r="J337" s="177" t="s">
        <v>21</v>
      </c>
      <c r="K337" s="178">
        <f t="shared" si="30"/>
        <v>2509.4195548725629</v>
      </c>
      <c r="L337" s="176"/>
      <c r="M337" s="178">
        <v>2600</v>
      </c>
      <c r="P337" s="178">
        <v>2514.7294899987492</v>
      </c>
      <c r="R337" s="178">
        <v>2509.4195548725629</v>
      </c>
      <c r="AH337" s="175"/>
      <c r="AI337" s="175"/>
    </row>
    <row r="338" spans="1:35" s="178" customFormat="1" x14ac:dyDescent="0.25">
      <c r="A338" s="176"/>
      <c r="B338" s="176"/>
      <c r="C338" s="176">
        <f t="shared" si="26"/>
        <v>25</v>
      </c>
      <c r="D338" s="176">
        <f t="shared" si="27"/>
        <v>21</v>
      </c>
      <c r="E338" s="176">
        <f t="shared" si="28"/>
        <v>18</v>
      </c>
      <c r="F338" s="176" t="str">
        <f t="shared" si="29"/>
        <v>crx</v>
      </c>
      <c r="G338" s="176" t="s">
        <v>920</v>
      </c>
      <c r="H338" s="176"/>
      <c r="I338" s="176" t="s">
        <v>921</v>
      </c>
      <c r="J338" s="177" t="s">
        <v>21</v>
      </c>
      <c r="K338" s="178">
        <f t="shared" si="30"/>
        <v>2400.0726824600274</v>
      </c>
      <c r="L338" s="176"/>
      <c r="M338" s="178">
        <v>2600</v>
      </c>
      <c r="O338" s="175"/>
      <c r="P338" s="175">
        <v>2475.4152379667557</v>
      </c>
      <c r="Q338" s="175"/>
      <c r="R338" s="175">
        <v>2472.4288388686223</v>
      </c>
      <c r="S338" s="175">
        <v>2400.0726824600274</v>
      </c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H338" s="175"/>
      <c r="AI338" s="175"/>
    </row>
    <row r="339" spans="1:35" s="178" customFormat="1" x14ac:dyDescent="0.25">
      <c r="A339" s="176">
        <v>4</v>
      </c>
      <c r="B339" s="176"/>
      <c r="C339" s="176">
        <f t="shared" si="26"/>
        <v>26</v>
      </c>
      <c r="D339" s="176">
        <f t="shared" si="27"/>
        <v>21</v>
      </c>
      <c r="E339" s="176">
        <f t="shared" si="28"/>
        <v>18</v>
      </c>
      <c r="F339" s="176" t="str">
        <f t="shared" si="29"/>
        <v>pm</v>
      </c>
      <c r="G339" s="176" t="s">
        <v>922</v>
      </c>
      <c r="H339" s="176" t="s">
        <v>715</v>
      </c>
      <c r="I339" s="176" t="s">
        <v>923</v>
      </c>
      <c r="J339" s="177" t="s">
        <v>21</v>
      </c>
      <c r="K339" s="178">
        <f t="shared" si="30"/>
        <v>2553.2237594256922</v>
      </c>
      <c r="L339" s="176"/>
      <c r="M339" s="178">
        <v>2600</v>
      </c>
      <c r="P339" s="178">
        <v>2553.2237594256922</v>
      </c>
      <c r="AH339" s="175"/>
      <c r="AI339" s="175"/>
    </row>
    <row r="340" spans="1:35" s="178" customFormat="1" x14ac:dyDescent="0.25">
      <c r="A340" s="176">
        <v>5</v>
      </c>
      <c r="B340" s="176"/>
      <c r="C340" s="176">
        <f t="shared" si="26"/>
        <v>27</v>
      </c>
      <c r="D340" s="176">
        <f t="shared" si="27"/>
        <v>21</v>
      </c>
      <c r="E340" s="176">
        <f t="shared" si="28"/>
        <v>18</v>
      </c>
      <c r="F340" s="176" t="str">
        <f t="shared" si="29"/>
        <v>pm</v>
      </c>
      <c r="G340" s="176" t="s">
        <v>924</v>
      </c>
      <c r="H340" s="176" t="s">
        <v>528</v>
      </c>
      <c r="I340" s="176" t="s">
        <v>925</v>
      </c>
      <c r="J340" s="177" t="s">
        <v>21</v>
      </c>
      <c r="K340" s="178">
        <f t="shared" si="30"/>
        <v>2578.5617945802783</v>
      </c>
      <c r="L340" s="176"/>
      <c r="M340" s="178">
        <v>2600</v>
      </c>
      <c r="R340" s="178">
        <v>2578.5617945802783</v>
      </c>
      <c r="AH340" s="175"/>
      <c r="AI340" s="175"/>
    </row>
    <row r="342" spans="1:35" s="178" customFormat="1" x14ac:dyDescent="0.25">
      <c r="A342" s="176"/>
      <c r="B342" s="176"/>
      <c r="C342" s="176">
        <f t="shared" ref="C342:C354" si="31">IF(E342=E341,C341+1,1)</f>
        <v>1</v>
      </c>
      <c r="D342" s="176">
        <f t="shared" ref="D342:D354" si="32">IF(M342=M341,D341,C342)</f>
        <v>1</v>
      </c>
      <c r="E342" s="176">
        <f t="shared" ref="E342:E354" si="33">10+VALUE(RIGHT(LEFT(G342,3),1))</f>
        <v>12</v>
      </c>
      <c r="F342" s="176" t="str">
        <f t="shared" ref="F342:F354" si="34">RIGHT(G342,2) &amp; IF(A342&lt;2,"x","")</f>
        <v>crx</v>
      </c>
      <c r="G342" s="176" t="s">
        <v>926</v>
      </c>
      <c r="H342" s="176"/>
      <c r="I342" s="176" t="s">
        <v>927</v>
      </c>
      <c r="J342" s="177" t="s">
        <v>21</v>
      </c>
      <c r="K342" s="178">
        <f t="shared" ref="K342:K354" si="35">LOOKUP(1E+100,M342:AC342)</f>
        <v>1320.4862658830502</v>
      </c>
      <c r="L342" s="176"/>
      <c r="M342" s="178">
        <v>1400</v>
      </c>
      <c r="O342" s="175"/>
      <c r="P342" s="175"/>
      <c r="Q342" s="175"/>
      <c r="R342" s="175">
        <v>1320.4862658830502</v>
      </c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H342" s="175"/>
      <c r="AI342" s="175"/>
    </row>
    <row r="343" spans="1:35" s="178" customFormat="1" x14ac:dyDescent="0.25">
      <c r="A343" s="176"/>
      <c r="B343" s="176"/>
      <c r="C343" s="176">
        <f t="shared" si="31"/>
        <v>2</v>
      </c>
      <c r="D343" s="176">
        <f t="shared" si="32"/>
        <v>1</v>
      </c>
      <c r="E343" s="176">
        <f t="shared" si="33"/>
        <v>12</v>
      </c>
      <c r="F343" s="176" t="str">
        <f t="shared" si="34"/>
        <v>crx</v>
      </c>
      <c r="G343" s="176" t="s">
        <v>928</v>
      </c>
      <c r="H343" s="176"/>
      <c r="I343" s="176" t="s">
        <v>929</v>
      </c>
      <c r="J343" s="177" t="s">
        <v>21</v>
      </c>
      <c r="K343" s="178">
        <f t="shared" si="35"/>
        <v>1391.8137915140383</v>
      </c>
      <c r="L343" s="176"/>
      <c r="M343" s="178">
        <v>1400</v>
      </c>
      <c r="O343" s="175"/>
      <c r="P343" s="175"/>
      <c r="Q343" s="175"/>
      <c r="R343" s="175">
        <v>1391.8137915140383</v>
      </c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H343" s="175"/>
      <c r="AI343" s="175"/>
    </row>
    <row r="344" spans="1:35" s="178" customFormat="1" x14ac:dyDescent="0.25">
      <c r="A344" s="176"/>
      <c r="B344" s="176"/>
      <c r="C344" s="176">
        <f t="shared" si="31"/>
        <v>1</v>
      </c>
      <c r="D344" s="176">
        <f t="shared" si="32"/>
        <v>1</v>
      </c>
      <c r="E344" s="176">
        <f t="shared" si="33"/>
        <v>13</v>
      </c>
      <c r="F344" s="176" t="str">
        <f t="shared" si="34"/>
        <v>crx</v>
      </c>
      <c r="G344" s="176" t="s">
        <v>930</v>
      </c>
      <c r="H344" s="176"/>
      <c r="I344" s="176" t="s">
        <v>931</v>
      </c>
      <c r="J344" s="177" t="s">
        <v>21</v>
      </c>
      <c r="K344" s="178">
        <f t="shared" si="35"/>
        <v>1581.7793548939239</v>
      </c>
      <c r="L344" s="176"/>
      <c r="M344" s="178">
        <v>1600</v>
      </c>
      <c r="O344" s="175"/>
      <c r="P344" s="175"/>
      <c r="Q344" s="175"/>
      <c r="R344" s="175">
        <v>1581.7793548939239</v>
      </c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H344" s="175"/>
      <c r="AI344" s="175"/>
    </row>
    <row r="345" spans="1:35" s="178" customFormat="1" x14ac:dyDescent="0.25">
      <c r="A345" s="176"/>
      <c r="B345" s="176"/>
      <c r="C345" s="176">
        <f t="shared" si="31"/>
        <v>2</v>
      </c>
      <c r="D345" s="176">
        <f t="shared" si="32"/>
        <v>1</v>
      </c>
      <c r="E345" s="176">
        <f t="shared" si="33"/>
        <v>13</v>
      </c>
      <c r="F345" s="176" t="str">
        <f t="shared" si="34"/>
        <v>crx</v>
      </c>
      <c r="G345" s="176" t="s">
        <v>932</v>
      </c>
      <c r="H345" s="176"/>
      <c r="I345" s="176" t="s">
        <v>933</v>
      </c>
      <c r="J345" s="177" t="s">
        <v>21</v>
      </c>
      <c r="K345" s="178">
        <f t="shared" si="35"/>
        <v>1538.2512759206038</v>
      </c>
      <c r="L345" s="176"/>
      <c r="M345" s="178">
        <v>1600</v>
      </c>
      <c r="O345" s="175"/>
      <c r="P345" s="175"/>
      <c r="Q345" s="175"/>
      <c r="R345" s="175">
        <v>1538.2512759206038</v>
      </c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H345" s="175"/>
      <c r="AI345" s="175"/>
    </row>
    <row r="346" spans="1:35" s="178" customFormat="1" x14ac:dyDescent="0.25">
      <c r="A346" s="176"/>
      <c r="B346" s="176"/>
      <c r="C346" s="176">
        <f t="shared" si="31"/>
        <v>3</v>
      </c>
      <c r="D346" s="176">
        <f t="shared" si="32"/>
        <v>1</v>
      </c>
      <c r="E346" s="176">
        <f t="shared" si="33"/>
        <v>13</v>
      </c>
      <c r="F346" s="176" t="str">
        <f t="shared" si="34"/>
        <v>sox</v>
      </c>
      <c r="G346" s="176" t="s">
        <v>934</v>
      </c>
      <c r="H346" s="176"/>
      <c r="I346" s="176" t="s">
        <v>935</v>
      </c>
      <c r="J346" s="177" t="s">
        <v>21</v>
      </c>
      <c r="K346" s="178">
        <f t="shared" si="35"/>
        <v>1588.274267499768</v>
      </c>
      <c r="L346" s="176"/>
      <c r="M346" s="178">
        <v>1600</v>
      </c>
      <c r="O346" s="175"/>
      <c r="P346" s="175"/>
      <c r="Q346" s="175"/>
      <c r="R346" s="175">
        <v>1588.274267499768</v>
      </c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H346" s="175"/>
      <c r="AI346" s="175"/>
    </row>
    <row r="347" spans="1:35" s="178" customFormat="1" x14ac:dyDescent="0.25">
      <c r="A347" s="176"/>
      <c r="B347" s="176"/>
      <c r="C347" s="176">
        <f t="shared" si="31"/>
        <v>4</v>
      </c>
      <c r="D347" s="176">
        <f t="shared" si="32"/>
        <v>1</v>
      </c>
      <c r="E347" s="176">
        <f t="shared" si="33"/>
        <v>13</v>
      </c>
      <c r="F347" s="176" t="str">
        <f t="shared" si="34"/>
        <v>crx</v>
      </c>
      <c r="G347" s="176" t="s">
        <v>936</v>
      </c>
      <c r="H347" s="176"/>
      <c r="I347" s="176" t="s">
        <v>937</v>
      </c>
      <c r="J347" s="177" t="s">
        <v>21</v>
      </c>
      <c r="K347" s="178">
        <f t="shared" si="35"/>
        <v>1691.8845030087787</v>
      </c>
      <c r="L347" s="176"/>
      <c r="M347" s="178">
        <v>1600</v>
      </c>
      <c r="O347" s="175"/>
      <c r="P347" s="175"/>
      <c r="Q347" s="175"/>
      <c r="R347" s="175">
        <v>1691.8845030087787</v>
      </c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H347" s="175"/>
      <c r="AI347" s="175"/>
    </row>
    <row r="348" spans="1:35" s="178" customFormat="1" x14ac:dyDescent="0.25">
      <c r="A348" s="176"/>
      <c r="B348" s="176"/>
      <c r="C348" s="176">
        <f t="shared" si="31"/>
        <v>5</v>
      </c>
      <c r="D348" s="176">
        <f t="shared" si="32"/>
        <v>1</v>
      </c>
      <c r="E348" s="176">
        <f t="shared" si="33"/>
        <v>13</v>
      </c>
      <c r="F348" s="176" t="str">
        <f t="shared" si="34"/>
        <v>crx</v>
      </c>
      <c r="G348" s="176" t="s">
        <v>938</v>
      </c>
      <c r="H348" s="176"/>
      <c r="I348" s="176" t="s">
        <v>939</v>
      </c>
      <c r="J348" s="177" t="s">
        <v>21</v>
      </c>
      <c r="K348" s="178">
        <f t="shared" si="35"/>
        <v>1677.7593858620078</v>
      </c>
      <c r="L348" s="176"/>
      <c r="M348" s="178">
        <v>1600</v>
      </c>
      <c r="O348" s="175"/>
      <c r="P348" s="175"/>
      <c r="Q348" s="175"/>
      <c r="R348" s="175">
        <v>1677.7593858620078</v>
      </c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H348" s="175"/>
      <c r="AI348" s="175"/>
    </row>
    <row r="349" spans="1:35" s="178" customFormat="1" x14ac:dyDescent="0.25">
      <c r="A349" s="176"/>
      <c r="B349" s="176"/>
      <c r="C349" s="176">
        <f t="shared" si="31"/>
        <v>6</v>
      </c>
      <c r="D349" s="176">
        <f t="shared" si="32"/>
        <v>1</v>
      </c>
      <c r="E349" s="176">
        <f t="shared" si="33"/>
        <v>13</v>
      </c>
      <c r="F349" s="176" t="str">
        <f t="shared" si="34"/>
        <v>crx</v>
      </c>
      <c r="G349" s="176" t="s">
        <v>940</v>
      </c>
      <c r="H349" s="176"/>
      <c r="I349" s="176" t="s">
        <v>941</v>
      </c>
      <c r="J349" s="177" t="s">
        <v>21</v>
      </c>
      <c r="K349" s="178">
        <f t="shared" si="35"/>
        <v>1502.6816418788346</v>
      </c>
      <c r="L349" s="176"/>
      <c r="M349" s="178">
        <v>1600</v>
      </c>
      <c r="O349" s="175"/>
      <c r="P349" s="175"/>
      <c r="Q349" s="175"/>
      <c r="R349" s="175">
        <v>1502.6816418788346</v>
      </c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H349" s="175"/>
      <c r="AI349" s="175"/>
    </row>
    <row r="350" spans="1:35" s="178" customFormat="1" x14ac:dyDescent="0.25">
      <c r="A350" s="176"/>
      <c r="B350" s="176"/>
      <c r="C350" s="176">
        <f t="shared" si="31"/>
        <v>7</v>
      </c>
      <c r="D350" s="176">
        <f t="shared" si="32"/>
        <v>1</v>
      </c>
      <c r="E350" s="176">
        <f t="shared" si="33"/>
        <v>13</v>
      </c>
      <c r="F350" s="176" t="str">
        <f t="shared" si="34"/>
        <v>crx</v>
      </c>
      <c r="G350" s="176" t="s">
        <v>942</v>
      </c>
      <c r="H350" s="176"/>
      <c r="I350" s="176" t="s">
        <v>943</v>
      </c>
      <c r="J350" s="177" t="s">
        <v>21</v>
      </c>
      <c r="K350" s="178">
        <f t="shared" si="35"/>
        <v>1601.009624497224</v>
      </c>
      <c r="L350" s="176"/>
      <c r="M350" s="178">
        <v>1600</v>
      </c>
      <c r="O350" s="175"/>
      <c r="P350" s="175"/>
      <c r="Q350" s="175"/>
      <c r="R350" s="175">
        <v>1601.009624497224</v>
      </c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H350" s="175"/>
      <c r="AI350" s="175"/>
    </row>
    <row r="351" spans="1:35" s="178" customFormat="1" x14ac:dyDescent="0.25">
      <c r="A351" s="176"/>
      <c r="B351" s="176"/>
      <c r="C351" s="176">
        <f t="shared" si="31"/>
        <v>8</v>
      </c>
      <c r="D351" s="176">
        <f t="shared" si="32"/>
        <v>1</v>
      </c>
      <c r="E351" s="176">
        <f t="shared" si="33"/>
        <v>13</v>
      </c>
      <c r="F351" s="176" t="str">
        <f t="shared" si="34"/>
        <v>sox</v>
      </c>
      <c r="G351" s="176" t="s">
        <v>944</v>
      </c>
      <c r="H351" s="176"/>
      <c r="I351" s="176" t="s">
        <v>945</v>
      </c>
      <c r="J351" s="177" t="s">
        <v>21</v>
      </c>
      <c r="K351" s="178">
        <f t="shared" si="35"/>
        <v>1600</v>
      </c>
      <c r="L351" s="176"/>
      <c r="M351" s="178">
        <v>1600</v>
      </c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H351" s="175"/>
      <c r="AI351" s="175"/>
    </row>
    <row r="352" spans="1:35" s="178" customFormat="1" x14ac:dyDescent="0.25">
      <c r="A352" s="176"/>
      <c r="B352" s="176"/>
      <c r="C352" s="176">
        <f t="shared" si="31"/>
        <v>1</v>
      </c>
      <c r="D352" s="176">
        <f t="shared" si="32"/>
        <v>1</v>
      </c>
      <c r="E352" s="176">
        <f t="shared" si="33"/>
        <v>14</v>
      </c>
      <c r="F352" s="176" t="str">
        <f t="shared" si="34"/>
        <v>crx</v>
      </c>
      <c r="G352" s="176" t="s">
        <v>946</v>
      </c>
      <c r="H352" s="176"/>
      <c r="I352" s="176" t="s">
        <v>947</v>
      </c>
      <c r="J352" s="177" t="s">
        <v>21</v>
      </c>
      <c r="K352" s="178">
        <f t="shared" si="35"/>
        <v>1875.7442994050036</v>
      </c>
      <c r="L352" s="176"/>
      <c r="M352" s="178">
        <v>1800</v>
      </c>
      <c r="O352" s="175"/>
      <c r="P352" s="175"/>
      <c r="Q352" s="175"/>
      <c r="R352" s="175">
        <v>1875.7442994050036</v>
      </c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H352" s="175"/>
      <c r="AI352" s="175"/>
    </row>
    <row r="353" spans="1:35" s="178" customFormat="1" x14ac:dyDescent="0.25">
      <c r="A353" s="176"/>
      <c r="B353" s="176"/>
      <c r="C353" s="176">
        <f t="shared" si="31"/>
        <v>2</v>
      </c>
      <c r="D353" s="176">
        <f t="shared" si="32"/>
        <v>1</v>
      </c>
      <c r="E353" s="176">
        <f t="shared" si="33"/>
        <v>14</v>
      </c>
      <c r="F353" s="176" t="str">
        <f t="shared" si="34"/>
        <v>sox</v>
      </c>
      <c r="G353" s="176" t="s">
        <v>948</v>
      </c>
      <c r="H353" s="176"/>
      <c r="I353" s="176" t="s">
        <v>949</v>
      </c>
      <c r="J353" s="177" t="s">
        <v>21</v>
      </c>
      <c r="K353" s="178">
        <f t="shared" si="35"/>
        <v>1798.0859561642374</v>
      </c>
      <c r="L353" s="176"/>
      <c r="M353" s="178">
        <v>1800</v>
      </c>
      <c r="O353" s="175"/>
      <c r="P353" s="175"/>
      <c r="Q353" s="175"/>
      <c r="R353" s="175">
        <v>1798.0859561642374</v>
      </c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H353" s="175"/>
      <c r="AI353" s="175"/>
    </row>
    <row r="354" spans="1:35" s="178" customFormat="1" x14ac:dyDescent="0.25">
      <c r="A354" s="176"/>
      <c r="B354" s="176"/>
      <c r="C354" s="176">
        <f t="shared" si="31"/>
        <v>3</v>
      </c>
      <c r="D354" s="176">
        <f t="shared" si="32"/>
        <v>3</v>
      </c>
      <c r="E354" s="176">
        <f t="shared" si="33"/>
        <v>14</v>
      </c>
      <c r="F354" s="176" t="str">
        <f t="shared" si="34"/>
        <v>crx</v>
      </c>
      <c r="G354" s="176" t="s">
        <v>950</v>
      </c>
      <c r="H354" s="176"/>
      <c r="I354" s="176" t="s">
        <v>951</v>
      </c>
      <c r="J354" s="177" t="s">
        <v>22</v>
      </c>
      <c r="K354" s="178">
        <f t="shared" si="35"/>
        <v>2288.9906609979612</v>
      </c>
      <c r="L354" s="176"/>
      <c r="M354" s="178">
        <v>2200</v>
      </c>
      <c r="O354" s="175"/>
      <c r="P354" s="175"/>
      <c r="Q354" s="175">
        <v>2288.9906609979612</v>
      </c>
      <c r="R354" s="175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H354" s="175"/>
      <c r="AI354" s="175"/>
    </row>
    <row r="356" spans="1:35" s="178" customFormat="1" x14ac:dyDescent="0.25">
      <c r="A356" s="176"/>
      <c r="B356" s="176"/>
      <c r="C356" s="176">
        <f t="shared" ref="C356:C358" si="36">IF(E356=E355,C355+1,1)</f>
        <v>1</v>
      </c>
      <c r="D356" s="176">
        <f t="shared" ref="D356:D358" si="37">IF(M356=M355,D355,C356)</f>
        <v>1</v>
      </c>
      <c r="E356" s="176">
        <f t="shared" ref="E356:E358" si="38">10+VALUE(RIGHT(LEFT(G356,3),1))</f>
        <v>16</v>
      </c>
      <c r="F356" s="176" t="str">
        <f t="shared" ref="F356:F358" si="39">RIGHT(G356,2) &amp; IF(A356&lt;2,"x","")</f>
        <v>crx</v>
      </c>
      <c r="G356" s="176" t="s">
        <v>952</v>
      </c>
      <c r="H356" s="176"/>
      <c r="I356" s="176" t="s">
        <v>953</v>
      </c>
      <c r="J356" s="177" t="s">
        <v>22</v>
      </c>
      <c r="K356" s="178">
        <f t="shared" ref="K356:K358" si="40">LOOKUP(1E+100,M356:AC356)</f>
        <v>2623.9261077264655</v>
      </c>
      <c r="L356" s="176"/>
      <c r="M356" s="178">
        <v>2600</v>
      </c>
      <c r="O356" s="175"/>
      <c r="P356" s="175"/>
      <c r="Q356" s="175"/>
      <c r="R356" s="175">
        <v>2622.8602349278954</v>
      </c>
      <c r="S356" s="175">
        <v>2623.9261077264655</v>
      </c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H356" s="175"/>
      <c r="AI356" s="175"/>
    </row>
    <row r="357" spans="1:35" s="178" customFormat="1" x14ac:dyDescent="0.25">
      <c r="A357" s="176"/>
      <c r="B357" s="176"/>
      <c r="C357" s="176">
        <f t="shared" si="36"/>
        <v>1</v>
      </c>
      <c r="D357" s="176">
        <f t="shared" si="37"/>
        <v>1</v>
      </c>
      <c r="E357" s="176">
        <f t="shared" si="38"/>
        <v>17</v>
      </c>
      <c r="F357" s="176" t="str">
        <f t="shared" si="39"/>
        <v>sox</v>
      </c>
      <c r="G357" s="176" t="s">
        <v>954</v>
      </c>
      <c r="H357" s="176"/>
      <c r="I357" s="176" t="s">
        <v>955</v>
      </c>
      <c r="J357" s="177" t="s">
        <v>21</v>
      </c>
      <c r="K357" s="178">
        <f t="shared" si="40"/>
        <v>2491.8670047450555</v>
      </c>
      <c r="L357" s="176"/>
      <c r="M357" s="178">
        <v>2400</v>
      </c>
      <c r="O357" s="175"/>
      <c r="P357" s="175"/>
      <c r="Q357" s="175"/>
      <c r="R357" s="175">
        <v>2491.8670047450555</v>
      </c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H357" s="175"/>
      <c r="AI357" s="175"/>
    </row>
    <row r="358" spans="1:35" s="178" customFormat="1" x14ac:dyDescent="0.25">
      <c r="A358" s="176"/>
      <c r="B358" s="176"/>
      <c r="C358" s="176">
        <f t="shared" si="36"/>
        <v>2</v>
      </c>
      <c r="D358" s="176">
        <f t="shared" si="37"/>
        <v>1</v>
      </c>
      <c r="E358" s="176">
        <f t="shared" si="38"/>
        <v>17</v>
      </c>
      <c r="F358" s="176" t="str">
        <f t="shared" si="39"/>
        <v>crx</v>
      </c>
      <c r="G358" s="176" t="s">
        <v>956</v>
      </c>
      <c r="H358" s="176"/>
      <c r="I358" s="176" t="s">
        <v>957</v>
      </c>
      <c r="J358" s="177" t="s">
        <v>21</v>
      </c>
      <c r="K358" s="178">
        <f t="shared" si="40"/>
        <v>2454.7946956693254</v>
      </c>
      <c r="L358" s="176"/>
      <c r="M358" s="178">
        <v>2400</v>
      </c>
      <c r="O358" s="175"/>
      <c r="P358" s="175"/>
      <c r="Q358" s="175"/>
      <c r="R358" s="175">
        <v>2454.7946956693254</v>
      </c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H358" s="175"/>
      <c r="AI358" s="175"/>
    </row>
    <row r="360" spans="1:35" s="178" customFormat="1" x14ac:dyDescent="0.25">
      <c r="A360" s="176"/>
      <c r="B360" s="176"/>
      <c r="C360" s="176">
        <f t="shared" ref="C360:C363" si="41">IF(E360=E359,C359+1,1)</f>
        <v>1</v>
      </c>
      <c r="D360" s="176">
        <f t="shared" ref="D360:D363" si="42">IF(M360=M359,D359,C360)</f>
        <v>1</v>
      </c>
      <c r="E360" s="176">
        <f t="shared" ref="E360:E363" si="43">10+VALUE(RIGHT(LEFT(G360,3),1))</f>
        <v>18</v>
      </c>
      <c r="F360" s="176" t="str">
        <f t="shared" ref="F360:F363" si="44">RIGHT(G360,2) &amp; IF(A360&lt;2,"x","")</f>
        <v>crx</v>
      </c>
      <c r="G360" s="176" t="s">
        <v>958</v>
      </c>
      <c r="H360" s="176"/>
      <c r="I360" s="176" t="s">
        <v>959</v>
      </c>
      <c r="J360" s="177" t="s">
        <v>21</v>
      </c>
      <c r="K360" s="178">
        <f t="shared" ref="K360:K363" si="45">LOOKUP(1E+100,M360:AC360)</f>
        <v>2680.7915657736075</v>
      </c>
      <c r="L360" s="176"/>
      <c r="M360" s="178">
        <v>2600</v>
      </c>
      <c r="O360" s="175"/>
      <c r="P360" s="175"/>
      <c r="Q360" s="175"/>
      <c r="R360" s="175">
        <v>2680.7915657736075</v>
      </c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H360" s="175"/>
      <c r="AI360" s="175"/>
    </row>
    <row r="361" spans="1:35" s="178" customFormat="1" x14ac:dyDescent="0.25">
      <c r="A361" s="176"/>
      <c r="B361" s="176"/>
      <c r="C361" s="176">
        <f t="shared" si="41"/>
        <v>2</v>
      </c>
      <c r="D361" s="176">
        <f t="shared" si="42"/>
        <v>1</v>
      </c>
      <c r="E361" s="176">
        <f t="shared" si="43"/>
        <v>18</v>
      </c>
      <c r="F361" s="176" t="str">
        <f t="shared" si="44"/>
        <v>crx</v>
      </c>
      <c r="G361" s="176" t="s">
        <v>960</v>
      </c>
      <c r="H361" s="176"/>
      <c r="I361" s="176" t="s">
        <v>961</v>
      </c>
      <c r="J361" s="177" t="s">
        <v>21</v>
      </c>
      <c r="K361" s="178">
        <f t="shared" si="45"/>
        <v>2515.8622226546854</v>
      </c>
      <c r="L361" s="176"/>
      <c r="M361" s="178">
        <v>2600</v>
      </c>
      <c r="O361" s="175"/>
      <c r="P361" s="175"/>
      <c r="Q361" s="175"/>
      <c r="R361" s="175">
        <v>2515.8622226546854</v>
      </c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H361" s="175"/>
      <c r="AI361" s="175"/>
    </row>
    <row r="362" spans="1:35" s="178" customFormat="1" x14ac:dyDescent="0.25">
      <c r="A362" s="176"/>
      <c r="B362" s="176"/>
      <c r="C362" s="176">
        <f t="shared" si="41"/>
        <v>1</v>
      </c>
      <c r="D362" s="176">
        <f t="shared" si="42"/>
        <v>1</v>
      </c>
      <c r="E362" s="176">
        <f t="shared" si="43"/>
        <v>17</v>
      </c>
      <c r="F362" s="176" t="str">
        <f t="shared" si="44"/>
        <v>crx</v>
      </c>
      <c r="G362" s="176" t="s">
        <v>962</v>
      </c>
      <c r="H362" s="176"/>
      <c r="I362" s="176" t="s">
        <v>963</v>
      </c>
      <c r="J362" s="177" t="s">
        <v>21</v>
      </c>
      <c r="K362" s="178">
        <f t="shared" si="45"/>
        <v>2687.9979265524926</v>
      </c>
      <c r="L362" s="176"/>
      <c r="M362" s="178">
        <v>2600</v>
      </c>
      <c r="O362" s="175"/>
      <c r="P362" s="175"/>
      <c r="Q362" s="175"/>
      <c r="R362" s="175">
        <v>2687.9979265524926</v>
      </c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H362" s="175"/>
      <c r="AI362" s="175"/>
    </row>
    <row r="363" spans="1:35" s="178" customFormat="1" x14ac:dyDescent="0.25">
      <c r="A363" s="176"/>
      <c r="B363" s="176"/>
      <c r="C363" s="176">
        <f t="shared" si="41"/>
        <v>2</v>
      </c>
      <c r="D363" s="176">
        <f t="shared" si="42"/>
        <v>2</v>
      </c>
      <c r="E363" s="176">
        <f t="shared" si="43"/>
        <v>17</v>
      </c>
      <c r="F363" s="176" t="str">
        <f t="shared" si="44"/>
        <v>sox</v>
      </c>
      <c r="G363" s="176" t="s">
        <v>964</v>
      </c>
      <c r="H363" s="176"/>
      <c r="I363" s="176" t="s">
        <v>965</v>
      </c>
      <c r="J363" s="177" t="s">
        <v>21</v>
      </c>
      <c r="K363" s="178">
        <f t="shared" si="45"/>
        <v>2400.0667866123454</v>
      </c>
      <c r="L363" s="176"/>
      <c r="M363" s="178">
        <v>2400</v>
      </c>
      <c r="O363" s="175"/>
      <c r="P363" s="175"/>
      <c r="Q363" s="175"/>
      <c r="R363" s="175">
        <v>2400.0667866123454</v>
      </c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H363" s="175"/>
      <c r="AI363" s="175"/>
    </row>
    <row r="364" spans="1:35" s="178" customFormat="1" x14ac:dyDescent="0.25">
      <c r="A364" s="176"/>
      <c r="B364" s="176"/>
      <c r="C364" s="176"/>
      <c r="D364" s="176"/>
      <c r="E364" s="176"/>
      <c r="F364" s="176"/>
      <c r="G364" s="176"/>
      <c r="H364" s="176"/>
      <c r="I364" s="176"/>
      <c r="J364" s="177"/>
      <c r="L364" s="176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H364" s="175"/>
      <c r="AI364" s="175"/>
    </row>
    <row r="365" spans="1:35" s="178" customFormat="1" x14ac:dyDescent="0.25">
      <c r="A365" s="176"/>
      <c r="B365" s="176"/>
      <c r="C365" s="176">
        <f t="shared" ref="C365" si="46">IF(E365=E364,C364+1,1)</f>
        <v>1</v>
      </c>
      <c r="D365" s="176">
        <f t="shared" ref="D365" si="47">IF(M365=M364,D364,C365)</f>
        <v>1</v>
      </c>
      <c r="E365" s="176">
        <f t="shared" ref="E365" si="48">10+VALUE(RIGHT(LEFT(G365,3),1))</f>
        <v>12</v>
      </c>
      <c r="F365" s="176" t="str">
        <f t="shared" ref="F365" si="49">RIGHT(G365,2) &amp; IF(A365&lt;2,"x","")</f>
        <v>crx</v>
      </c>
      <c r="G365" s="176" t="s">
        <v>966</v>
      </c>
      <c r="H365" s="176"/>
      <c r="I365" s="176" t="s">
        <v>967</v>
      </c>
      <c r="J365" s="177" t="s">
        <v>360</v>
      </c>
      <c r="K365" s="178">
        <f t="shared" ref="K365" si="50">LOOKUP(1E+100,M365:AC365)</f>
        <v>1142.0989828300185</v>
      </c>
      <c r="L365" s="176"/>
      <c r="M365" s="178">
        <v>1200</v>
      </c>
      <c r="O365" s="175"/>
      <c r="P365" s="175"/>
      <c r="Q365" s="175"/>
      <c r="R365" s="175">
        <v>1142.0989828300185</v>
      </c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H365" s="175"/>
      <c r="AI365" s="175"/>
    </row>
    <row r="366" spans="1:35" s="178" customFormat="1" x14ac:dyDescent="0.25">
      <c r="A366" s="176"/>
      <c r="B366" s="176"/>
      <c r="C366" s="176"/>
      <c r="D366" s="176"/>
      <c r="E366" s="176"/>
      <c r="F366" s="176"/>
      <c r="G366" s="176"/>
      <c r="H366" s="176"/>
      <c r="I366" s="176"/>
      <c r="J366" s="177"/>
      <c r="L366" s="176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H366" s="175"/>
      <c r="AI366" s="175"/>
    </row>
    <row r="367" spans="1:35" s="178" customFormat="1" x14ac:dyDescent="0.25">
      <c r="A367" s="176"/>
      <c r="B367" s="176"/>
      <c r="C367" s="176">
        <f t="shared" ref="C367" si="51">IF(E367=E366,C366+1,1)</f>
        <v>1</v>
      </c>
      <c r="D367" s="176">
        <f t="shared" ref="D367" si="52">IF(M367=M366,D366,C367)</f>
        <v>1</v>
      </c>
      <c r="E367" s="176">
        <f t="shared" ref="E367" si="53">10+VALUE(RIGHT(LEFT(G367,3),1))</f>
        <v>14</v>
      </c>
      <c r="F367" s="176" t="str">
        <f t="shared" ref="F367" si="54">RIGHT(G367,2) &amp; IF(A367&lt;2,"x","")</f>
        <v>crx</v>
      </c>
      <c r="G367" s="176" t="s">
        <v>968</v>
      </c>
      <c r="H367" s="176"/>
      <c r="I367" s="176" t="s">
        <v>969</v>
      </c>
      <c r="J367" s="177" t="s">
        <v>22</v>
      </c>
      <c r="K367" s="178">
        <f t="shared" ref="K367" si="55">LOOKUP(1E+100,M367:AC367)</f>
        <v>2248.4174188999796</v>
      </c>
      <c r="L367" s="176"/>
      <c r="M367" s="178">
        <v>2200</v>
      </c>
      <c r="O367" s="175"/>
      <c r="P367" s="175"/>
      <c r="Q367" s="175"/>
      <c r="R367" s="175"/>
      <c r="S367" s="175">
        <v>2248.4174188999796</v>
      </c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H367" s="175"/>
      <c r="AI367" s="175"/>
    </row>
    <row r="368" spans="1:35" s="178" customFormat="1" x14ac:dyDescent="0.25">
      <c r="A368" s="176"/>
      <c r="B368" s="176"/>
      <c r="C368" s="176"/>
      <c r="D368" s="176"/>
      <c r="E368" s="176"/>
      <c r="F368" s="176"/>
      <c r="G368" s="176"/>
      <c r="H368" s="176"/>
      <c r="I368" s="176"/>
      <c r="J368" s="177"/>
      <c r="L368" s="176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H368" s="175"/>
      <c r="AI368" s="175"/>
    </row>
    <row r="369" spans="1:35" s="178" customFormat="1" x14ac:dyDescent="0.25">
      <c r="A369" s="176"/>
      <c r="B369" s="176"/>
      <c r="C369" s="176"/>
      <c r="D369" s="176"/>
      <c r="E369" s="176"/>
      <c r="F369" s="176"/>
      <c r="G369" s="176"/>
      <c r="H369" s="176"/>
      <c r="I369" s="176"/>
      <c r="J369" s="177"/>
      <c r="L369" s="176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  <c r="AA369" s="175"/>
      <c r="AB369" s="175"/>
      <c r="AC369" s="175"/>
      <c r="AH369" s="175"/>
      <c r="AI369" s="175"/>
    </row>
    <row r="370" spans="1:35" s="178" customFormat="1" x14ac:dyDescent="0.25">
      <c r="A370" s="176"/>
      <c r="B370" s="176"/>
      <c r="C370" s="176">
        <f t="shared" ref="C370:C375" si="56">IF(E370=E369,C369+1,1)</f>
        <v>1</v>
      </c>
      <c r="D370" s="176">
        <f t="shared" ref="D370:D375" si="57">IF(M370=M369,D369,C370)</f>
        <v>1</v>
      </c>
      <c r="E370" s="176">
        <f t="shared" ref="E370:E375" si="58">10+VALUE(RIGHT(LEFT(G370,3),1))</f>
        <v>12</v>
      </c>
      <c r="F370" s="176" t="str">
        <f t="shared" ref="F370:F375" si="59">RIGHT(G370,2) &amp; IF(A370&lt;2,"x","")</f>
        <v>sox</v>
      </c>
      <c r="G370" s="176" t="s">
        <v>31</v>
      </c>
      <c r="H370" s="176"/>
      <c r="I370" s="176" t="s">
        <v>30</v>
      </c>
      <c r="J370" s="177" t="s">
        <v>21</v>
      </c>
      <c r="K370" s="178">
        <f t="shared" ref="K370:K375" si="60">LOOKUP(1E+100,M370:AC370)</f>
        <v>1400</v>
      </c>
      <c r="L370" s="176"/>
      <c r="M370" s="178">
        <v>1400</v>
      </c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5"/>
      <c r="Z370" s="175"/>
      <c r="AA370" s="175"/>
      <c r="AB370" s="175"/>
      <c r="AC370" s="175"/>
      <c r="AH370" s="175"/>
      <c r="AI370" s="175"/>
    </row>
    <row r="371" spans="1:35" s="178" customFormat="1" x14ac:dyDescent="0.25">
      <c r="A371" s="176"/>
      <c r="B371" s="176"/>
      <c r="C371" s="176">
        <f t="shared" si="56"/>
        <v>2</v>
      </c>
      <c r="D371" s="176">
        <f t="shared" si="57"/>
        <v>1</v>
      </c>
      <c r="E371" s="176">
        <f t="shared" si="58"/>
        <v>12</v>
      </c>
      <c r="F371" s="176" t="str">
        <f t="shared" si="59"/>
        <v>crx</v>
      </c>
      <c r="G371" s="176" t="s">
        <v>34</v>
      </c>
      <c r="H371" s="176"/>
      <c r="I371" s="176" t="s">
        <v>33</v>
      </c>
      <c r="J371" s="177" t="s">
        <v>21</v>
      </c>
      <c r="K371" s="178">
        <f t="shared" si="60"/>
        <v>1400</v>
      </c>
      <c r="L371" s="176"/>
      <c r="M371" s="178">
        <v>1400</v>
      </c>
      <c r="O371" s="175"/>
      <c r="P371" s="175"/>
      <c r="Q371" s="175"/>
      <c r="R371" s="175"/>
      <c r="S371" s="175"/>
      <c r="T371" s="175"/>
      <c r="U371" s="175"/>
      <c r="V371" s="175"/>
      <c r="W371" s="175"/>
      <c r="X371" s="175"/>
      <c r="Y371" s="175"/>
      <c r="Z371" s="175"/>
      <c r="AA371" s="175"/>
      <c r="AB371" s="175"/>
      <c r="AC371" s="175"/>
      <c r="AH371" s="175"/>
      <c r="AI371" s="175"/>
    </row>
    <row r="372" spans="1:35" s="178" customFormat="1" x14ac:dyDescent="0.25">
      <c r="A372" s="176"/>
      <c r="B372" s="176"/>
      <c r="C372" s="176">
        <f t="shared" si="56"/>
        <v>1</v>
      </c>
      <c r="D372" s="176">
        <f t="shared" si="57"/>
        <v>1</v>
      </c>
      <c r="E372" s="176">
        <f t="shared" si="58"/>
        <v>13</v>
      </c>
      <c r="F372" s="176" t="str">
        <f t="shared" si="59"/>
        <v>crx</v>
      </c>
      <c r="G372" s="176" t="s">
        <v>224</v>
      </c>
      <c r="H372" s="176"/>
      <c r="I372" s="176" t="s">
        <v>223</v>
      </c>
      <c r="J372" s="177" t="s">
        <v>21</v>
      </c>
      <c r="K372" s="178">
        <f t="shared" si="60"/>
        <v>1600</v>
      </c>
      <c r="L372" s="176"/>
      <c r="M372" s="178">
        <v>1600</v>
      </c>
      <c r="O372" s="175"/>
      <c r="P372" s="175"/>
      <c r="Q372" s="175"/>
      <c r="R372" s="175"/>
      <c r="S372" s="175"/>
      <c r="T372" s="175"/>
      <c r="U372" s="175"/>
      <c r="V372" s="175"/>
      <c r="W372" s="175"/>
      <c r="X372" s="175"/>
      <c r="Y372" s="175"/>
      <c r="Z372" s="175"/>
      <c r="AA372" s="175"/>
      <c r="AB372" s="175"/>
      <c r="AC372" s="175"/>
      <c r="AH372" s="175"/>
      <c r="AI372" s="175"/>
    </row>
    <row r="373" spans="1:35" s="178" customFormat="1" x14ac:dyDescent="0.25">
      <c r="A373" s="176"/>
      <c r="B373" s="176"/>
      <c r="C373" s="176">
        <f t="shared" si="56"/>
        <v>2</v>
      </c>
      <c r="D373" s="176">
        <f t="shared" si="57"/>
        <v>1</v>
      </c>
      <c r="E373" s="176">
        <f t="shared" si="58"/>
        <v>13</v>
      </c>
      <c r="F373" s="176" t="str">
        <f t="shared" si="59"/>
        <v>crx</v>
      </c>
      <c r="G373" s="176" t="s">
        <v>226</v>
      </c>
      <c r="H373" s="176"/>
      <c r="I373" s="176" t="s">
        <v>225</v>
      </c>
      <c r="J373" s="177" t="s">
        <v>21</v>
      </c>
      <c r="K373" s="178">
        <f t="shared" si="60"/>
        <v>1600</v>
      </c>
      <c r="L373" s="176"/>
      <c r="M373" s="178">
        <v>1600</v>
      </c>
      <c r="O373" s="175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  <c r="AA373" s="175"/>
      <c r="AB373" s="175"/>
      <c r="AC373" s="175"/>
      <c r="AH373" s="175"/>
      <c r="AI373" s="175"/>
    </row>
    <row r="374" spans="1:35" s="178" customFormat="1" x14ac:dyDescent="0.25">
      <c r="A374" s="176"/>
      <c r="B374" s="176"/>
      <c r="C374" s="176">
        <f t="shared" si="56"/>
        <v>1</v>
      </c>
      <c r="D374" s="176">
        <f t="shared" si="57"/>
        <v>1</v>
      </c>
      <c r="E374" s="176">
        <f t="shared" si="58"/>
        <v>14</v>
      </c>
      <c r="F374" s="176" t="str">
        <f t="shared" si="59"/>
        <v>sox</v>
      </c>
      <c r="G374" s="176" t="s">
        <v>270</v>
      </c>
      <c r="H374" s="176"/>
      <c r="I374" s="176" t="s">
        <v>269</v>
      </c>
      <c r="J374" s="177" t="s">
        <v>21</v>
      </c>
      <c r="K374" s="178">
        <f t="shared" si="60"/>
        <v>1800</v>
      </c>
      <c r="L374" s="176"/>
      <c r="M374" s="178">
        <v>1800</v>
      </c>
      <c r="O374" s="175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  <c r="AA374" s="175"/>
      <c r="AB374" s="175"/>
      <c r="AC374" s="175"/>
      <c r="AH374" s="175"/>
      <c r="AI374" s="175"/>
    </row>
    <row r="375" spans="1:35" s="178" customFormat="1" x14ac:dyDescent="0.25">
      <c r="A375" s="176"/>
      <c r="B375" s="176"/>
      <c r="C375" s="176">
        <f t="shared" si="56"/>
        <v>2</v>
      </c>
      <c r="D375" s="176">
        <f t="shared" si="57"/>
        <v>1</v>
      </c>
      <c r="E375" s="176">
        <f t="shared" si="58"/>
        <v>14</v>
      </c>
      <c r="F375" s="176" t="str">
        <f t="shared" si="59"/>
        <v>sox</v>
      </c>
      <c r="G375" s="176" t="s">
        <v>274</v>
      </c>
      <c r="H375" s="176"/>
      <c r="I375" s="176" t="s">
        <v>273</v>
      </c>
      <c r="J375" s="177" t="s">
        <v>21</v>
      </c>
      <c r="K375" s="178">
        <f t="shared" si="60"/>
        <v>1800</v>
      </c>
      <c r="L375" s="176"/>
      <c r="M375" s="178">
        <v>1800</v>
      </c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  <c r="AA375" s="175"/>
      <c r="AB375" s="175"/>
      <c r="AC375" s="175"/>
      <c r="AH375" s="175"/>
      <c r="AI375" s="175"/>
    </row>
    <row r="376" spans="1:35" s="178" customFormat="1" x14ac:dyDescent="0.25">
      <c r="A376" s="176"/>
      <c r="B376" s="176"/>
      <c r="C376" s="176"/>
      <c r="D376" s="176"/>
      <c r="E376" s="176"/>
      <c r="F376" s="176"/>
      <c r="G376" s="176"/>
      <c r="H376" s="176"/>
      <c r="I376" s="176"/>
      <c r="J376" s="177"/>
      <c r="L376" s="176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H376" s="175"/>
      <c r="AI376" s="175"/>
    </row>
    <row r="377" spans="1:35" s="178" customFormat="1" x14ac:dyDescent="0.25">
      <c r="A377" s="176"/>
      <c r="B377" s="176"/>
      <c r="C377" s="176"/>
      <c r="D377" s="176"/>
      <c r="E377" s="176"/>
      <c r="F377" s="176"/>
      <c r="G377" s="176"/>
      <c r="H377" s="176"/>
      <c r="I377" s="176"/>
      <c r="J377" s="177"/>
      <c r="L377" s="176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H377" s="175"/>
      <c r="AI377" s="175"/>
    </row>
    <row r="378" spans="1:35" s="178" customFormat="1" x14ac:dyDescent="0.25">
      <c r="A378" s="176"/>
      <c r="B378" s="176"/>
      <c r="C378" s="176">
        <f t="shared" ref="C378:C382" si="61">IF(E378=E377,C377+1,1)</f>
        <v>1</v>
      </c>
      <c r="D378" s="176">
        <f t="shared" ref="D378:D382" si="62">IF(M378=M377,D377,C378)</f>
        <v>1</v>
      </c>
      <c r="E378" s="176">
        <f t="shared" ref="E378:E382" si="63">10+VALUE(RIGHT(LEFT(G378,3),1))</f>
        <v>16</v>
      </c>
      <c r="F378" s="176" t="str">
        <f t="shared" ref="F378:F382" si="64">RIGHT(G378,2) &amp; IF(A378&lt;2,"x","")</f>
        <v>crx</v>
      </c>
      <c r="G378" s="176" t="s">
        <v>978</v>
      </c>
      <c r="H378" s="176"/>
      <c r="I378" s="176" t="s">
        <v>977</v>
      </c>
      <c r="J378" s="177" t="s">
        <v>21</v>
      </c>
      <c r="K378" s="178">
        <f t="shared" ref="K378:K382" si="65">LOOKUP(1E+100,M378:AC378)</f>
        <v>2200</v>
      </c>
      <c r="L378" s="176"/>
      <c r="M378" s="178">
        <v>2200</v>
      </c>
      <c r="O378" s="175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  <c r="AA378" s="175"/>
      <c r="AB378" s="175"/>
      <c r="AC378" s="175"/>
      <c r="AH378" s="175"/>
      <c r="AI378" s="175"/>
    </row>
    <row r="379" spans="1:35" s="178" customFormat="1" x14ac:dyDescent="0.25">
      <c r="A379" s="176"/>
      <c r="B379" s="176"/>
      <c r="C379" s="176">
        <f t="shared" si="61"/>
        <v>2</v>
      </c>
      <c r="D379" s="176">
        <f t="shared" si="62"/>
        <v>1</v>
      </c>
      <c r="E379" s="176">
        <f t="shared" si="63"/>
        <v>16</v>
      </c>
      <c r="F379" s="176" t="str">
        <f t="shared" si="64"/>
        <v>crx</v>
      </c>
      <c r="G379" s="176" t="s">
        <v>980</v>
      </c>
      <c r="H379" s="176"/>
      <c r="I379" s="176" t="s">
        <v>979</v>
      </c>
      <c r="J379" s="177" t="s">
        <v>21</v>
      </c>
      <c r="K379" s="178">
        <f t="shared" si="65"/>
        <v>2200</v>
      </c>
      <c r="L379" s="176"/>
      <c r="M379" s="178">
        <v>2200</v>
      </c>
      <c r="O379" s="175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  <c r="AA379" s="175"/>
      <c r="AB379" s="175"/>
      <c r="AC379" s="175"/>
      <c r="AH379" s="175"/>
      <c r="AI379" s="175"/>
    </row>
    <row r="380" spans="1:35" s="178" customFormat="1" x14ac:dyDescent="0.25">
      <c r="A380" s="176"/>
      <c r="B380" s="176"/>
      <c r="C380" s="176">
        <f t="shared" si="61"/>
        <v>3</v>
      </c>
      <c r="D380" s="176">
        <f t="shared" si="62"/>
        <v>1</v>
      </c>
      <c r="E380" s="176">
        <f t="shared" si="63"/>
        <v>16</v>
      </c>
      <c r="F380" s="176" t="str">
        <f t="shared" si="64"/>
        <v>crx</v>
      </c>
      <c r="G380" s="176" t="s">
        <v>982</v>
      </c>
      <c r="H380" s="176"/>
      <c r="I380" s="176" t="s">
        <v>981</v>
      </c>
      <c r="J380" s="177" t="s">
        <v>21</v>
      </c>
      <c r="K380" s="178">
        <f t="shared" si="65"/>
        <v>2200</v>
      </c>
      <c r="L380" s="176"/>
      <c r="M380" s="178">
        <v>2200</v>
      </c>
      <c r="O380" s="175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  <c r="AA380" s="175"/>
      <c r="AB380" s="175"/>
      <c r="AC380" s="175"/>
      <c r="AH380" s="175"/>
      <c r="AI380" s="175"/>
    </row>
    <row r="381" spans="1:35" s="178" customFormat="1" x14ac:dyDescent="0.25">
      <c r="A381" s="176"/>
      <c r="B381" s="176"/>
      <c r="C381" s="176">
        <f t="shared" si="61"/>
        <v>4</v>
      </c>
      <c r="D381" s="176">
        <f t="shared" si="62"/>
        <v>1</v>
      </c>
      <c r="E381" s="176">
        <f t="shared" si="63"/>
        <v>16</v>
      </c>
      <c r="F381" s="176" t="str">
        <f t="shared" si="64"/>
        <v>SOx</v>
      </c>
      <c r="G381" s="176" t="s">
        <v>984</v>
      </c>
      <c r="H381" s="176"/>
      <c r="I381" s="176" t="s">
        <v>983</v>
      </c>
      <c r="J381" s="177" t="s">
        <v>21</v>
      </c>
      <c r="K381" s="178">
        <f t="shared" si="65"/>
        <v>2200</v>
      </c>
      <c r="L381" s="176"/>
      <c r="M381" s="178">
        <v>2200</v>
      </c>
      <c r="O381" s="175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  <c r="AA381" s="175"/>
      <c r="AB381" s="175"/>
      <c r="AC381" s="175"/>
      <c r="AH381" s="175"/>
      <c r="AI381" s="175"/>
    </row>
    <row r="382" spans="1:35" s="178" customFormat="1" x14ac:dyDescent="0.25">
      <c r="A382" s="176"/>
      <c r="B382" s="176"/>
      <c r="C382" s="176">
        <f t="shared" si="61"/>
        <v>1</v>
      </c>
      <c r="D382" s="176">
        <f t="shared" si="62"/>
        <v>1</v>
      </c>
      <c r="E382" s="176">
        <f t="shared" si="63"/>
        <v>13</v>
      </c>
      <c r="F382" s="176" t="str">
        <f t="shared" si="64"/>
        <v>crx</v>
      </c>
      <c r="G382" s="176" t="s">
        <v>974</v>
      </c>
      <c r="H382" s="176"/>
      <c r="I382" s="176" t="s">
        <v>973</v>
      </c>
      <c r="J382" s="177" t="s">
        <v>21</v>
      </c>
      <c r="K382" s="178">
        <f t="shared" si="65"/>
        <v>1600</v>
      </c>
      <c r="L382" s="176"/>
      <c r="M382" s="178">
        <v>1600</v>
      </c>
      <c r="O382" s="175"/>
      <c r="P382" s="175"/>
      <c r="Q382" s="175"/>
      <c r="R382" s="175"/>
      <c r="S382" s="175"/>
      <c r="T382" s="175"/>
      <c r="U382" s="175"/>
      <c r="V382" s="175"/>
      <c r="W382" s="175"/>
      <c r="X382" s="175"/>
      <c r="Y382" s="175"/>
      <c r="Z382" s="175"/>
      <c r="AA382" s="175"/>
      <c r="AB382" s="175"/>
      <c r="AC382" s="175"/>
      <c r="AH382" s="175"/>
      <c r="AI382" s="175"/>
    </row>
    <row r="383" spans="1:35" s="178" customFormat="1" x14ac:dyDescent="0.25">
      <c r="A383" s="176"/>
      <c r="B383" s="176"/>
      <c r="C383" s="176"/>
      <c r="D383" s="176"/>
      <c r="E383" s="176"/>
      <c r="F383" s="176"/>
      <c r="G383" s="176"/>
      <c r="H383" s="176"/>
      <c r="I383" s="176"/>
      <c r="J383" s="177"/>
      <c r="L383" s="176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  <c r="AA383" s="175"/>
      <c r="AB383" s="175"/>
      <c r="AC383" s="175"/>
      <c r="AH383" s="175"/>
      <c r="AI383" s="175"/>
    </row>
    <row r="384" spans="1:35" x14ac:dyDescent="0.25">
      <c r="K384" s="175"/>
      <c r="M384" s="175"/>
      <c r="N384" s="175"/>
    </row>
    <row r="385" spans="1:35" s="178" customFormat="1" x14ac:dyDescent="0.25">
      <c r="A385" s="176"/>
      <c r="B385" s="176"/>
      <c r="C385" s="176">
        <f t="shared" ref="C385" si="66">IF(E385=E384,C384+1,1)</f>
        <v>1</v>
      </c>
      <c r="D385" s="176">
        <f t="shared" ref="D385" si="67">IF(M385=M384,D384,C385)</f>
        <v>1</v>
      </c>
      <c r="E385" s="176">
        <f t="shared" ref="E385" si="68">10+VALUE(RIGHT(LEFT(G385,3),1))</f>
        <v>17</v>
      </c>
      <c r="F385" s="176" t="str">
        <f t="shared" ref="F385" si="69">RIGHT(G385,2) &amp; IF(A385&lt;2,"x","")</f>
        <v>crx</v>
      </c>
      <c r="G385" s="176" t="s">
        <v>987</v>
      </c>
      <c r="H385" s="176"/>
      <c r="I385" s="176" t="s">
        <v>986</v>
      </c>
      <c r="J385" s="177" t="s">
        <v>21</v>
      </c>
      <c r="K385" s="178">
        <f t="shared" ref="K385" si="70">LOOKUP(1E+100,M385:AC385)</f>
        <v>2400</v>
      </c>
      <c r="L385" s="176"/>
      <c r="M385" s="178">
        <v>2400</v>
      </c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  <c r="AA385" s="175"/>
      <c r="AB385" s="175"/>
      <c r="AC385" s="175"/>
      <c r="AH385" s="175"/>
      <c r="AI385" s="175"/>
    </row>
    <row r="386" spans="1:35" x14ac:dyDescent="0.25">
      <c r="K386" s="175"/>
      <c r="M386" s="175"/>
      <c r="N386" s="175"/>
    </row>
    <row r="387" spans="1:35" s="178" customFormat="1" x14ac:dyDescent="0.25">
      <c r="A387" s="176"/>
      <c r="B387" s="176"/>
      <c r="C387" s="176">
        <f t="shared" ref="C387" si="71">IF(E387=E386,C386+1,1)</f>
        <v>1</v>
      </c>
      <c r="D387" s="176">
        <f t="shared" ref="D387" si="72">IF(M387=M386,D386,C387)</f>
        <v>1</v>
      </c>
      <c r="E387" s="176">
        <f t="shared" ref="E387" si="73">10+VALUE(RIGHT(LEFT(G387,3),1))</f>
        <v>13</v>
      </c>
      <c r="F387" s="176" t="str">
        <f t="shared" ref="F387" si="74">RIGHT(G387,2) &amp; IF(A387&lt;2,"x","")</f>
        <v>pmx</v>
      </c>
      <c r="G387" s="176" t="s">
        <v>999</v>
      </c>
      <c r="H387" s="176"/>
      <c r="I387" s="176" t="s">
        <v>998</v>
      </c>
      <c r="J387" s="177" t="s">
        <v>21</v>
      </c>
      <c r="K387" s="178">
        <f t="shared" ref="K387" si="75">LOOKUP(1E+100,M387:AC387)</f>
        <v>1200</v>
      </c>
      <c r="L387" s="176"/>
      <c r="M387" s="178">
        <v>1200</v>
      </c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H387" s="175"/>
      <c r="AI387" s="175"/>
    </row>
    <row r="388" spans="1:35" x14ac:dyDescent="0.25">
      <c r="K388" s="175"/>
      <c r="M388" s="175"/>
      <c r="N388" s="175"/>
    </row>
    <row r="389" spans="1:35" x14ac:dyDescent="0.25">
      <c r="K389" s="175"/>
      <c r="M389" s="175"/>
      <c r="N389" s="175"/>
    </row>
    <row r="390" spans="1:35" x14ac:dyDescent="0.25">
      <c r="K390" s="175"/>
      <c r="M390" s="175"/>
      <c r="N390" s="175"/>
    </row>
    <row r="391" spans="1:35" x14ac:dyDescent="0.25">
      <c r="K391" s="175"/>
      <c r="M391" s="175"/>
      <c r="N391" s="175"/>
    </row>
    <row r="392" spans="1:35" x14ac:dyDescent="0.25">
      <c r="K392" s="175"/>
      <c r="M392" s="175"/>
      <c r="N392" s="175"/>
    </row>
    <row r="393" spans="1:35" x14ac:dyDescent="0.25">
      <c r="K393" s="175"/>
      <c r="M393" s="175"/>
      <c r="N393" s="175"/>
    </row>
    <row r="394" spans="1:35" x14ac:dyDescent="0.25">
      <c r="K394" s="175"/>
      <c r="M394" s="175"/>
      <c r="N394" s="175"/>
    </row>
    <row r="395" spans="1:35" x14ac:dyDescent="0.25">
      <c r="K395" s="175"/>
      <c r="M395" s="175"/>
      <c r="N395" s="175"/>
    </row>
    <row r="396" spans="1:35" x14ac:dyDescent="0.25">
      <c r="K396" s="175"/>
      <c r="M396" s="175"/>
      <c r="N396" s="175"/>
    </row>
    <row r="397" spans="1:35" x14ac:dyDescent="0.25">
      <c r="K397" s="175"/>
      <c r="M397" s="175"/>
      <c r="N397" s="175"/>
    </row>
    <row r="398" spans="1:35" x14ac:dyDescent="0.25">
      <c r="K398" s="175"/>
      <c r="M398" s="175"/>
      <c r="N398" s="175"/>
    </row>
    <row r="399" spans="1:35" x14ac:dyDescent="0.25">
      <c r="K399" s="175"/>
      <c r="M399" s="175"/>
      <c r="N399" s="175"/>
    </row>
    <row r="400" spans="1:35" x14ac:dyDescent="0.25">
      <c r="K400" s="175"/>
      <c r="M400" s="175"/>
      <c r="N400" s="175"/>
    </row>
    <row r="401" spans="11:14" x14ac:dyDescent="0.25">
      <c r="K401" s="175"/>
      <c r="M401" s="175"/>
      <c r="N401" s="175"/>
    </row>
    <row r="402" spans="11:14" x14ac:dyDescent="0.25">
      <c r="K402" s="175"/>
      <c r="M402" s="175"/>
      <c r="N402" s="175"/>
    </row>
    <row r="403" spans="11:14" x14ac:dyDescent="0.25">
      <c r="K403" s="175"/>
      <c r="M403" s="175"/>
      <c r="N403" s="175"/>
    </row>
    <row r="404" spans="11:14" x14ac:dyDescent="0.25">
      <c r="K404" s="175"/>
      <c r="M404" s="175"/>
      <c r="N404" s="175"/>
    </row>
    <row r="405" spans="11:14" x14ac:dyDescent="0.25">
      <c r="K405" s="175"/>
      <c r="M405" s="175"/>
      <c r="N405" s="175"/>
    </row>
    <row r="406" spans="11:14" x14ac:dyDescent="0.25">
      <c r="K406" s="175"/>
      <c r="M406" s="175"/>
      <c r="N406" s="175"/>
    </row>
    <row r="407" spans="11:14" x14ac:dyDescent="0.25">
      <c r="K407" s="175"/>
      <c r="M407" s="175"/>
      <c r="N407" s="175"/>
    </row>
    <row r="408" spans="11:14" x14ac:dyDescent="0.25">
      <c r="K408" s="175"/>
      <c r="M408" s="175"/>
      <c r="N408" s="175"/>
    </row>
    <row r="409" spans="11:14" x14ac:dyDescent="0.25">
      <c r="K409" s="175"/>
      <c r="M409" s="175"/>
      <c r="N409" s="175"/>
    </row>
    <row r="410" spans="11:14" x14ac:dyDescent="0.25">
      <c r="K410" s="175"/>
      <c r="M410" s="175"/>
      <c r="N410" s="175"/>
    </row>
    <row r="411" spans="11:14" x14ac:dyDescent="0.25">
      <c r="K411" s="175"/>
      <c r="M411" s="175"/>
      <c r="N411" s="175"/>
    </row>
    <row r="412" spans="11:14" x14ac:dyDescent="0.25">
      <c r="K412" s="175"/>
      <c r="M412" s="175"/>
      <c r="N412" s="175"/>
    </row>
    <row r="413" spans="11:14" x14ac:dyDescent="0.25">
      <c r="K413" s="175"/>
      <c r="M413" s="175"/>
      <c r="N413" s="175"/>
    </row>
    <row r="414" spans="11:14" x14ac:dyDescent="0.25">
      <c r="K414" s="175"/>
      <c r="M414" s="175"/>
      <c r="N414" s="175"/>
    </row>
    <row r="415" spans="11:14" x14ac:dyDescent="0.25">
      <c r="K415" s="175"/>
      <c r="M415" s="175"/>
      <c r="N415" s="175"/>
    </row>
    <row r="416" spans="11:14" x14ac:dyDescent="0.25">
      <c r="K416" s="175"/>
      <c r="M416" s="175"/>
      <c r="N416" s="175"/>
    </row>
    <row r="417" spans="11:14" x14ac:dyDescent="0.25">
      <c r="K417" s="175"/>
      <c r="M417" s="175"/>
      <c r="N417" s="175"/>
    </row>
    <row r="418" spans="11:14" x14ac:dyDescent="0.25">
      <c r="K418" s="175"/>
      <c r="M418" s="175"/>
      <c r="N418" s="175"/>
    </row>
    <row r="419" spans="11:14" x14ac:dyDescent="0.25">
      <c r="K419" s="175"/>
      <c r="M419" s="175"/>
      <c r="N419" s="175"/>
    </row>
    <row r="420" spans="11:14" x14ac:dyDescent="0.25">
      <c r="K420" s="175"/>
      <c r="M420" s="175"/>
      <c r="N420" s="175"/>
    </row>
    <row r="421" spans="11:14" x14ac:dyDescent="0.25">
      <c r="K421" s="175"/>
      <c r="M421" s="175"/>
      <c r="N421" s="175"/>
    </row>
    <row r="422" spans="11:14" x14ac:dyDescent="0.25">
      <c r="K422" s="175"/>
      <c r="M422" s="175"/>
      <c r="N422" s="175"/>
    </row>
    <row r="423" spans="11:14" x14ac:dyDescent="0.25">
      <c r="K423" s="175"/>
      <c r="M423" s="175"/>
      <c r="N423" s="175"/>
    </row>
    <row r="424" spans="11:14" x14ac:dyDescent="0.25">
      <c r="K424" s="175"/>
      <c r="M424" s="175"/>
      <c r="N424" s="175"/>
    </row>
    <row r="425" spans="11:14" x14ac:dyDescent="0.25">
      <c r="K425" s="175"/>
      <c r="M425" s="175"/>
      <c r="N425" s="175"/>
    </row>
    <row r="426" spans="11:14" x14ac:dyDescent="0.25">
      <c r="K426" s="175"/>
      <c r="M426" s="175"/>
      <c r="N426" s="175"/>
    </row>
    <row r="427" spans="11:14" x14ac:dyDescent="0.25">
      <c r="K427" s="175"/>
      <c r="M427" s="175"/>
      <c r="N427" s="175"/>
    </row>
    <row r="428" spans="11:14" x14ac:dyDescent="0.25">
      <c r="K428" s="175"/>
      <c r="M428" s="175"/>
      <c r="N428" s="175"/>
    </row>
    <row r="429" spans="11:14" x14ac:dyDescent="0.25">
      <c r="K429" s="175"/>
      <c r="M429" s="175"/>
      <c r="N429" s="175"/>
    </row>
    <row r="430" spans="11:14" x14ac:dyDescent="0.25">
      <c r="K430" s="175"/>
      <c r="M430" s="175"/>
      <c r="N430" s="175"/>
    </row>
    <row r="431" spans="11:14" x14ac:dyDescent="0.25">
      <c r="K431" s="175"/>
      <c r="M431" s="175"/>
      <c r="N431" s="175"/>
    </row>
    <row r="432" spans="11:14" x14ac:dyDescent="0.25">
      <c r="K432" s="175"/>
      <c r="M432" s="175"/>
      <c r="N432" s="175"/>
    </row>
    <row r="433" spans="11:14" x14ac:dyDescent="0.25">
      <c r="K433" s="175"/>
      <c r="M433" s="175"/>
      <c r="N433" s="175"/>
    </row>
    <row r="434" spans="11:14" x14ac:dyDescent="0.25">
      <c r="K434" s="175"/>
      <c r="M434" s="175"/>
      <c r="N434" s="175"/>
    </row>
    <row r="435" spans="11:14" x14ac:dyDescent="0.25">
      <c r="K435" s="175"/>
      <c r="M435" s="175"/>
      <c r="N435" s="175"/>
    </row>
    <row r="436" spans="11:14" x14ac:dyDescent="0.25">
      <c r="K436" s="175"/>
      <c r="M436" s="175"/>
      <c r="N436" s="175"/>
    </row>
    <row r="437" spans="11:14" x14ac:dyDescent="0.25">
      <c r="K437" s="175"/>
      <c r="M437" s="175"/>
      <c r="N437" s="175"/>
    </row>
    <row r="438" spans="11:14" x14ac:dyDescent="0.25">
      <c r="K438" s="175"/>
      <c r="M438" s="175"/>
      <c r="N438" s="175"/>
    </row>
    <row r="439" spans="11:14" x14ac:dyDescent="0.25">
      <c r="K439" s="175"/>
      <c r="M439" s="175"/>
      <c r="N439" s="175"/>
    </row>
    <row r="440" spans="11:14" x14ac:dyDescent="0.25">
      <c r="K440" s="175"/>
      <c r="M440" s="175"/>
      <c r="N440" s="175"/>
    </row>
    <row r="441" spans="11:14" x14ac:dyDescent="0.25">
      <c r="K441" s="175"/>
      <c r="M441" s="175"/>
      <c r="N441" s="175"/>
    </row>
    <row r="442" spans="11:14" x14ac:dyDescent="0.25">
      <c r="K442" s="175"/>
      <c r="M442" s="175"/>
      <c r="N442" s="175"/>
    </row>
    <row r="443" spans="11:14" x14ac:dyDescent="0.25">
      <c r="K443" s="175"/>
      <c r="M443" s="175"/>
      <c r="N443" s="175"/>
    </row>
    <row r="444" spans="11:14" x14ac:dyDescent="0.25">
      <c r="K444" s="175"/>
      <c r="M444" s="175"/>
      <c r="N444" s="175"/>
    </row>
    <row r="445" spans="11:14" x14ac:dyDescent="0.25">
      <c r="K445" s="175"/>
      <c r="M445" s="175"/>
      <c r="N445" s="175"/>
    </row>
    <row r="446" spans="11:14" x14ac:dyDescent="0.25">
      <c r="K446" s="175"/>
      <c r="M446" s="175"/>
      <c r="N446" s="175"/>
    </row>
    <row r="447" spans="11:14" x14ac:dyDescent="0.25">
      <c r="K447" s="175"/>
      <c r="M447" s="175"/>
      <c r="N447" s="175"/>
    </row>
    <row r="448" spans="11:14" x14ac:dyDescent="0.25">
      <c r="K448" s="175"/>
      <c r="M448" s="175"/>
      <c r="N448" s="175"/>
    </row>
    <row r="449" spans="11:14" x14ac:dyDescent="0.25">
      <c r="K449" s="175"/>
      <c r="M449" s="175"/>
      <c r="N449" s="175"/>
    </row>
    <row r="450" spans="11:14" x14ac:dyDescent="0.25">
      <c r="K450" s="175"/>
      <c r="M450" s="175"/>
      <c r="N450" s="175"/>
    </row>
    <row r="451" spans="11:14" x14ac:dyDescent="0.25">
      <c r="K451" s="175"/>
      <c r="M451" s="175"/>
      <c r="N451" s="175"/>
    </row>
    <row r="452" spans="11:14" x14ac:dyDescent="0.25">
      <c r="K452" s="175"/>
      <c r="M452" s="175"/>
      <c r="N452" s="175"/>
    </row>
    <row r="453" spans="11:14" x14ac:dyDescent="0.25">
      <c r="K453" s="175"/>
      <c r="M453" s="175"/>
      <c r="N453" s="175"/>
    </row>
    <row r="454" spans="11:14" x14ac:dyDescent="0.25">
      <c r="K454" s="175"/>
      <c r="M454" s="175"/>
      <c r="N454" s="175"/>
    </row>
    <row r="455" spans="11:14" x14ac:dyDescent="0.25">
      <c r="K455" s="175"/>
      <c r="M455" s="175"/>
      <c r="N455" s="175"/>
    </row>
    <row r="456" spans="11:14" x14ac:dyDescent="0.25">
      <c r="K456" s="175"/>
      <c r="M456" s="175"/>
      <c r="N456" s="175"/>
    </row>
    <row r="457" spans="11:14" x14ac:dyDescent="0.25">
      <c r="K457" s="175"/>
      <c r="M457" s="175"/>
      <c r="N457" s="175"/>
    </row>
    <row r="458" spans="11:14" x14ac:dyDescent="0.25">
      <c r="K458" s="175"/>
      <c r="M458" s="175"/>
      <c r="N458" s="175"/>
    </row>
    <row r="459" spans="11:14" x14ac:dyDescent="0.25">
      <c r="K459" s="175"/>
      <c r="M459" s="175"/>
      <c r="N459" s="175"/>
    </row>
    <row r="460" spans="11:14" x14ac:dyDescent="0.25">
      <c r="K460" s="175"/>
      <c r="M460" s="175"/>
      <c r="N460" s="175"/>
    </row>
    <row r="461" spans="11:14" x14ac:dyDescent="0.25">
      <c r="K461" s="175"/>
      <c r="M461" s="175"/>
      <c r="N461" s="175"/>
    </row>
    <row r="462" spans="11:14" x14ac:dyDescent="0.25">
      <c r="K462" s="175"/>
      <c r="M462" s="175"/>
      <c r="N462" s="175"/>
    </row>
    <row r="463" spans="11:14" x14ac:dyDescent="0.25">
      <c r="K463" s="175"/>
      <c r="M463" s="175"/>
      <c r="N463" s="175"/>
    </row>
    <row r="464" spans="11:14" x14ac:dyDescent="0.25">
      <c r="K464" s="175"/>
      <c r="M464" s="175"/>
      <c r="N464" s="175"/>
    </row>
    <row r="465" spans="11:14" x14ac:dyDescent="0.25">
      <c r="K465" s="175"/>
      <c r="M465" s="175"/>
      <c r="N465" s="175"/>
    </row>
    <row r="466" spans="11:14" x14ac:dyDescent="0.25">
      <c r="K466" s="175"/>
      <c r="M466" s="175"/>
      <c r="N466" s="175"/>
    </row>
    <row r="467" spans="11:14" x14ac:dyDescent="0.25">
      <c r="K467" s="175"/>
      <c r="M467" s="175"/>
      <c r="N467" s="175"/>
    </row>
    <row r="468" spans="11:14" x14ac:dyDescent="0.25">
      <c r="K468" s="175"/>
      <c r="M468" s="175"/>
      <c r="N468" s="175"/>
    </row>
    <row r="469" spans="11:14" x14ac:dyDescent="0.25">
      <c r="K469" s="175"/>
      <c r="M469" s="175"/>
      <c r="N469" s="175"/>
    </row>
    <row r="470" spans="11:14" x14ac:dyDescent="0.25">
      <c r="K470" s="175"/>
      <c r="M470" s="175"/>
      <c r="N470" s="175"/>
    </row>
    <row r="471" spans="11:14" x14ac:dyDescent="0.25">
      <c r="K471" s="175"/>
      <c r="M471" s="175"/>
      <c r="N471" s="175"/>
    </row>
    <row r="472" spans="11:14" x14ac:dyDescent="0.25">
      <c r="K472" s="175"/>
      <c r="M472" s="175"/>
      <c r="N472" s="175"/>
    </row>
    <row r="473" spans="11:14" x14ac:dyDescent="0.25">
      <c r="K473" s="175"/>
      <c r="M473" s="175"/>
      <c r="N473" s="175"/>
    </row>
    <row r="474" spans="11:14" x14ac:dyDescent="0.25">
      <c r="K474" s="175"/>
      <c r="M474" s="175"/>
      <c r="N474" s="175"/>
    </row>
    <row r="475" spans="11:14" x14ac:dyDescent="0.25">
      <c r="K475" s="175"/>
      <c r="M475" s="175"/>
      <c r="N475" s="175"/>
    </row>
    <row r="476" spans="11:14" x14ac:dyDescent="0.25">
      <c r="K476" s="175"/>
      <c r="M476" s="175"/>
      <c r="N476" s="175"/>
    </row>
    <row r="477" spans="11:14" x14ac:dyDescent="0.25">
      <c r="K477" s="175"/>
      <c r="M477" s="175"/>
      <c r="N477" s="175"/>
    </row>
    <row r="478" spans="11:14" x14ac:dyDescent="0.25">
      <c r="K478" s="175"/>
      <c r="M478" s="175"/>
      <c r="N478" s="175"/>
    </row>
    <row r="479" spans="11:14" x14ac:dyDescent="0.25">
      <c r="K479" s="175"/>
      <c r="M479" s="175"/>
      <c r="N479" s="175"/>
    </row>
    <row r="480" spans="11:14" x14ac:dyDescent="0.25">
      <c r="K480" s="175"/>
      <c r="M480" s="175"/>
      <c r="N480" s="175"/>
    </row>
    <row r="481" spans="11:14" x14ac:dyDescent="0.25">
      <c r="K481" s="175"/>
      <c r="M481" s="175"/>
      <c r="N481" s="175"/>
    </row>
    <row r="482" spans="11:14" x14ac:dyDescent="0.25">
      <c r="K482" s="175"/>
      <c r="M482" s="175"/>
      <c r="N482" s="175"/>
    </row>
    <row r="483" spans="11:14" x14ac:dyDescent="0.25">
      <c r="K483" s="175"/>
      <c r="M483" s="175"/>
      <c r="N483" s="175"/>
    </row>
    <row r="484" spans="11:14" x14ac:dyDescent="0.25">
      <c r="K484" s="175"/>
      <c r="M484" s="175"/>
      <c r="N484" s="175"/>
    </row>
    <row r="485" spans="11:14" x14ac:dyDescent="0.25">
      <c r="K485" s="175"/>
      <c r="M485" s="175"/>
      <c r="N485" s="175"/>
    </row>
    <row r="486" spans="11:14" x14ac:dyDescent="0.25">
      <c r="K486" s="175"/>
      <c r="M486" s="175"/>
      <c r="N486" s="175"/>
    </row>
    <row r="487" spans="11:14" x14ac:dyDescent="0.25">
      <c r="K487" s="175"/>
      <c r="M487" s="175"/>
      <c r="N487" s="175"/>
    </row>
    <row r="488" spans="11:14" x14ac:dyDescent="0.25">
      <c r="K488" s="175"/>
      <c r="M488" s="175"/>
      <c r="N488" s="175"/>
    </row>
    <row r="489" spans="11:14" x14ac:dyDescent="0.25">
      <c r="K489" s="175"/>
      <c r="M489" s="175"/>
      <c r="N489" s="175"/>
    </row>
    <row r="490" spans="11:14" x14ac:dyDescent="0.25">
      <c r="K490" s="175"/>
      <c r="M490" s="175"/>
      <c r="N490" s="175"/>
    </row>
    <row r="491" spans="11:14" x14ac:dyDescent="0.25">
      <c r="K491" s="175"/>
      <c r="M491" s="175"/>
      <c r="N491" s="175"/>
    </row>
    <row r="492" spans="11:14" x14ac:dyDescent="0.25">
      <c r="K492" s="175"/>
      <c r="M492" s="175"/>
      <c r="N492" s="175"/>
    </row>
    <row r="493" spans="11:14" x14ac:dyDescent="0.25">
      <c r="K493" s="175"/>
      <c r="M493" s="175"/>
      <c r="N493" s="175"/>
    </row>
    <row r="494" spans="11:14" x14ac:dyDescent="0.25">
      <c r="K494" s="175"/>
      <c r="M494" s="175"/>
      <c r="N494" s="175"/>
    </row>
    <row r="495" spans="11:14" x14ac:dyDescent="0.25">
      <c r="K495" s="175"/>
      <c r="M495" s="175"/>
      <c r="N495" s="175"/>
    </row>
    <row r="496" spans="11:14" x14ac:dyDescent="0.25">
      <c r="K496" s="175"/>
      <c r="M496" s="175"/>
      <c r="N496" s="175"/>
    </row>
    <row r="497" spans="11:14" x14ac:dyDescent="0.25">
      <c r="K497" s="175"/>
      <c r="M497" s="175"/>
      <c r="N497" s="175"/>
    </row>
    <row r="498" spans="11:14" x14ac:dyDescent="0.25">
      <c r="K498" s="175"/>
      <c r="M498" s="175"/>
      <c r="N498" s="175"/>
    </row>
    <row r="499" spans="11:14" x14ac:dyDescent="0.25">
      <c r="K499" s="175"/>
      <c r="M499" s="175"/>
      <c r="N499" s="175"/>
    </row>
    <row r="500" spans="11:14" x14ac:dyDescent="0.25">
      <c r="K500" s="175"/>
      <c r="M500" s="175"/>
      <c r="N500" s="175"/>
    </row>
    <row r="501" spans="11:14" x14ac:dyDescent="0.25">
      <c r="K501" s="175"/>
      <c r="M501" s="175"/>
      <c r="N501" s="175"/>
    </row>
    <row r="502" spans="11:14" x14ac:dyDescent="0.25">
      <c r="K502" s="175"/>
      <c r="M502" s="175"/>
      <c r="N502" s="175"/>
    </row>
    <row r="503" spans="11:14" x14ac:dyDescent="0.25">
      <c r="K503" s="175"/>
      <c r="M503" s="175"/>
      <c r="N503" s="175"/>
    </row>
    <row r="504" spans="11:14" x14ac:dyDescent="0.25">
      <c r="K504" s="175"/>
      <c r="M504" s="175"/>
      <c r="N504" s="175"/>
    </row>
    <row r="505" spans="11:14" x14ac:dyDescent="0.25">
      <c r="K505" s="175"/>
      <c r="M505" s="175"/>
      <c r="N505" s="175"/>
    </row>
    <row r="506" spans="11:14" x14ac:dyDescent="0.25">
      <c r="K506" s="175"/>
      <c r="M506" s="175"/>
      <c r="N506" s="175"/>
    </row>
    <row r="507" spans="11:14" x14ac:dyDescent="0.25">
      <c r="K507" s="175"/>
      <c r="M507" s="175"/>
      <c r="N507" s="175"/>
    </row>
    <row r="508" spans="11:14" x14ac:dyDescent="0.25">
      <c r="K508" s="175"/>
      <c r="M508" s="175"/>
      <c r="N508" s="175"/>
    </row>
    <row r="509" spans="11:14" x14ac:dyDescent="0.25">
      <c r="K509" s="175"/>
      <c r="M509" s="175"/>
      <c r="N509" s="175"/>
    </row>
    <row r="510" spans="11:14" x14ac:dyDescent="0.25">
      <c r="K510" s="175"/>
      <c r="M510" s="175"/>
      <c r="N510" s="175"/>
    </row>
    <row r="511" spans="11:14" x14ac:dyDescent="0.25">
      <c r="K511" s="175"/>
      <c r="M511" s="175"/>
      <c r="N511" s="175"/>
    </row>
    <row r="512" spans="11:14" x14ac:dyDescent="0.25">
      <c r="K512" s="175"/>
      <c r="M512" s="175"/>
      <c r="N512" s="175"/>
    </row>
    <row r="513" spans="11:14" x14ac:dyDescent="0.25">
      <c r="K513" s="175"/>
      <c r="M513" s="175"/>
      <c r="N513" s="175"/>
    </row>
    <row r="514" spans="11:14" x14ac:dyDescent="0.25">
      <c r="K514" s="175"/>
      <c r="M514" s="175"/>
      <c r="N514" s="175"/>
    </row>
    <row r="515" spans="11:14" x14ac:dyDescent="0.25">
      <c r="K515" s="175"/>
      <c r="M515" s="175"/>
      <c r="N515" s="175"/>
    </row>
    <row r="516" spans="11:14" x14ac:dyDescent="0.25">
      <c r="K516" s="175"/>
      <c r="M516" s="175"/>
      <c r="N516" s="175"/>
    </row>
    <row r="517" spans="11:14" x14ac:dyDescent="0.25">
      <c r="K517" s="175"/>
      <c r="M517" s="175"/>
      <c r="N517" s="175"/>
    </row>
    <row r="518" spans="11:14" x14ac:dyDescent="0.25">
      <c r="K518" s="175"/>
      <c r="M518" s="175"/>
      <c r="N518" s="175"/>
    </row>
    <row r="519" spans="11:14" x14ac:dyDescent="0.25">
      <c r="K519" s="175"/>
      <c r="M519" s="175"/>
      <c r="N519" s="175"/>
    </row>
    <row r="520" spans="11:14" x14ac:dyDescent="0.25">
      <c r="K520" s="175"/>
      <c r="M520" s="175"/>
      <c r="N520" s="175"/>
    </row>
    <row r="521" spans="11:14" x14ac:dyDescent="0.25">
      <c r="K521" s="175"/>
      <c r="M521" s="175"/>
      <c r="N521" s="175"/>
    </row>
    <row r="522" spans="11:14" x14ac:dyDescent="0.25">
      <c r="K522" s="175"/>
      <c r="M522" s="175"/>
      <c r="N522" s="175"/>
    </row>
    <row r="523" spans="11:14" x14ac:dyDescent="0.25">
      <c r="K523" s="175"/>
      <c r="M523" s="175"/>
      <c r="N523" s="175"/>
    </row>
    <row r="524" spans="11:14" x14ac:dyDescent="0.25">
      <c r="K524" s="175"/>
      <c r="M524" s="175"/>
      <c r="N524" s="175"/>
    </row>
    <row r="525" spans="11:14" x14ac:dyDescent="0.25">
      <c r="K525" s="175"/>
      <c r="M525" s="175"/>
      <c r="N525" s="175"/>
    </row>
    <row r="526" spans="11:14" x14ac:dyDescent="0.25">
      <c r="K526" s="175"/>
      <c r="M526" s="175"/>
      <c r="N526" s="175"/>
    </row>
    <row r="527" spans="11:14" x14ac:dyDescent="0.25">
      <c r="K527" s="175"/>
      <c r="M527" s="175"/>
      <c r="N527" s="175"/>
    </row>
    <row r="528" spans="11:14" x14ac:dyDescent="0.25">
      <c r="K528" s="175"/>
      <c r="M528" s="175"/>
      <c r="N528" s="175"/>
    </row>
    <row r="529" spans="11:14" x14ac:dyDescent="0.25">
      <c r="K529" s="175"/>
      <c r="M529" s="175"/>
      <c r="N529" s="175"/>
    </row>
    <row r="530" spans="11:14" x14ac:dyDescent="0.25">
      <c r="K530" s="175"/>
      <c r="M530" s="175"/>
      <c r="N530" s="175"/>
    </row>
    <row r="531" spans="11:14" x14ac:dyDescent="0.25">
      <c r="K531" s="175"/>
      <c r="M531" s="175"/>
      <c r="N531" s="175"/>
    </row>
    <row r="532" spans="11:14" x14ac:dyDescent="0.25">
      <c r="K532" s="175"/>
      <c r="M532" s="175"/>
      <c r="N532" s="175"/>
    </row>
    <row r="533" spans="11:14" x14ac:dyDescent="0.25">
      <c r="K533" s="175"/>
      <c r="M533" s="175"/>
      <c r="N533" s="175"/>
    </row>
    <row r="534" spans="11:14" x14ac:dyDescent="0.25">
      <c r="K534" s="175"/>
      <c r="M534" s="175"/>
      <c r="N534" s="175"/>
    </row>
    <row r="535" spans="11:14" x14ac:dyDescent="0.25">
      <c r="K535" s="175"/>
      <c r="M535" s="175"/>
      <c r="N535" s="175"/>
    </row>
    <row r="536" spans="11:14" x14ac:dyDescent="0.25">
      <c r="K536" s="175"/>
      <c r="M536" s="175"/>
      <c r="N536" s="175"/>
    </row>
    <row r="537" spans="11:14" x14ac:dyDescent="0.25">
      <c r="K537" s="175"/>
      <c r="M537" s="175"/>
      <c r="N537" s="175"/>
    </row>
    <row r="538" spans="11:14" x14ac:dyDescent="0.25">
      <c r="K538" s="175"/>
      <c r="M538" s="175"/>
      <c r="N538" s="175"/>
    </row>
    <row r="539" spans="11:14" x14ac:dyDescent="0.25">
      <c r="K539" s="175"/>
      <c r="M539" s="175"/>
      <c r="N539" s="175"/>
    </row>
    <row r="540" spans="11:14" x14ac:dyDescent="0.25">
      <c r="K540" s="175"/>
      <c r="M540" s="175"/>
      <c r="N540" s="175"/>
    </row>
    <row r="541" spans="11:14" x14ac:dyDescent="0.25">
      <c r="K541" s="175"/>
      <c r="M541" s="175"/>
      <c r="N541" s="175"/>
    </row>
    <row r="542" spans="11:14" x14ac:dyDescent="0.25">
      <c r="K542" s="175"/>
      <c r="M542" s="175"/>
      <c r="N542" s="175"/>
    </row>
    <row r="543" spans="11:14" x14ac:dyDescent="0.25">
      <c r="K543" s="175"/>
      <c r="M543" s="175"/>
      <c r="N543" s="175"/>
    </row>
    <row r="544" spans="11:14" x14ac:dyDescent="0.25">
      <c r="K544" s="175"/>
      <c r="M544" s="175"/>
      <c r="N544" s="175"/>
    </row>
    <row r="545" spans="11:14" x14ac:dyDescent="0.25">
      <c r="K545" s="175"/>
      <c r="M545" s="175"/>
      <c r="N545" s="175"/>
    </row>
    <row r="546" spans="11:14" x14ac:dyDescent="0.25">
      <c r="K546" s="175"/>
      <c r="M546" s="175"/>
      <c r="N546" s="175"/>
    </row>
    <row r="547" spans="11:14" x14ac:dyDescent="0.25">
      <c r="K547" s="175"/>
      <c r="M547" s="175"/>
      <c r="N547" s="175"/>
    </row>
    <row r="548" spans="11:14" x14ac:dyDescent="0.25">
      <c r="K548" s="175"/>
      <c r="M548" s="175"/>
      <c r="N548" s="175"/>
    </row>
    <row r="549" spans="11:14" x14ac:dyDescent="0.25">
      <c r="K549" s="175"/>
      <c r="M549" s="175"/>
      <c r="N549" s="175"/>
    </row>
    <row r="550" spans="11:14" x14ac:dyDescent="0.25">
      <c r="K550" s="175"/>
      <c r="M550" s="175"/>
      <c r="N550" s="175"/>
    </row>
    <row r="551" spans="11:14" x14ac:dyDescent="0.25">
      <c r="K551" s="175"/>
      <c r="M551" s="175"/>
      <c r="N551" s="175"/>
    </row>
    <row r="552" spans="11:14" x14ac:dyDescent="0.25">
      <c r="K552" s="175"/>
      <c r="M552" s="175"/>
      <c r="N552" s="175"/>
    </row>
    <row r="553" spans="11:14" x14ac:dyDescent="0.25">
      <c r="K553" s="175"/>
      <c r="M553" s="175"/>
      <c r="N553" s="175"/>
    </row>
    <row r="554" spans="11:14" x14ac:dyDescent="0.25">
      <c r="K554" s="175"/>
      <c r="M554" s="175"/>
      <c r="N554" s="175"/>
    </row>
    <row r="555" spans="11:14" x14ac:dyDescent="0.25">
      <c r="K555" s="175"/>
      <c r="M555" s="175"/>
      <c r="N555" s="175"/>
    </row>
    <row r="556" spans="11:14" x14ac:dyDescent="0.25">
      <c r="K556" s="175"/>
      <c r="M556" s="175"/>
      <c r="N556" s="175"/>
    </row>
    <row r="557" spans="11:14" x14ac:dyDescent="0.25">
      <c r="K557" s="175"/>
      <c r="M557" s="175"/>
      <c r="N557" s="175"/>
    </row>
    <row r="558" spans="11:14" x14ac:dyDescent="0.25">
      <c r="K558" s="175"/>
      <c r="M558" s="175"/>
      <c r="N558" s="175"/>
    </row>
    <row r="559" spans="11:14" x14ac:dyDescent="0.25">
      <c r="K559" s="175"/>
      <c r="M559" s="175"/>
      <c r="N559" s="175"/>
    </row>
    <row r="560" spans="11:14" x14ac:dyDescent="0.25">
      <c r="K560" s="175"/>
      <c r="M560" s="175"/>
      <c r="N560" s="175"/>
    </row>
    <row r="561" spans="11:14" x14ac:dyDescent="0.25">
      <c r="K561" s="175"/>
      <c r="M561" s="175"/>
      <c r="N561" s="175"/>
    </row>
    <row r="562" spans="11:14" x14ac:dyDescent="0.25">
      <c r="K562" s="175"/>
      <c r="M562" s="175"/>
      <c r="N562" s="175"/>
    </row>
    <row r="563" spans="11:14" x14ac:dyDescent="0.25">
      <c r="K563" s="175"/>
      <c r="M563" s="175"/>
      <c r="N563" s="175"/>
    </row>
    <row r="564" spans="11:14" x14ac:dyDescent="0.25">
      <c r="K564" s="175"/>
      <c r="M564" s="175"/>
      <c r="N564" s="175"/>
    </row>
    <row r="565" spans="11:14" x14ac:dyDescent="0.25">
      <c r="K565" s="175"/>
      <c r="M565" s="175"/>
      <c r="N565" s="175"/>
    </row>
    <row r="566" spans="11:14" x14ac:dyDescent="0.25">
      <c r="K566" s="175"/>
      <c r="M566" s="175"/>
      <c r="N566" s="175"/>
    </row>
    <row r="567" spans="11:14" x14ac:dyDescent="0.25">
      <c r="K567" s="175"/>
      <c r="M567" s="175"/>
      <c r="N567" s="175"/>
    </row>
    <row r="568" spans="11:14" x14ac:dyDescent="0.25">
      <c r="K568" s="175"/>
      <c r="M568" s="175"/>
      <c r="N568" s="175"/>
    </row>
    <row r="569" spans="11:14" x14ac:dyDescent="0.25">
      <c r="K569" s="175"/>
      <c r="M569" s="175"/>
      <c r="N569" s="175"/>
    </row>
    <row r="570" spans="11:14" x14ac:dyDescent="0.25">
      <c r="K570" s="175"/>
      <c r="M570" s="175"/>
      <c r="N570" s="175"/>
    </row>
    <row r="571" spans="11:14" x14ac:dyDescent="0.25">
      <c r="K571" s="175"/>
      <c r="M571" s="175"/>
      <c r="N571" s="175"/>
    </row>
    <row r="572" spans="11:14" x14ac:dyDescent="0.25">
      <c r="K572" s="175"/>
      <c r="M572" s="175"/>
      <c r="N572" s="175"/>
    </row>
    <row r="573" spans="11:14" x14ac:dyDescent="0.25">
      <c r="K573" s="175"/>
      <c r="M573" s="175"/>
      <c r="N573" s="175"/>
    </row>
    <row r="574" spans="11:14" x14ac:dyDescent="0.25">
      <c r="K574" s="175"/>
      <c r="M574" s="175"/>
      <c r="N574" s="175"/>
    </row>
    <row r="575" spans="11:14" x14ac:dyDescent="0.25">
      <c r="K575" s="175"/>
      <c r="M575" s="175"/>
      <c r="N575" s="175"/>
    </row>
    <row r="576" spans="11:14" x14ac:dyDescent="0.25">
      <c r="K576" s="175"/>
      <c r="M576" s="175"/>
      <c r="N576" s="175"/>
    </row>
    <row r="577" spans="11:14" x14ac:dyDescent="0.25">
      <c r="K577" s="175"/>
      <c r="M577" s="175"/>
      <c r="N577" s="175"/>
    </row>
    <row r="578" spans="11:14" x14ac:dyDescent="0.25">
      <c r="K578" s="175"/>
      <c r="M578" s="175"/>
      <c r="N578" s="175"/>
    </row>
    <row r="579" spans="11:14" x14ac:dyDescent="0.25">
      <c r="K579" s="175"/>
      <c r="M579" s="175"/>
      <c r="N579" s="175"/>
    </row>
    <row r="580" spans="11:14" x14ac:dyDescent="0.25">
      <c r="K580" s="175"/>
      <c r="M580" s="175"/>
      <c r="N580" s="175"/>
    </row>
    <row r="581" spans="11:14" x14ac:dyDescent="0.25">
      <c r="K581" s="175"/>
      <c r="M581" s="175"/>
      <c r="N581" s="175"/>
    </row>
    <row r="582" spans="11:14" x14ac:dyDescent="0.25">
      <c r="K582" s="175"/>
      <c r="M582" s="175"/>
      <c r="N582" s="175"/>
    </row>
    <row r="583" spans="11:14" x14ac:dyDescent="0.25">
      <c r="K583" s="175"/>
      <c r="M583" s="175"/>
      <c r="N583" s="175"/>
    </row>
    <row r="584" spans="11:14" x14ac:dyDescent="0.25">
      <c r="K584" s="175"/>
      <c r="M584" s="175"/>
      <c r="N584" s="175"/>
    </row>
    <row r="585" spans="11:14" x14ac:dyDescent="0.25">
      <c r="K585" s="175"/>
      <c r="M585" s="175"/>
      <c r="N585" s="175"/>
    </row>
    <row r="586" spans="11:14" x14ac:dyDescent="0.25">
      <c r="K586" s="175"/>
      <c r="M586" s="175"/>
      <c r="N586" s="175"/>
    </row>
    <row r="587" spans="11:14" x14ac:dyDescent="0.25">
      <c r="K587" s="175"/>
      <c r="M587" s="175"/>
      <c r="N587" s="175"/>
    </row>
    <row r="588" spans="11:14" x14ac:dyDescent="0.25">
      <c r="K588" s="175"/>
      <c r="M588" s="175"/>
      <c r="N588" s="175"/>
    </row>
    <row r="589" spans="11:14" x14ac:dyDescent="0.25">
      <c r="K589" s="175"/>
      <c r="M589" s="175"/>
      <c r="N589" s="175"/>
    </row>
    <row r="590" spans="11:14" x14ac:dyDescent="0.25">
      <c r="K590" s="175"/>
      <c r="M590" s="175"/>
      <c r="N590" s="175"/>
    </row>
    <row r="591" spans="11:14" x14ac:dyDescent="0.25">
      <c r="K591" s="175"/>
      <c r="M591" s="175"/>
      <c r="N591" s="175"/>
    </row>
    <row r="592" spans="11:14" x14ac:dyDescent="0.25">
      <c r="K592" s="175"/>
      <c r="M592" s="175"/>
      <c r="N592" s="175"/>
    </row>
    <row r="593" spans="11:14" x14ac:dyDescent="0.25">
      <c r="K593" s="175"/>
      <c r="M593" s="175"/>
      <c r="N593" s="175"/>
    </row>
    <row r="594" spans="11:14" x14ac:dyDescent="0.25">
      <c r="K594" s="175"/>
      <c r="M594" s="175"/>
      <c r="N594" s="175"/>
    </row>
    <row r="595" spans="11:14" x14ac:dyDescent="0.25">
      <c r="K595" s="175"/>
      <c r="M595" s="175"/>
      <c r="N595" s="175"/>
    </row>
    <row r="596" spans="11:14" x14ac:dyDescent="0.25">
      <c r="K596" s="175"/>
      <c r="M596" s="175"/>
      <c r="N596" s="175"/>
    </row>
    <row r="597" spans="11:14" x14ac:dyDescent="0.25">
      <c r="K597" s="175"/>
      <c r="M597" s="175"/>
      <c r="N597" s="175"/>
    </row>
    <row r="598" spans="11:14" x14ac:dyDescent="0.25">
      <c r="K598" s="175"/>
      <c r="M598" s="175"/>
      <c r="N598" s="175"/>
    </row>
    <row r="599" spans="11:14" x14ac:dyDescent="0.25">
      <c r="K599" s="175"/>
      <c r="M599" s="175"/>
      <c r="N599" s="175"/>
    </row>
    <row r="600" spans="11:14" x14ac:dyDescent="0.25">
      <c r="K600" s="175"/>
      <c r="M600" s="175"/>
      <c r="N600" s="175"/>
    </row>
    <row r="601" spans="11:14" x14ac:dyDescent="0.25">
      <c r="K601" s="175"/>
      <c r="M601" s="175"/>
      <c r="N601" s="175"/>
    </row>
    <row r="602" spans="11:14" x14ac:dyDescent="0.25">
      <c r="K602" s="175"/>
      <c r="M602" s="175"/>
      <c r="N602" s="175"/>
    </row>
    <row r="603" spans="11:14" x14ac:dyDescent="0.25">
      <c r="K603" s="175"/>
      <c r="M603" s="175"/>
      <c r="N603" s="175"/>
    </row>
    <row r="604" spans="11:14" x14ac:dyDescent="0.25">
      <c r="K604" s="175"/>
      <c r="M604" s="175"/>
      <c r="N604" s="175"/>
    </row>
    <row r="605" spans="11:14" x14ac:dyDescent="0.25">
      <c r="K605" s="175"/>
      <c r="M605" s="175"/>
      <c r="N605" s="175"/>
    </row>
    <row r="606" spans="11:14" x14ac:dyDescent="0.25">
      <c r="K606" s="175"/>
      <c r="M606" s="175"/>
      <c r="N606" s="175"/>
    </row>
    <row r="607" spans="11:14" x14ac:dyDescent="0.25">
      <c r="K607" s="175"/>
      <c r="M607" s="175"/>
      <c r="N607" s="175"/>
    </row>
    <row r="608" spans="11:14" x14ac:dyDescent="0.25">
      <c r="K608" s="175"/>
      <c r="M608" s="175"/>
      <c r="N608" s="175"/>
    </row>
    <row r="609" spans="11:14" x14ac:dyDescent="0.25">
      <c r="K609" s="175"/>
      <c r="M609" s="175"/>
      <c r="N609" s="175"/>
    </row>
    <row r="610" spans="11:14" x14ac:dyDescent="0.25">
      <c r="K610" s="175"/>
      <c r="M610" s="175"/>
      <c r="N610" s="175"/>
    </row>
    <row r="611" spans="11:14" x14ac:dyDescent="0.25">
      <c r="K611" s="175"/>
      <c r="M611" s="175"/>
      <c r="N611" s="175"/>
    </row>
    <row r="612" spans="11:14" x14ac:dyDescent="0.25">
      <c r="K612" s="175"/>
      <c r="M612" s="175"/>
      <c r="N612" s="175"/>
    </row>
    <row r="613" spans="11:14" x14ac:dyDescent="0.25">
      <c r="K613" s="175"/>
      <c r="M613" s="175"/>
      <c r="N613" s="175"/>
    </row>
    <row r="614" spans="11:14" x14ac:dyDescent="0.25">
      <c r="K614" s="175"/>
      <c r="M614" s="175"/>
      <c r="N614" s="175"/>
    </row>
    <row r="615" spans="11:14" x14ac:dyDescent="0.25">
      <c r="K615" s="175"/>
      <c r="M615" s="175"/>
      <c r="N615" s="175"/>
    </row>
    <row r="616" spans="11:14" x14ac:dyDescent="0.25">
      <c r="K616" s="175"/>
      <c r="M616" s="175"/>
      <c r="N616" s="175"/>
    </row>
    <row r="617" spans="11:14" x14ac:dyDescent="0.25">
      <c r="K617" s="175"/>
      <c r="M617" s="175"/>
      <c r="N617" s="175"/>
    </row>
    <row r="618" spans="11:14" x14ac:dyDescent="0.25">
      <c r="K618" s="175"/>
      <c r="M618" s="175"/>
      <c r="N618" s="175"/>
    </row>
    <row r="619" spans="11:14" x14ac:dyDescent="0.25">
      <c r="K619" s="175"/>
      <c r="M619" s="175"/>
      <c r="N619" s="175"/>
    </row>
    <row r="620" spans="11:14" x14ac:dyDescent="0.25">
      <c r="K620" s="175"/>
      <c r="M620" s="175"/>
      <c r="N620" s="175"/>
    </row>
    <row r="621" spans="11:14" x14ac:dyDescent="0.25">
      <c r="K621" s="175"/>
      <c r="M621" s="175"/>
      <c r="N621" s="175"/>
    </row>
    <row r="622" spans="11:14" x14ac:dyDescent="0.25">
      <c r="K622" s="175"/>
      <c r="M622" s="175"/>
      <c r="N622" s="175"/>
    </row>
    <row r="623" spans="11:14" x14ac:dyDescent="0.25">
      <c r="K623" s="175"/>
      <c r="M623" s="175"/>
      <c r="N623" s="175"/>
    </row>
    <row r="624" spans="11:14" x14ac:dyDescent="0.25">
      <c r="K624" s="175"/>
      <c r="M624" s="175"/>
      <c r="N624" s="175"/>
    </row>
    <row r="625" spans="11:14" x14ac:dyDescent="0.25">
      <c r="K625" s="175"/>
      <c r="M625" s="175"/>
      <c r="N625" s="175"/>
    </row>
    <row r="626" spans="11:14" x14ac:dyDescent="0.25">
      <c r="K626" s="175"/>
      <c r="M626" s="175"/>
      <c r="N626" s="175"/>
    </row>
    <row r="627" spans="11:14" x14ac:dyDescent="0.25">
      <c r="K627" s="175"/>
      <c r="M627" s="175"/>
      <c r="N627" s="175"/>
    </row>
    <row r="628" spans="11:14" x14ac:dyDescent="0.25">
      <c r="K628" s="175"/>
      <c r="M628" s="175"/>
      <c r="N628" s="175"/>
    </row>
    <row r="629" spans="11:14" x14ac:dyDescent="0.25">
      <c r="K629" s="175"/>
      <c r="M629" s="175"/>
      <c r="N629" s="175"/>
    </row>
    <row r="630" spans="11:14" x14ac:dyDescent="0.25">
      <c r="K630" s="175"/>
      <c r="M630" s="175"/>
      <c r="N630" s="175"/>
    </row>
    <row r="631" spans="11:14" x14ac:dyDescent="0.25">
      <c r="K631" s="175"/>
      <c r="M631" s="175"/>
      <c r="N631" s="175"/>
    </row>
    <row r="632" spans="11:14" x14ac:dyDescent="0.25">
      <c r="K632" s="175"/>
      <c r="M632" s="175"/>
      <c r="N632" s="175"/>
    </row>
    <row r="633" spans="11:14" x14ac:dyDescent="0.25">
      <c r="K633" s="175"/>
      <c r="M633" s="175"/>
      <c r="N633" s="175"/>
    </row>
    <row r="634" spans="11:14" x14ac:dyDescent="0.25">
      <c r="K634" s="175"/>
      <c r="M634" s="175"/>
      <c r="N634" s="175"/>
    </row>
    <row r="635" spans="11:14" x14ac:dyDescent="0.25">
      <c r="K635" s="175"/>
      <c r="M635" s="175"/>
      <c r="N635" s="175"/>
    </row>
    <row r="636" spans="11:14" x14ac:dyDescent="0.25">
      <c r="K636" s="175"/>
      <c r="M636" s="175"/>
      <c r="N636" s="175"/>
    </row>
    <row r="637" spans="11:14" x14ac:dyDescent="0.25">
      <c r="K637" s="175"/>
      <c r="M637" s="175"/>
      <c r="N637" s="175"/>
    </row>
    <row r="638" spans="11:14" x14ac:dyDescent="0.25">
      <c r="K638" s="175"/>
      <c r="M638" s="175"/>
      <c r="N638" s="175"/>
    </row>
    <row r="639" spans="11:14" x14ac:dyDescent="0.25">
      <c r="K639" s="175"/>
      <c r="M639" s="175"/>
      <c r="N639" s="175"/>
    </row>
    <row r="640" spans="11:14" x14ac:dyDescent="0.25">
      <c r="K640" s="175"/>
      <c r="M640" s="175"/>
      <c r="N640" s="175"/>
    </row>
    <row r="641" spans="11:14" x14ac:dyDescent="0.25">
      <c r="K641" s="175"/>
      <c r="M641" s="175"/>
      <c r="N641" s="175"/>
    </row>
    <row r="642" spans="11:14" x14ac:dyDescent="0.25">
      <c r="K642" s="175"/>
      <c r="M642" s="175"/>
      <c r="N642" s="175"/>
    </row>
    <row r="643" spans="11:14" x14ac:dyDescent="0.25">
      <c r="K643" s="175"/>
      <c r="M643" s="175"/>
      <c r="N643" s="175"/>
    </row>
    <row r="644" spans="11:14" x14ac:dyDescent="0.25">
      <c r="K644" s="175"/>
      <c r="M644" s="175"/>
      <c r="N644" s="175"/>
    </row>
    <row r="645" spans="11:14" x14ac:dyDescent="0.25">
      <c r="K645" s="175"/>
      <c r="M645" s="175"/>
      <c r="N645" s="175"/>
    </row>
    <row r="646" spans="11:14" x14ac:dyDescent="0.25">
      <c r="K646" s="175"/>
      <c r="M646" s="175"/>
      <c r="N646" s="175"/>
    </row>
    <row r="647" spans="11:14" x14ac:dyDescent="0.25">
      <c r="K647" s="175"/>
      <c r="M647" s="175"/>
      <c r="N647" s="175"/>
    </row>
    <row r="648" spans="11:14" x14ac:dyDescent="0.25">
      <c r="K648" s="175"/>
      <c r="M648" s="175"/>
      <c r="N648" s="175"/>
    </row>
    <row r="649" spans="11:14" x14ac:dyDescent="0.25">
      <c r="K649" s="175"/>
      <c r="M649" s="175"/>
      <c r="N649" s="175"/>
    </row>
    <row r="650" spans="11:14" x14ac:dyDescent="0.25">
      <c r="K650" s="175"/>
      <c r="M650" s="175"/>
      <c r="N650" s="175"/>
    </row>
    <row r="651" spans="11:14" x14ac:dyDescent="0.25">
      <c r="K651" s="175"/>
      <c r="M651" s="175"/>
      <c r="N651" s="175"/>
    </row>
    <row r="652" spans="11:14" x14ac:dyDescent="0.25">
      <c r="K652" s="175"/>
      <c r="M652" s="175"/>
      <c r="N652" s="175"/>
    </row>
    <row r="653" spans="11:14" x14ac:dyDescent="0.25">
      <c r="K653" s="175"/>
      <c r="M653" s="175"/>
      <c r="N653" s="175"/>
    </row>
    <row r="654" spans="11:14" x14ac:dyDescent="0.25">
      <c r="K654" s="175"/>
      <c r="M654" s="175"/>
      <c r="N654" s="175"/>
    </row>
    <row r="655" spans="11:14" x14ac:dyDescent="0.25">
      <c r="K655" s="175"/>
      <c r="M655" s="175"/>
      <c r="N655" s="175"/>
    </row>
    <row r="656" spans="11:14" x14ac:dyDescent="0.25">
      <c r="K656" s="175"/>
      <c r="M656" s="175"/>
      <c r="N656" s="175"/>
    </row>
    <row r="657" spans="11:14" x14ac:dyDescent="0.25">
      <c r="K657" s="175"/>
      <c r="M657" s="175"/>
      <c r="N657" s="175"/>
    </row>
    <row r="658" spans="11:14" x14ac:dyDescent="0.25">
      <c r="K658" s="175"/>
      <c r="M658" s="175"/>
      <c r="N658" s="175"/>
    </row>
    <row r="659" spans="11:14" x14ac:dyDescent="0.25">
      <c r="K659" s="175"/>
      <c r="M659" s="175"/>
      <c r="N659" s="175"/>
    </row>
    <row r="660" spans="11:14" x14ac:dyDescent="0.25">
      <c r="K660" s="175"/>
      <c r="M660" s="175"/>
      <c r="N660" s="175"/>
    </row>
    <row r="661" spans="11:14" x14ac:dyDescent="0.25">
      <c r="K661" s="175"/>
      <c r="M661" s="175"/>
      <c r="N661" s="175"/>
    </row>
    <row r="662" spans="11:14" x14ac:dyDescent="0.25">
      <c r="K662" s="175"/>
      <c r="M662" s="175"/>
      <c r="N662" s="175"/>
    </row>
    <row r="663" spans="11:14" x14ac:dyDescent="0.25">
      <c r="K663" s="175"/>
      <c r="M663" s="175"/>
      <c r="N663" s="175"/>
    </row>
    <row r="664" spans="11:14" x14ac:dyDescent="0.25">
      <c r="K664" s="175"/>
      <c r="M664" s="175"/>
      <c r="N664" s="175"/>
    </row>
    <row r="665" spans="11:14" x14ac:dyDescent="0.25">
      <c r="K665" s="175"/>
      <c r="M665" s="175"/>
      <c r="N665" s="175"/>
    </row>
    <row r="666" spans="11:14" x14ac:dyDescent="0.25">
      <c r="K666" s="175"/>
      <c r="M666" s="175"/>
      <c r="N666" s="175"/>
    </row>
    <row r="667" spans="11:14" x14ac:dyDescent="0.25">
      <c r="K667" s="175"/>
      <c r="M667" s="175"/>
      <c r="N667" s="175"/>
    </row>
    <row r="668" spans="11:14" x14ac:dyDescent="0.25">
      <c r="K668" s="175"/>
      <c r="M668" s="175"/>
      <c r="N668" s="175"/>
    </row>
    <row r="669" spans="11:14" x14ac:dyDescent="0.25">
      <c r="K669" s="175"/>
      <c r="M669" s="175"/>
      <c r="N669" s="175"/>
    </row>
    <row r="670" spans="11:14" x14ac:dyDescent="0.25">
      <c r="K670" s="175"/>
      <c r="M670" s="175"/>
      <c r="N670" s="175"/>
    </row>
    <row r="671" spans="11:14" x14ac:dyDescent="0.25">
      <c r="K671" s="175"/>
      <c r="M671" s="175"/>
      <c r="N671" s="175"/>
    </row>
    <row r="672" spans="11:14" x14ac:dyDescent="0.25">
      <c r="K672" s="175"/>
      <c r="M672" s="175"/>
      <c r="N672" s="175"/>
    </row>
    <row r="673" spans="11:14" x14ac:dyDescent="0.25">
      <c r="K673" s="175"/>
      <c r="M673" s="175"/>
      <c r="N673" s="175"/>
    </row>
    <row r="674" spans="11:14" x14ac:dyDescent="0.25">
      <c r="K674" s="175"/>
      <c r="M674" s="175"/>
      <c r="N674" s="175"/>
    </row>
    <row r="675" spans="11:14" x14ac:dyDescent="0.25">
      <c r="K675" s="175"/>
      <c r="M675" s="175"/>
      <c r="N675" s="175"/>
    </row>
    <row r="676" spans="11:14" x14ac:dyDescent="0.25">
      <c r="K676" s="175"/>
      <c r="M676" s="175"/>
      <c r="N676" s="175"/>
    </row>
    <row r="677" spans="11:14" x14ac:dyDescent="0.25">
      <c r="K677" s="175"/>
      <c r="M677" s="175"/>
      <c r="N677" s="175"/>
    </row>
    <row r="678" spans="11:14" x14ac:dyDescent="0.25">
      <c r="K678" s="175"/>
      <c r="M678" s="175"/>
      <c r="N678" s="175"/>
    </row>
    <row r="679" spans="11:14" x14ac:dyDescent="0.25">
      <c r="K679" s="175"/>
      <c r="M679" s="175"/>
      <c r="N679" s="175"/>
    </row>
    <row r="680" spans="11:14" x14ac:dyDescent="0.25">
      <c r="K680" s="175"/>
      <c r="M680" s="175"/>
      <c r="N680" s="175"/>
    </row>
    <row r="681" spans="11:14" x14ac:dyDescent="0.25">
      <c r="K681" s="175"/>
      <c r="M681" s="175"/>
      <c r="N681" s="175"/>
    </row>
    <row r="682" spans="11:14" x14ac:dyDescent="0.25">
      <c r="K682" s="175"/>
      <c r="M682" s="175"/>
      <c r="N682" s="175"/>
    </row>
    <row r="683" spans="11:14" x14ac:dyDescent="0.25">
      <c r="K683" s="175"/>
      <c r="M683" s="175"/>
      <c r="N683" s="175"/>
    </row>
    <row r="684" spans="11:14" x14ac:dyDescent="0.25">
      <c r="K684" s="175"/>
      <c r="M684" s="175"/>
      <c r="N684" s="175"/>
    </row>
    <row r="685" spans="11:14" x14ac:dyDescent="0.25">
      <c r="K685" s="175"/>
      <c r="M685" s="175"/>
      <c r="N685" s="175"/>
    </row>
    <row r="686" spans="11:14" x14ac:dyDescent="0.25">
      <c r="K686" s="175"/>
      <c r="M686" s="175"/>
      <c r="N686" s="175"/>
    </row>
    <row r="687" spans="11:14" x14ac:dyDescent="0.25">
      <c r="K687" s="175"/>
      <c r="M687" s="175"/>
      <c r="N687" s="175"/>
    </row>
    <row r="688" spans="11:14" x14ac:dyDescent="0.25">
      <c r="K688" s="175"/>
      <c r="M688" s="175"/>
      <c r="N688" s="175"/>
    </row>
    <row r="689" spans="11:14" x14ac:dyDescent="0.25">
      <c r="K689" s="175"/>
      <c r="M689" s="175"/>
      <c r="N689" s="175"/>
    </row>
    <row r="690" spans="11:14" x14ac:dyDescent="0.25">
      <c r="K690" s="175"/>
      <c r="M690" s="175"/>
      <c r="N690" s="175"/>
    </row>
    <row r="691" spans="11:14" x14ac:dyDescent="0.25">
      <c r="K691" s="175"/>
      <c r="M691" s="175"/>
      <c r="N691" s="175"/>
    </row>
    <row r="692" spans="11:14" x14ac:dyDescent="0.25">
      <c r="K692" s="175"/>
      <c r="M692" s="175"/>
      <c r="N692" s="175"/>
    </row>
    <row r="693" spans="11:14" x14ac:dyDescent="0.25">
      <c r="K693" s="175"/>
      <c r="M693" s="175"/>
      <c r="N693" s="175"/>
    </row>
    <row r="694" spans="11:14" x14ac:dyDescent="0.25">
      <c r="K694" s="175"/>
      <c r="M694" s="175"/>
      <c r="N694" s="175"/>
    </row>
    <row r="695" spans="11:14" x14ac:dyDescent="0.25">
      <c r="K695" s="175"/>
      <c r="M695" s="175"/>
      <c r="N695" s="175"/>
    </row>
    <row r="696" spans="11:14" x14ac:dyDescent="0.25">
      <c r="K696" s="175"/>
      <c r="M696" s="175"/>
      <c r="N696" s="175"/>
    </row>
    <row r="697" spans="11:14" x14ac:dyDescent="0.25">
      <c r="K697" s="175"/>
      <c r="M697" s="175"/>
      <c r="N697" s="175"/>
    </row>
    <row r="698" spans="11:14" x14ac:dyDescent="0.25">
      <c r="K698" s="175"/>
      <c r="M698" s="175"/>
      <c r="N698" s="175"/>
    </row>
    <row r="699" spans="11:14" x14ac:dyDescent="0.25">
      <c r="K699" s="175"/>
      <c r="M699" s="175"/>
      <c r="N699" s="175"/>
    </row>
    <row r="700" spans="11:14" x14ac:dyDescent="0.25">
      <c r="K700" s="175"/>
      <c r="M700" s="175"/>
      <c r="N700" s="175"/>
    </row>
    <row r="701" spans="11:14" x14ac:dyDescent="0.25">
      <c r="K701" s="175"/>
      <c r="M701" s="175"/>
      <c r="N701" s="175"/>
    </row>
    <row r="702" spans="11:14" x14ac:dyDescent="0.25">
      <c r="K702" s="175"/>
      <c r="M702" s="175"/>
      <c r="N702" s="175"/>
    </row>
    <row r="703" spans="11:14" x14ac:dyDescent="0.25">
      <c r="K703" s="175"/>
      <c r="M703" s="175"/>
      <c r="N703" s="175"/>
    </row>
    <row r="704" spans="11:14" x14ac:dyDescent="0.25">
      <c r="K704" s="175"/>
      <c r="M704" s="175"/>
      <c r="N704" s="175"/>
    </row>
    <row r="705" spans="11:14" x14ac:dyDescent="0.25">
      <c r="K705" s="175"/>
      <c r="M705" s="175"/>
      <c r="N705" s="175"/>
    </row>
    <row r="706" spans="11:14" x14ac:dyDescent="0.25">
      <c r="K706" s="175"/>
      <c r="M706" s="175"/>
      <c r="N706" s="175"/>
    </row>
    <row r="707" spans="11:14" x14ac:dyDescent="0.25">
      <c r="K707" s="175"/>
      <c r="M707" s="175"/>
      <c r="N707" s="175"/>
    </row>
    <row r="708" spans="11:14" x14ac:dyDescent="0.25">
      <c r="K708" s="175"/>
      <c r="M708" s="175"/>
      <c r="N708" s="175"/>
    </row>
    <row r="709" spans="11:14" x14ac:dyDescent="0.25">
      <c r="K709" s="175"/>
      <c r="M709" s="175"/>
      <c r="N709" s="175"/>
    </row>
    <row r="710" spans="11:14" x14ac:dyDescent="0.25">
      <c r="K710" s="175"/>
      <c r="M710" s="175"/>
      <c r="N710" s="175"/>
    </row>
    <row r="711" spans="11:14" x14ac:dyDescent="0.25">
      <c r="K711" s="175"/>
      <c r="M711" s="175"/>
      <c r="N711" s="175"/>
    </row>
    <row r="712" spans="11:14" x14ac:dyDescent="0.25">
      <c r="K712" s="175"/>
      <c r="M712" s="175"/>
      <c r="N712" s="175"/>
    </row>
    <row r="713" spans="11:14" x14ac:dyDescent="0.25">
      <c r="K713" s="175"/>
      <c r="M713" s="175"/>
      <c r="N713" s="175"/>
    </row>
    <row r="714" spans="11:14" x14ac:dyDescent="0.25">
      <c r="K714" s="175"/>
      <c r="M714" s="175"/>
      <c r="N714" s="175"/>
    </row>
    <row r="715" spans="11:14" x14ac:dyDescent="0.25">
      <c r="K715" s="175"/>
      <c r="M715" s="175"/>
      <c r="N715" s="175"/>
    </row>
    <row r="716" spans="11:14" x14ac:dyDescent="0.25">
      <c r="K716" s="175"/>
      <c r="M716" s="175"/>
      <c r="N716" s="175"/>
    </row>
    <row r="717" spans="11:14" x14ac:dyDescent="0.25">
      <c r="K717" s="175"/>
      <c r="M717" s="175"/>
      <c r="N717" s="175"/>
    </row>
    <row r="718" spans="11:14" x14ac:dyDescent="0.25">
      <c r="K718" s="175"/>
      <c r="M718" s="175"/>
      <c r="N718" s="175"/>
    </row>
    <row r="719" spans="11:14" x14ac:dyDescent="0.25">
      <c r="K719" s="175"/>
      <c r="M719" s="175"/>
      <c r="N719" s="175"/>
    </row>
    <row r="720" spans="11:14" x14ac:dyDescent="0.25">
      <c r="K720" s="175"/>
      <c r="M720" s="175"/>
      <c r="N720" s="175"/>
    </row>
    <row r="721" spans="11:14" x14ac:dyDescent="0.25">
      <c r="K721" s="175"/>
      <c r="M721" s="175"/>
      <c r="N721" s="175"/>
    </row>
    <row r="722" spans="11:14" x14ac:dyDescent="0.25">
      <c r="K722" s="175"/>
      <c r="M722" s="175"/>
      <c r="N722" s="175"/>
    </row>
    <row r="723" spans="11:14" x14ac:dyDescent="0.25">
      <c r="K723" s="175"/>
      <c r="M723" s="175"/>
      <c r="N723" s="175"/>
    </row>
    <row r="724" spans="11:14" x14ac:dyDescent="0.25">
      <c r="K724" s="175"/>
      <c r="M724" s="175"/>
      <c r="N724" s="175"/>
    </row>
    <row r="725" spans="11:14" x14ac:dyDescent="0.25">
      <c r="K725" s="175"/>
      <c r="M725" s="175"/>
      <c r="N725" s="175"/>
    </row>
    <row r="726" spans="11:14" x14ac:dyDescent="0.25">
      <c r="K726" s="175"/>
      <c r="M726" s="175"/>
      <c r="N726" s="175"/>
    </row>
    <row r="727" spans="11:14" x14ac:dyDescent="0.25">
      <c r="K727" s="175"/>
      <c r="M727" s="175"/>
      <c r="N727" s="175"/>
    </row>
    <row r="728" spans="11:14" x14ac:dyDescent="0.25">
      <c r="K728" s="175"/>
      <c r="M728" s="175"/>
      <c r="N728" s="175"/>
    </row>
    <row r="729" spans="11:14" x14ac:dyDescent="0.25">
      <c r="K729" s="175"/>
      <c r="M729" s="175"/>
      <c r="N729" s="175"/>
    </row>
    <row r="730" spans="11:14" x14ac:dyDescent="0.25">
      <c r="K730" s="175"/>
      <c r="M730" s="175"/>
      <c r="N730" s="175"/>
    </row>
    <row r="731" spans="11:14" x14ac:dyDescent="0.25">
      <c r="K731" s="175"/>
      <c r="M731" s="175"/>
      <c r="N731" s="175"/>
    </row>
    <row r="732" spans="11:14" x14ac:dyDescent="0.25">
      <c r="K732" s="175"/>
      <c r="M732" s="175"/>
      <c r="N732" s="175"/>
    </row>
    <row r="733" spans="11:14" x14ac:dyDescent="0.25">
      <c r="K733" s="175"/>
      <c r="M733" s="175"/>
      <c r="N733" s="175"/>
    </row>
    <row r="734" spans="11:14" x14ac:dyDescent="0.25">
      <c r="K734" s="175"/>
      <c r="M734" s="175"/>
      <c r="N734" s="175"/>
    </row>
    <row r="735" spans="11:14" x14ac:dyDescent="0.25">
      <c r="K735" s="175"/>
      <c r="M735" s="175"/>
      <c r="N735" s="175"/>
    </row>
    <row r="736" spans="11:14" x14ac:dyDescent="0.25">
      <c r="K736" s="175"/>
      <c r="M736" s="175"/>
      <c r="N736" s="175"/>
    </row>
    <row r="737" spans="11:14" x14ac:dyDescent="0.25">
      <c r="K737" s="175"/>
      <c r="M737" s="175"/>
      <c r="N737" s="175"/>
    </row>
    <row r="738" spans="11:14" x14ac:dyDescent="0.25">
      <c r="K738" s="175"/>
      <c r="M738" s="175"/>
      <c r="N738" s="175"/>
    </row>
    <row r="739" spans="11:14" x14ac:dyDescent="0.25">
      <c r="K739" s="175"/>
      <c r="M739" s="175"/>
      <c r="N739" s="175"/>
    </row>
    <row r="740" spans="11:14" x14ac:dyDescent="0.25">
      <c r="K740" s="175"/>
      <c r="M740" s="175"/>
      <c r="N740" s="175"/>
    </row>
    <row r="741" spans="11:14" x14ac:dyDescent="0.25">
      <c r="K741" s="175"/>
      <c r="M741" s="175"/>
      <c r="N741" s="175"/>
    </row>
    <row r="742" spans="11:14" x14ac:dyDescent="0.25">
      <c r="K742" s="175"/>
      <c r="M742" s="175"/>
      <c r="N742" s="175"/>
    </row>
    <row r="743" spans="11:14" x14ac:dyDescent="0.25">
      <c r="K743" s="175"/>
      <c r="M743" s="175"/>
      <c r="N743" s="175"/>
    </row>
    <row r="744" spans="11:14" x14ac:dyDescent="0.25">
      <c r="K744" s="175"/>
      <c r="M744" s="175"/>
      <c r="N744" s="175"/>
    </row>
    <row r="745" spans="11:14" x14ac:dyDescent="0.25">
      <c r="K745" s="175"/>
      <c r="M745" s="175"/>
      <c r="N745" s="175"/>
    </row>
    <row r="746" spans="11:14" x14ac:dyDescent="0.25">
      <c r="K746" s="175"/>
      <c r="M746" s="175"/>
      <c r="N746" s="175"/>
    </row>
    <row r="747" spans="11:14" x14ac:dyDescent="0.25">
      <c r="K747" s="175"/>
      <c r="M747" s="175"/>
      <c r="N747" s="175"/>
    </row>
    <row r="748" spans="11:14" x14ac:dyDescent="0.25">
      <c r="K748" s="175"/>
      <c r="M748" s="175"/>
      <c r="N748" s="175"/>
    </row>
    <row r="749" spans="11:14" x14ac:dyDescent="0.25">
      <c r="K749" s="175"/>
      <c r="M749" s="175"/>
      <c r="N749" s="175"/>
    </row>
    <row r="750" spans="11:14" x14ac:dyDescent="0.25">
      <c r="K750" s="175"/>
      <c r="M750" s="175"/>
      <c r="N750" s="175"/>
    </row>
    <row r="751" spans="11:14" x14ac:dyDescent="0.25">
      <c r="K751" s="175"/>
      <c r="M751" s="175"/>
      <c r="N751" s="175"/>
    </row>
    <row r="752" spans="11:14" x14ac:dyDescent="0.25">
      <c r="K752" s="175"/>
      <c r="M752" s="175"/>
      <c r="N752" s="175"/>
    </row>
    <row r="753" spans="11:14" x14ac:dyDescent="0.25">
      <c r="K753" s="175"/>
      <c r="M753" s="175"/>
      <c r="N753" s="175"/>
    </row>
    <row r="754" spans="11:14" x14ac:dyDescent="0.25">
      <c r="K754" s="175"/>
      <c r="M754" s="175"/>
      <c r="N754" s="175"/>
    </row>
    <row r="755" spans="11:14" x14ac:dyDescent="0.25">
      <c r="K755" s="175"/>
      <c r="M755" s="175"/>
      <c r="N755" s="175"/>
    </row>
    <row r="756" spans="11:14" x14ac:dyDescent="0.25">
      <c r="K756" s="175"/>
      <c r="M756" s="175"/>
      <c r="N756" s="175"/>
    </row>
    <row r="757" spans="11:14" x14ac:dyDescent="0.25">
      <c r="K757" s="175"/>
      <c r="M757" s="175"/>
      <c r="N757" s="175"/>
    </row>
    <row r="758" spans="11:14" x14ac:dyDescent="0.25">
      <c r="K758" s="175"/>
      <c r="M758" s="175"/>
      <c r="N758" s="175"/>
    </row>
    <row r="759" spans="11:14" x14ac:dyDescent="0.25">
      <c r="K759" s="175"/>
      <c r="M759" s="175"/>
      <c r="N759" s="175"/>
    </row>
    <row r="760" spans="11:14" x14ac:dyDescent="0.25">
      <c r="K760" s="175"/>
      <c r="M760" s="175"/>
      <c r="N760" s="175"/>
    </row>
    <row r="761" spans="11:14" x14ac:dyDescent="0.25">
      <c r="K761" s="175"/>
      <c r="M761" s="175"/>
      <c r="N761" s="175"/>
    </row>
    <row r="762" spans="11:14" x14ac:dyDescent="0.25">
      <c r="K762" s="175"/>
      <c r="M762" s="175"/>
      <c r="N762" s="175"/>
    </row>
    <row r="763" spans="11:14" x14ac:dyDescent="0.25">
      <c r="K763" s="175"/>
      <c r="M763" s="175"/>
      <c r="N763" s="175"/>
    </row>
    <row r="764" spans="11:14" x14ac:dyDescent="0.25">
      <c r="K764" s="175"/>
      <c r="M764" s="175"/>
      <c r="N764" s="175"/>
    </row>
    <row r="765" spans="11:14" x14ac:dyDescent="0.25">
      <c r="K765" s="175"/>
      <c r="M765" s="175"/>
      <c r="N765" s="175"/>
    </row>
    <row r="766" spans="11:14" x14ac:dyDescent="0.25">
      <c r="K766" s="175"/>
      <c r="M766" s="175"/>
      <c r="N766" s="175"/>
    </row>
    <row r="767" spans="11:14" x14ac:dyDescent="0.25">
      <c r="K767" s="175"/>
      <c r="M767" s="175"/>
      <c r="N767" s="175"/>
    </row>
    <row r="768" spans="11:14" x14ac:dyDescent="0.25">
      <c r="K768" s="175"/>
      <c r="M768" s="175"/>
      <c r="N768" s="175"/>
    </row>
    <row r="769" spans="11:14" x14ac:dyDescent="0.25">
      <c r="K769" s="175"/>
      <c r="M769" s="175"/>
      <c r="N769" s="175"/>
    </row>
    <row r="770" spans="11:14" x14ac:dyDescent="0.25">
      <c r="K770" s="175"/>
      <c r="M770" s="175"/>
      <c r="N770" s="175"/>
    </row>
    <row r="771" spans="11:14" x14ac:dyDescent="0.25">
      <c r="K771" s="175"/>
      <c r="M771" s="175"/>
      <c r="N771" s="175"/>
    </row>
    <row r="772" spans="11:14" x14ac:dyDescent="0.25">
      <c r="K772" s="175"/>
      <c r="M772" s="175"/>
      <c r="N772" s="175"/>
    </row>
    <row r="773" spans="11:14" x14ac:dyDescent="0.25">
      <c r="K773" s="175"/>
      <c r="M773" s="175"/>
      <c r="N773" s="175"/>
    </row>
    <row r="774" spans="11:14" x14ac:dyDescent="0.25">
      <c r="K774" s="175"/>
      <c r="M774" s="175"/>
      <c r="N774" s="175"/>
    </row>
    <row r="775" spans="11:14" x14ac:dyDescent="0.25">
      <c r="K775" s="175"/>
      <c r="M775" s="175"/>
      <c r="N775" s="175"/>
    </row>
    <row r="776" spans="11:14" x14ac:dyDescent="0.25">
      <c r="K776" s="175"/>
      <c r="M776" s="175"/>
      <c r="N776" s="175"/>
    </row>
    <row r="777" spans="11:14" x14ac:dyDescent="0.25">
      <c r="K777" s="175"/>
      <c r="M777" s="175"/>
      <c r="N777" s="175"/>
    </row>
    <row r="778" spans="11:14" x14ac:dyDescent="0.25">
      <c r="K778" s="175"/>
      <c r="M778" s="175"/>
      <c r="N778" s="175"/>
    </row>
    <row r="779" spans="11:14" x14ac:dyDescent="0.25">
      <c r="K779" s="175"/>
      <c r="M779" s="175"/>
      <c r="N779" s="175"/>
    </row>
    <row r="780" spans="11:14" x14ac:dyDescent="0.25">
      <c r="K780" s="175"/>
      <c r="M780" s="175"/>
      <c r="N780" s="175"/>
    </row>
    <row r="781" spans="11:14" x14ac:dyDescent="0.25">
      <c r="K781" s="175"/>
      <c r="M781" s="175"/>
      <c r="N781" s="175"/>
    </row>
    <row r="782" spans="11:14" x14ac:dyDescent="0.25">
      <c r="K782" s="175"/>
      <c r="M782" s="175"/>
      <c r="N782" s="175"/>
    </row>
    <row r="783" spans="11:14" x14ac:dyDescent="0.25">
      <c r="K783" s="175"/>
      <c r="M783" s="175"/>
      <c r="N783" s="175"/>
    </row>
    <row r="784" spans="11:14" x14ac:dyDescent="0.25">
      <c r="K784" s="175"/>
      <c r="M784" s="175"/>
      <c r="N784" s="175"/>
    </row>
    <row r="785" spans="11:14" x14ac:dyDescent="0.25">
      <c r="K785" s="175"/>
      <c r="M785" s="175"/>
      <c r="N785" s="175"/>
    </row>
    <row r="786" spans="11:14" x14ac:dyDescent="0.25">
      <c r="K786" s="175"/>
      <c r="M786" s="175"/>
      <c r="N786" s="175"/>
    </row>
    <row r="787" spans="11:14" x14ac:dyDescent="0.25">
      <c r="K787" s="175"/>
      <c r="M787" s="175"/>
      <c r="N787" s="175"/>
    </row>
    <row r="788" spans="11:14" x14ac:dyDescent="0.25">
      <c r="K788" s="175"/>
      <c r="M788" s="175"/>
      <c r="N788" s="175"/>
    </row>
    <row r="789" spans="11:14" x14ac:dyDescent="0.25">
      <c r="K789" s="175"/>
      <c r="M789" s="175"/>
      <c r="N789" s="175"/>
    </row>
    <row r="790" spans="11:14" x14ac:dyDescent="0.25">
      <c r="K790" s="175"/>
      <c r="M790" s="175"/>
      <c r="N790" s="175"/>
    </row>
    <row r="791" spans="11:14" x14ac:dyDescent="0.25">
      <c r="K791" s="175"/>
      <c r="M791" s="175"/>
      <c r="N791" s="175"/>
    </row>
    <row r="792" spans="11:14" x14ac:dyDescent="0.25">
      <c r="K792" s="175"/>
      <c r="M792" s="175"/>
      <c r="N792" s="175"/>
    </row>
    <row r="793" spans="11:14" x14ac:dyDescent="0.25">
      <c r="K793" s="175"/>
      <c r="M793" s="175"/>
      <c r="N793" s="175"/>
    </row>
    <row r="794" spans="11:14" x14ac:dyDescent="0.25">
      <c r="K794" s="175"/>
      <c r="M794" s="175"/>
      <c r="N794" s="175"/>
    </row>
    <row r="795" spans="11:14" x14ac:dyDescent="0.25">
      <c r="K795" s="175"/>
      <c r="M795" s="175"/>
      <c r="N795" s="175"/>
    </row>
    <row r="796" spans="11:14" x14ac:dyDescent="0.25">
      <c r="K796" s="175"/>
      <c r="M796" s="175"/>
      <c r="N796" s="175"/>
    </row>
    <row r="797" spans="11:14" x14ac:dyDescent="0.25">
      <c r="K797" s="175"/>
      <c r="M797" s="175"/>
      <c r="N797" s="175"/>
    </row>
    <row r="798" spans="11:14" x14ac:dyDescent="0.25">
      <c r="K798" s="175"/>
      <c r="M798" s="175"/>
      <c r="N798" s="175"/>
    </row>
    <row r="799" spans="11:14" x14ac:dyDescent="0.25">
      <c r="K799" s="175"/>
      <c r="M799" s="175"/>
      <c r="N799" s="175"/>
    </row>
    <row r="800" spans="11:14" x14ac:dyDescent="0.25">
      <c r="K800" s="175"/>
      <c r="M800" s="175"/>
      <c r="N800" s="175"/>
    </row>
    <row r="801" spans="11:14" x14ac:dyDescent="0.25">
      <c r="K801" s="175"/>
      <c r="M801" s="175"/>
      <c r="N801" s="175"/>
    </row>
    <row r="802" spans="11:14" x14ac:dyDescent="0.25">
      <c r="K802" s="175"/>
      <c r="M802" s="175"/>
      <c r="N802" s="175"/>
    </row>
    <row r="803" spans="11:14" x14ac:dyDescent="0.25">
      <c r="K803" s="175"/>
      <c r="M803" s="175"/>
      <c r="N803" s="175"/>
    </row>
    <row r="804" spans="11:14" x14ac:dyDescent="0.25">
      <c r="K804" s="175"/>
      <c r="M804" s="175"/>
      <c r="N804" s="175"/>
    </row>
    <row r="805" spans="11:14" x14ac:dyDescent="0.25">
      <c r="K805" s="175"/>
      <c r="M805" s="175"/>
      <c r="N805" s="175"/>
    </row>
    <row r="806" spans="11:14" x14ac:dyDescent="0.25">
      <c r="K806" s="175"/>
      <c r="M806" s="175"/>
      <c r="N806" s="175"/>
    </row>
    <row r="807" spans="11:14" x14ac:dyDescent="0.25">
      <c r="K807" s="175"/>
      <c r="M807" s="175"/>
      <c r="N807" s="175"/>
    </row>
    <row r="808" spans="11:14" x14ac:dyDescent="0.25">
      <c r="K808" s="175"/>
      <c r="M808" s="175"/>
      <c r="N808" s="175"/>
    </row>
    <row r="809" spans="11:14" x14ac:dyDescent="0.25">
      <c r="K809" s="175"/>
      <c r="M809" s="175"/>
      <c r="N809" s="175"/>
    </row>
    <row r="810" spans="11:14" x14ac:dyDescent="0.25">
      <c r="K810" s="175"/>
      <c r="M810" s="175"/>
      <c r="N810" s="175"/>
    </row>
    <row r="811" spans="11:14" x14ac:dyDescent="0.25">
      <c r="K811" s="175"/>
      <c r="M811" s="175"/>
      <c r="N811" s="175"/>
    </row>
    <row r="812" spans="11:14" x14ac:dyDescent="0.25">
      <c r="K812" s="175"/>
      <c r="M812" s="175"/>
      <c r="N812" s="175"/>
    </row>
    <row r="813" spans="11:14" x14ac:dyDescent="0.25">
      <c r="K813" s="175"/>
      <c r="M813" s="175"/>
      <c r="N813" s="175"/>
    </row>
    <row r="814" spans="11:14" x14ac:dyDescent="0.25">
      <c r="K814" s="175"/>
      <c r="M814" s="175"/>
      <c r="N814" s="175"/>
    </row>
    <row r="815" spans="11:14" x14ac:dyDescent="0.25">
      <c r="K815" s="175"/>
      <c r="M815" s="175"/>
      <c r="N815" s="175"/>
    </row>
    <row r="816" spans="11:14" x14ac:dyDescent="0.25">
      <c r="K816" s="175"/>
      <c r="M816" s="175"/>
      <c r="N816" s="175"/>
    </row>
    <row r="817" spans="11:14" x14ac:dyDescent="0.25">
      <c r="K817" s="175"/>
      <c r="M817" s="175"/>
      <c r="N817" s="175"/>
    </row>
    <row r="818" spans="11:14" x14ac:dyDescent="0.25">
      <c r="K818" s="175"/>
      <c r="M818" s="175"/>
      <c r="N818" s="175"/>
    </row>
    <row r="819" spans="11:14" x14ac:dyDescent="0.25">
      <c r="K819" s="175"/>
      <c r="M819" s="175"/>
      <c r="N819" s="175"/>
    </row>
    <row r="820" spans="11:14" x14ac:dyDescent="0.25">
      <c r="K820" s="175"/>
      <c r="M820" s="175"/>
      <c r="N820" s="175"/>
    </row>
    <row r="821" spans="11:14" x14ac:dyDescent="0.25">
      <c r="K821" s="175"/>
      <c r="M821" s="175"/>
      <c r="N821" s="175"/>
    </row>
    <row r="822" spans="11:14" x14ac:dyDescent="0.25">
      <c r="K822" s="175"/>
      <c r="M822" s="175"/>
      <c r="N822" s="175"/>
    </row>
    <row r="823" spans="11:14" x14ac:dyDescent="0.25">
      <c r="K823" s="175"/>
      <c r="M823" s="175"/>
      <c r="N823" s="175"/>
    </row>
    <row r="824" spans="11:14" x14ac:dyDescent="0.25">
      <c r="K824" s="175"/>
      <c r="M824" s="175"/>
      <c r="N824" s="175"/>
    </row>
    <row r="825" spans="11:14" x14ac:dyDescent="0.25">
      <c r="K825" s="175"/>
      <c r="M825" s="175"/>
      <c r="N825" s="175"/>
    </row>
    <row r="826" spans="11:14" x14ac:dyDescent="0.25">
      <c r="K826" s="175"/>
      <c r="M826" s="175"/>
      <c r="N826" s="175"/>
    </row>
    <row r="827" spans="11:14" x14ac:dyDescent="0.25">
      <c r="K827" s="175"/>
      <c r="M827" s="175"/>
      <c r="N827" s="175"/>
    </row>
    <row r="828" spans="11:14" x14ac:dyDescent="0.25">
      <c r="K828" s="175"/>
      <c r="M828" s="175"/>
      <c r="N828" s="175"/>
    </row>
    <row r="829" spans="11:14" x14ac:dyDescent="0.25">
      <c r="K829" s="175"/>
      <c r="M829" s="175"/>
      <c r="N829" s="175"/>
    </row>
    <row r="830" spans="11:14" x14ac:dyDescent="0.25">
      <c r="K830" s="175"/>
      <c r="M830" s="175"/>
      <c r="N830" s="175"/>
    </row>
    <row r="831" spans="11:14" x14ac:dyDescent="0.25">
      <c r="K831" s="175"/>
      <c r="M831" s="175"/>
      <c r="N831" s="175"/>
    </row>
    <row r="832" spans="11:14" x14ac:dyDescent="0.25">
      <c r="K832" s="175"/>
      <c r="M832" s="175"/>
      <c r="N832" s="175"/>
    </row>
    <row r="833" spans="11:14" x14ac:dyDescent="0.25">
      <c r="K833" s="175"/>
      <c r="M833" s="175"/>
      <c r="N833" s="175"/>
    </row>
    <row r="834" spans="11:14" x14ac:dyDescent="0.25">
      <c r="K834" s="175"/>
      <c r="M834" s="175"/>
      <c r="N834" s="175"/>
    </row>
    <row r="835" spans="11:14" x14ac:dyDescent="0.25">
      <c r="K835" s="175"/>
      <c r="M835" s="175"/>
      <c r="N835" s="175"/>
    </row>
    <row r="836" spans="11:14" x14ac:dyDescent="0.25">
      <c r="K836" s="175"/>
      <c r="M836" s="175"/>
      <c r="N836" s="175"/>
    </row>
    <row r="837" spans="11:14" x14ac:dyDescent="0.25">
      <c r="K837" s="175"/>
      <c r="M837" s="175"/>
      <c r="N837" s="175"/>
    </row>
    <row r="838" spans="11:14" x14ac:dyDescent="0.25">
      <c r="K838" s="175"/>
      <c r="M838" s="175"/>
      <c r="N838" s="175"/>
    </row>
    <row r="839" spans="11:14" x14ac:dyDescent="0.25">
      <c r="K839" s="175"/>
      <c r="M839" s="175"/>
      <c r="N839" s="175"/>
    </row>
    <row r="840" spans="11:14" x14ac:dyDescent="0.25">
      <c r="K840" s="175"/>
      <c r="M840" s="175"/>
      <c r="N840" s="175"/>
    </row>
    <row r="841" spans="11:14" x14ac:dyDescent="0.25">
      <c r="K841" s="175"/>
      <c r="M841" s="175"/>
      <c r="N841" s="175"/>
    </row>
    <row r="842" spans="11:14" x14ac:dyDescent="0.25">
      <c r="K842" s="175"/>
      <c r="M842" s="175"/>
      <c r="N842" s="175"/>
    </row>
    <row r="843" spans="11:14" x14ac:dyDescent="0.25">
      <c r="K843" s="175"/>
      <c r="M843" s="175"/>
      <c r="N843" s="175"/>
    </row>
    <row r="844" spans="11:14" x14ac:dyDescent="0.25">
      <c r="K844" s="175"/>
      <c r="M844" s="175"/>
      <c r="N844" s="175"/>
    </row>
    <row r="845" spans="11:14" x14ac:dyDescent="0.25">
      <c r="K845" s="175"/>
      <c r="M845" s="175"/>
      <c r="N845" s="175"/>
    </row>
    <row r="846" spans="11:14" x14ac:dyDescent="0.25">
      <c r="K846" s="175"/>
      <c r="M846" s="175"/>
      <c r="N846" s="175"/>
    </row>
    <row r="847" spans="11:14" x14ac:dyDescent="0.25">
      <c r="K847" s="175"/>
      <c r="M847" s="175"/>
      <c r="N847" s="175"/>
    </row>
    <row r="848" spans="11:14" x14ac:dyDescent="0.25">
      <c r="K848" s="175"/>
      <c r="M848" s="175"/>
      <c r="N848" s="175"/>
    </row>
    <row r="849" spans="11:14" x14ac:dyDescent="0.25">
      <c r="K849" s="175"/>
      <c r="M849" s="175"/>
      <c r="N849" s="175"/>
    </row>
    <row r="850" spans="11:14" x14ac:dyDescent="0.25">
      <c r="K850" s="175"/>
      <c r="M850" s="175"/>
      <c r="N850" s="175"/>
    </row>
    <row r="851" spans="11:14" x14ac:dyDescent="0.25">
      <c r="K851" s="175"/>
      <c r="M851" s="175"/>
      <c r="N851" s="175"/>
    </row>
    <row r="852" spans="11:14" x14ac:dyDescent="0.25">
      <c r="K852" s="175"/>
      <c r="M852" s="175"/>
      <c r="N852" s="175"/>
    </row>
    <row r="853" spans="11:14" x14ac:dyDescent="0.25">
      <c r="K853" s="175"/>
      <c r="M853" s="175"/>
      <c r="N853" s="175"/>
    </row>
    <row r="854" spans="11:14" x14ac:dyDescent="0.25">
      <c r="K854" s="175"/>
      <c r="M854" s="175"/>
      <c r="N854" s="175"/>
    </row>
    <row r="855" spans="11:14" x14ac:dyDescent="0.25">
      <c r="K855" s="175"/>
      <c r="M855" s="175"/>
      <c r="N855" s="175"/>
    </row>
    <row r="856" spans="11:14" x14ac:dyDescent="0.25">
      <c r="K856" s="175"/>
      <c r="M856" s="175"/>
      <c r="N856" s="175"/>
    </row>
    <row r="857" spans="11:14" x14ac:dyDescent="0.25">
      <c r="K857" s="175"/>
      <c r="M857" s="175"/>
      <c r="N857" s="175"/>
    </row>
    <row r="858" spans="11:14" x14ac:dyDescent="0.25">
      <c r="K858" s="175"/>
      <c r="M858" s="175"/>
      <c r="N858" s="175"/>
    </row>
    <row r="859" spans="11:14" x14ac:dyDescent="0.25">
      <c r="K859" s="175"/>
      <c r="M859" s="175"/>
      <c r="N859" s="175"/>
    </row>
    <row r="860" spans="11:14" x14ac:dyDescent="0.25">
      <c r="K860" s="175"/>
      <c r="M860" s="175"/>
      <c r="N860" s="175"/>
    </row>
    <row r="861" spans="11:14" x14ac:dyDescent="0.25">
      <c r="K861" s="175"/>
      <c r="M861" s="175"/>
      <c r="N861" s="175"/>
    </row>
    <row r="862" spans="11:14" x14ac:dyDescent="0.25">
      <c r="K862" s="175"/>
      <c r="M862" s="175"/>
      <c r="N862" s="175"/>
    </row>
    <row r="863" spans="11:14" x14ac:dyDescent="0.25">
      <c r="K863" s="175"/>
      <c r="M863" s="175"/>
      <c r="N863" s="175"/>
    </row>
    <row r="864" spans="11:14" x14ac:dyDescent="0.25">
      <c r="K864" s="175"/>
      <c r="M864" s="175"/>
      <c r="N864" s="175"/>
    </row>
    <row r="865" spans="11:14" x14ac:dyDescent="0.25">
      <c r="K865" s="175"/>
      <c r="M865" s="175"/>
      <c r="N865" s="175"/>
    </row>
    <row r="866" spans="11:14" x14ac:dyDescent="0.25">
      <c r="K866" s="175"/>
      <c r="M866" s="175"/>
      <c r="N866" s="175"/>
    </row>
    <row r="867" spans="11:14" x14ac:dyDescent="0.25">
      <c r="K867" s="175"/>
      <c r="M867" s="175"/>
      <c r="N867" s="175"/>
    </row>
    <row r="868" spans="11:14" x14ac:dyDescent="0.25">
      <c r="K868" s="175"/>
      <c r="M868" s="175"/>
      <c r="N868" s="175"/>
    </row>
    <row r="869" spans="11:14" x14ac:dyDescent="0.25">
      <c r="K869" s="175"/>
      <c r="M869" s="175"/>
      <c r="N869" s="175"/>
    </row>
    <row r="870" spans="11:14" x14ac:dyDescent="0.25">
      <c r="K870" s="175"/>
      <c r="M870" s="175"/>
      <c r="N870" s="175"/>
    </row>
    <row r="871" spans="11:14" x14ac:dyDescent="0.25">
      <c r="K871" s="175"/>
      <c r="M871" s="175"/>
      <c r="N871" s="175"/>
    </row>
    <row r="872" spans="11:14" x14ac:dyDescent="0.25">
      <c r="K872" s="175"/>
      <c r="M872" s="175"/>
      <c r="N872" s="175"/>
    </row>
    <row r="873" spans="11:14" x14ac:dyDescent="0.25">
      <c r="K873" s="175"/>
      <c r="M873" s="175"/>
      <c r="N873" s="175"/>
    </row>
    <row r="874" spans="11:14" x14ac:dyDescent="0.25">
      <c r="K874" s="175"/>
      <c r="M874" s="175"/>
      <c r="N874" s="175"/>
    </row>
    <row r="875" spans="11:14" x14ac:dyDescent="0.25">
      <c r="K875" s="175"/>
      <c r="M875" s="175"/>
      <c r="N875" s="175"/>
    </row>
    <row r="876" spans="11:14" x14ac:dyDescent="0.25">
      <c r="K876" s="175"/>
      <c r="M876" s="175"/>
      <c r="N876" s="175"/>
    </row>
    <row r="877" spans="11:14" x14ac:dyDescent="0.25">
      <c r="K877" s="175"/>
      <c r="M877" s="175"/>
      <c r="N877" s="175"/>
    </row>
    <row r="878" spans="11:14" x14ac:dyDescent="0.25">
      <c r="K878" s="175"/>
      <c r="M878" s="175"/>
      <c r="N878" s="175"/>
    </row>
    <row r="879" spans="11:14" x14ac:dyDescent="0.25">
      <c r="K879" s="175"/>
      <c r="M879" s="175"/>
      <c r="N879" s="175"/>
    </row>
    <row r="880" spans="11:14" x14ac:dyDescent="0.25">
      <c r="K880" s="175"/>
      <c r="M880" s="175"/>
      <c r="N880" s="175"/>
    </row>
    <row r="881" spans="11:14" x14ac:dyDescent="0.25">
      <c r="K881" s="175"/>
      <c r="M881" s="175"/>
      <c r="N881" s="175"/>
    </row>
    <row r="882" spans="11:14" x14ac:dyDescent="0.25">
      <c r="K882" s="175"/>
      <c r="M882" s="175"/>
      <c r="N882" s="175"/>
    </row>
    <row r="883" spans="11:14" x14ac:dyDescent="0.25">
      <c r="K883" s="175"/>
      <c r="M883" s="175"/>
      <c r="N883" s="175"/>
    </row>
    <row r="884" spans="11:14" x14ac:dyDescent="0.25">
      <c r="K884" s="175"/>
      <c r="M884" s="175"/>
      <c r="N884" s="175"/>
    </row>
    <row r="885" spans="11:14" x14ac:dyDescent="0.25">
      <c r="K885" s="175"/>
      <c r="M885" s="175"/>
      <c r="N885" s="175"/>
    </row>
    <row r="886" spans="11:14" x14ac:dyDescent="0.25">
      <c r="K886" s="175"/>
      <c r="M886" s="175"/>
      <c r="N886" s="175"/>
    </row>
    <row r="887" spans="11:14" x14ac:dyDescent="0.25">
      <c r="K887" s="175"/>
      <c r="M887" s="175"/>
      <c r="N887" s="175"/>
    </row>
    <row r="888" spans="11:14" x14ac:dyDescent="0.25">
      <c r="K888" s="175"/>
      <c r="M888" s="175"/>
      <c r="N888" s="175"/>
    </row>
    <row r="889" spans="11:14" x14ac:dyDescent="0.25">
      <c r="K889" s="175"/>
      <c r="M889" s="175"/>
      <c r="N889" s="175"/>
    </row>
    <row r="890" spans="11:14" x14ac:dyDescent="0.25">
      <c r="K890" s="175"/>
      <c r="M890" s="175"/>
      <c r="N890" s="175"/>
    </row>
    <row r="891" spans="11:14" x14ac:dyDescent="0.25">
      <c r="K891" s="175"/>
      <c r="M891" s="175"/>
      <c r="N891" s="175"/>
    </row>
    <row r="892" spans="11:14" x14ac:dyDescent="0.25">
      <c r="K892" s="175"/>
      <c r="M892" s="175"/>
      <c r="N892" s="175"/>
    </row>
    <row r="893" spans="11:14" x14ac:dyDescent="0.25">
      <c r="K893" s="175"/>
      <c r="M893" s="175"/>
      <c r="N893" s="175"/>
    </row>
    <row r="894" spans="11:14" x14ac:dyDescent="0.25">
      <c r="K894" s="175"/>
      <c r="M894" s="175"/>
      <c r="N894" s="175"/>
    </row>
    <row r="895" spans="11:14" x14ac:dyDescent="0.25">
      <c r="K895" s="175"/>
      <c r="M895" s="175"/>
      <c r="N895" s="175"/>
    </row>
    <row r="896" spans="11:14" x14ac:dyDescent="0.25">
      <c r="K896" s="175"/>
      <c r="M896" s="175"/>
      <c r="N896" s="175"/>
    </row>
    <row r="897" spans="11:14" x14ac:dyDescent="0.25">
      <c r="K897" s="175"/>
      <c r="M897" s="175"/>
      <c r="N897" s="175"/>
    </row>
    <row r="898" spans="11:14" x14ac:dyDescent="0.25">
      <c r="K898" s="175"/>
      <c r="M898" s="175"/>
      <c r="N898" s="175"/>
    </row>
    <row r="899" spans="11:14" x14ac:dyDescent="0.25">
      <c r="K899" s="175"/>
      <c r="M899" s="175"/>
      <c r="N899" s="175"/>
    </row>
    <row r="900" spans="11:14" x14ac:dyDescent="0.25">
      <c r="K900" s="175"/>
      <c r="M900" s="175"/>
      <c r="N900" s="175"/>
    </row>
    <row r="901" spans="11:14" x14ac:dyDescent="0.25">
      <c r="K901" s="175"/>
      <c r="M901" s="175"/>
      <c r="N901" s="175"/>
    </row>
    <row r="902" spans="11:14" x14ac:dyDescent="0.25">
      <c r="K902" s="175"/>
      <c r="M902" s="175"/>
      <c r="N902" s="175"/>
    </row>
    <row r="903" spans="11:14" x14ac:dyDescent="0.25">
      <c r="K903" s="175"/>
      <c r="M903" s="175"/>
      <c r="N903" s="175"/>
    </row>
    <row r="904" spans="11:14" x14ac:dyDescent="0.25">
      <c r="K904" s="175"/>
      <c r="M904" s="175"/>
      <c r="N904" s="175"/>
    </row>
    <row r="905" spans="11:14" x14ac:dyDescent="0.25">
      <c r="K905" s="175"/>
      <c r="M905" s="175"/>
      <c r="N905" s="175"/>
    </row>
    <row r="906" spans="11:14" x14ac:dyDescent="0.25">
      <c r="K906" s="175"/>
      <c r="M906" s="175"/>
      <c r="N906" s="175"/>
    </row>
    <row r="907" spans="11:14" x14ac:dyDescent="0.25">
      <c r="K907" s="175"/>
      <c r="M907" s="175"/>
      <c r="N907" s="175"/>
    </row>
    <row r="908" spans="11:14" x14ac:dyDescent="0.25">
      <c r="K908" s="175"/>
      <c r="M908" s="175"/>
      <c r="N908" s="175"/>
    </row>
    <row r="909" spans="11:14" x14ac:dyDescent="0.25">
      <c r="K909" s="175"/>
      <c r="M909" s="175"/>
      <c r="N909" s="175"/>
    </row>
    <row r="910" spans="11:14" x14ac:dyDescent="0.25">
      <c r="K910" s="175"/>
      <c r="M910" s="175"/>
      <c r="N910" s="175"/>
    </row>
    <row r="911" spans="11:14" x14ac:dyDescent="0.25">
      <c r="K911" s="175"/>
      <c r="M911" s="175"/>
      <c r="N911" s="175"/>
    </row>
    <row r="912" spans="11:14" x14ac:dyDescent="0.25">
      <c r="K912" s="175"/>
      <c r="M912" s="175"/>
      <c r="N912" s="175"/>
    </row>
    <row r="913" spans="11:14" x14ac:dyDescent="0.25">
      <c r="K913" s="175"/>
      <c r="M913" s="175"/>
      <c r="N913" s="175"/>
    </row>
    <row r="914" spans="11:14" x14ac:dyDescent="0.25">
      <c r="K914" s="175"/>
      <c r="M914" s="175"/>
      <c r="N914" s="175"/>
    </row>
    <row r="915" spans="11:14" x14ac:dyDescent="0.25">
      <c r="K915" s="175"/>
      <c r="M915" s="175"/>
      <c r="N915" s="175"/>
    </row>
    <row r="916" spans="11:14" x14ac:dyDescent="0.25">
      <c r="K916" s="175"/>
      <c r="M916" s="175"/>
      <c r="N916" s="175"/>
    </row>
    <row r="917" spans="11:14" x14ac:dyDescent="0.25">
      <c r="K917" s="175"/>
      <c r="M917" s="175"/>
      <c r="N917" s="175"/>
    </row>
    <row r="918" spans="11:14" x14ac:dyDescent="0.25">
      <c r="K918" s="175"/>
      <c r="M918" s="175"/>
      <c r="N918" s="175"/>
    </row>
    <row r="919" spans="11:14" x14ac:dyDescent="0.25">
      <c r="K919" s="175"/>
      <c r="M919" s="175"/>
      <c r="N919" s="175"/>
    </row>
    <row r="920" spans="11:14" x14ac:dyDescent="0.25">
      <c r="K920" s="175"/>
      <c r="M920" s="175"/>
      <c r="N920" s="175"/>
    </row>
    <row r="921" spans="11:14" x14ac:dyDescent="0.25">
      <c r="K921" s="175"/>
      <c r="M921" s="175"/>
      <c r="N921" s="175"/>
    </row>
    <row r="922" spans="11:14" x14ac:dyDescent="0.25">
      <c r="K922" s="175"/>
      <c r="M922" s="175"/>
      <c r="N922" s="175"/>
    </row>
    <row r="923" spans="11:14" x14ac:dyDescent="0.25">
      <c r="K923" s="175"/>
      <c r="M923" s="175"/>
      <c r="N923" s="175"/>
    </row>
    <row r="924" spans="11:14" x14ac:dyDescent="0.25">
      <c r="K924" s="175"/>
      <c r="M924" s="175"/>
      <c r="N924" s="175"/>
    </row>
    <row r="925" spans="11:14" x14ac:dyDescent="0.25">
      <c r="K925" s="175"/>
      <c r="M925" s="175"/>
      <c r="N925" s="175"/>
    </row>
    <row r="926" spans="11:14" x14ac:dyDescent="0.25">
      <c r="K926" s="175"/>
      <c r="M926" s="175"/>
      <c r="N926" s="175"/>
    </row>
    <row r="927" spans="11:14" x14ac:dyDescent="0.25">
      <c r="K927" s="175"/>
      <c r="M927" s="175"/>
      <c r="N927" s="175"/>
    </row>
    <row r="928" spans="11:14" x14ac:dyDescent="0.25">
      <c r="K928" s="175"/>
      <c r="M928" s="175"/>
      <c r="N928" s="175"/>
    </row>
    <row r="929" spans="11:14" x14ac:dyDescent="0.25">
      <c r="K929" s="175"/>
      <c r="M929" s="175"/>
      <c r="N929" s="175"/>
    </row>
    <row r="930" spans="11:14" x14ac:dyDescent="0.25">
      <c r="K930" s="175"/>
      <c r="M930" s="175"/>
      <c r="N930" s="175"/>
    </row>
    <row r="931" spans="11:14" x14ac:dyDescent="0.25">
      <c r="K931" s="175"/>
      <c r="M931" s="175"/>
      <c r="N931" s="175"/>
    </row>
    <row r="932" spans="11:14" x14ac:dyDescent="0.25">
      <c r="K932" s="175"/>
      <c r="M932" s="175"/>
      <c r="N932" s="175"/>
    </row>
    <row r="933" spans="11:14" x14ac:dyDescent="0.25">
      <c r="K933" s="175"/>
      <c r="M933" s="175"/>
      <c r="N933" s="175"/>
    </row>
    <row r="934" spans="11:14" x14ac:dyDescent="0.25">
      <c r="K934" s="175"/>
      <c r="M934" s="175"/>
      <c r="N934" s="175"/>
    </row>
    <row r="935" spans="11:14" x14ac:dyDescent="0.25">
      <c r="K935" s="175"/>
      <c r="M935" s="175"/>
      <c r="N935" s="175"/>
    </row>
    <row r="936" spans="11:14" x14ac:dyDescent="0.25">
      <c r="K936" s="175"/>
      <c r="M936" s="175"/>
      <c r="N936" s="175"/>
    </row>
    <row r="937" spans="11:14" x14ac:dyDescent="0.25">
      <c r="K937" s="175"/>
      <c r="M937" s="175"/>
      <c r="N937" s="175"/>
    </row>
    <row r="938" spans="11:14" x14ac:dyDescent="0.25">
      <c r="K938" s="175"/>
      <c r="M938" s="175"/>
      <c r="N938" s="175"/>
    </row>
    <row r="939" spans="11:14" x14ac:dyDescent="0.25">
      <c r="K939" s="175"/>
      <c r="M939" s="175"/>
      <c r="N939" s="175"/>
    </row>
    <row r="940" spans="11:14" x14ac:dyDescent="0.25">
      <c r="K940" s="175"/>
      <c r="M940" s="175"/>
      <c r="N940" s="175"/>
    </row>
    <row r="941" spans="11:14" x14ac:dyDescent="0.25">
      <c r="K941" s="175"/>
      <c r="M941" s="175"/>
      <c r="N941" s="175"/>
    </row>
    <row r="942" spans="11:14" x14ac:dyDescent="0.25">
      <c r="K942" s="175"/>
      <c r="M942" s="175"/>
      <c r="N942" s="175"/>
    </row>
    <row r="943" spans="11:14" x14ac:dyDescent="0.25">
      <c r="K943" s="175"/>
      <c r="M943" s="175"/>
      <c r="N943" s="175"/>
    </row>
    <row r="944" spans="11:14" x14ac:dyDescent="0.25">
      <c r="K944" s="175"/>
      <c r="M944" s="175"/>
      <c r="N944" s="175"/>
    </row>
    <row r="945" spans="11:14" x14ac:dyDescent="0.25">
      <c r="K945" s="175"/>
      <c r="M945" s="175"/>
      <c r="N945" s="175"/>
    </row>
    <row r="946" spans="11:14" x14ac:dyDescent="0.25">
      <c r="K946" s="175"/>
      <c r="M946" s="175"/>
      <c r="N946" s="175"/>
    </row>
    <row r="947" spans="11:14" x14ac:dyDescent="0.25">
      <c r="K947" s="175"/>
      <c r="M947" s="175"/>
      <c r="N947" s="175"/>
    </row>
    <row r="948" spans="11:14" x14ac:dyDescent="0.25">
      <c r="K948" s="175"/>
      <c r="M948" s="175"/>
      <c r="N948" s="175"/>
    </row>
    <row r="949" spans="11:14" x14ac:dyDescent="0.25">
      <c r="K949" s="175"/>
      <c r="M949" s="175"/>
      <c r="N949" s="175"/>
    </row>
    <row r="950" spans="11:14" x14ac:dyDescent="0.25">
      <c r="K950" s="175"/>
      <c r="M950" s="175"/>
      <c r="N950" s="175"/>
    </row>
    <row r="951" spans="11:14" x14ac:dyDescent="0.25">
      <c r="K951" s="175"/>
      <c r="M951" s="175"/>
      <c r="N951" s="175"/>
    </row>
    <row r="952" spans="11:14" x14ac:dyDescent="0.25">
      <c r="K952" s="175"/>
      <c r="M952" s="175"/>
      <c r="N952" s="175"/>
    </row>
    <row r="953" spans="11:14" x14ac:dyDescent="0.25">
      <c r="K953" s="175"/>
      <c r="M953" s="175"/>
      <c r="N953" s="175"/>
    </row>
    <row r="954" spans="11:14" x14ac:dyDescent="0.25">
      <c r="K954" s="175"/>
      <c r="M954" s="175"/>
      <c r="N954" s="175"/>
    </row>
    <row r="955" spans="11:14" x14ac:dyDescent="0.25">
      <c r="K955" s="175"/>
      <c r="M955" s="175"/>
      <c r="N955" s="175"/>
    </row>
    <row r="956" spans="11:14" x14ac:dyDescent="0.25">
      <c r="K956" s="175"/>
      <c r="M956" s="175"/>
      <c r="N956" s="175"/>
    </row>
    <row r="957" spans="11:14" x14ac:dyDescent="0.25">
      <c r="K957" s="175"/>
      <c r="M957" s="175"/>
      <c r="N957" s="175"/>
    </row>
    <row r="958" spans="11:14" x14ac:dyDescent="0.25">
      <c r="K958" s="175"/>
      <c r="M958" s="175"/>
      <c r="N958" s="175"/>
    </row>
    <row r="959" spans="11:14" x14ac:dyDescent="0.25">
      <c r="K959" s="175"/>
      <c r="M959" s="175"/>
      <c r="N959" s="175"/>
    </row>
    <row r="960" spans="11:14" x14ac:dyDescent="0.25">
      <c r="K960" s="175"/>
      <c r="M960" s="175"/>
      <c r="N960" s="175"/>
    </row>
    <row r="961" spans="11:14" x14ac:dyDescent="0.25">
      <c r="K961" s="175"/>
      <c r="M961" s="175"/>
      <c r="N961" s="175"/>
    </row>
    <row r="962" spans="11:14" x14ac:dyDescent="0.25">
      <c r="K962" s="175"/>
      <c r="M962" s="175"/>
      <c r="N962" s="175"/>
    </row>
    <row r="963" spans="11:14" x14ac:dyDescent="0.25">
      <c r="K963" s="175"/>
      <c r="M963" s="175"/>
      <c r="N963" s="175"/>
    </row>
    <row r="964" spans="11:14" x14ac:dyDescent="0.25">
      <c r="K964" s="175"/>
      <c r="M964" s="175"/>
      <c r="N964" s="175"/>
    </row>
    <row r="965" spans="11:14" x14ac:dyDescent="0.25">
      <c r="K965" s="175"/>
      <c r="M965" s="175"/>
      <c r="N965" s="175"/>
    </row>
    <row r="966" spans="11:14" x14ac:dyDescent="0.25">
      <c r="K966" s="175"/>
      <c r="M966" s="175"/>
      <c r="N966" s="175"/>
    </row>
    <row r="967" spans="11:14" x14ac:dyDescent="0.25">
      <c r="K967" s="175"/>
      <c r="M967" s="175"/>
      <c r="N967" s="175"/>
    </row>
    <row r="968" spans="11:14" x14ac:dyDescent="0.25">
      <c r="K968" s="175"/>
      <c r="M968" s="175"/>
      <c r="N968" s="175"/>
    </row>
    <row r="969" spans="11:14" x14ac:dyDescent="0.25">
      <c r="K969" s="175"/>
      <c r="M969" s="175"/>
      <c r="N969" s="175"/>
    </row>
    <row r="970" spans="11:14" x14ac:dyDescent="0.25">
      <c r="K970" s="175"/>
      <c r="M970" s="175"/>
      <c r="N970" s="175"/>
    </row>
    <row r="971" spans="11:14" x14ac:dyDescent="0.25">
      <c r="K971" s="175"/>
      <c r="M971" s="175"/>
      <c r="N971" s="175"/>
    </row>
    <row r="972" spans="11:14" x14ac:dyDescent="0.25">
      <c r="K972" s="175"/>
      <c r="M972" s="175"/>
      <c r="N972" s="175"/>
    </row>
    <row r="973" spans="11:14" x14ac:dyDescent="0.25">
      <c r="K973" s="175"/>
      <c r="M973" s="175"/>
      <c r="N973" s="175"/>
    </row>
    <row r="974" spans="11:14" x14ac:dyDescent="0.25">
      <c r="K974" s="175"/>
      <c r="M974" s="175"/>
      <c r="N974" s="175"/>
    </row>
    <row r="975" spans="11:14" x14ac:dyDescent="0.25">
      <c r="K975" s="175"/>
      <c r="M975" s="175"/>
      <c r="N975" s="175"/>
    </row>
    <row r="976" spans="11:14" x14ac:dyDescent="0.25">
      <c r="K976" s="175"/>
      <c r="M976" s="175"/>
      <c r="N976" s="175"/>
    </row>
    <row r="977" spans="11:14" x14ac:dyDescent="0.25">
      <c r="K977" s="175"/>
      <c r="M977" s="175"/>
      <c r="N977" s="175"/>
    </row>
    <row r="978" spans="11:14" x14ac:dyDescent="0.25">
      <c r="K978" s="175"/>
      <c r="M978" s="175"/>
      <c r="N978" s="175"/>
    </row>
    <row r="979" spans="11:14" x14ac:dyDescent="0.25">
      <c r="K979" s="175"/>
      <c r="M979" s="175"/>
      <c r="N979" s="175"/>
    </row>
    <row r="980" spans="11:14" x14ac:dyDescent="0.25">
      <c r="K980" s="175"/>
      <c r="M980" s="175"/>
      <c r="N980" s="175"/>
    </row>
    <row r="981" spans="11:14" x14ac:dyDescent="0.25">
      <c r="K981" s="175"/>
      <c r="M981" s="175"/>
      <c r="N981" s="175"/>
    </row>
    <row r="982" spans="11:14" x14ac:dyDescent="0.25">
      <c r="K982" s="175"/>
      <c r="M982" s="175"/>
      <c r="N982" s="175"/>
    </row>
    <row r="983" spans="11:14" x14ac:dyDescent="0.25">
      <c r="K983" s="175"/>
      <c r="M983" s="175"/>
      <c r="N983" s="175"/>
    </row>
    <row r="984" spans="11:14" x14ac:dyDescent="0.25">
      <c r="K984" s="175"/>
      <c r="M984" s="175"/>
      <c r="N984" s="175"/>
    </row>
    <row r="985" spans="11:14" x14ac:dyDescent="0.25">
      <c r="K985" s="175"/>
      <c r="M985" s="175"/>
      <c r="N985" s="175"/>
    </row>
    <row r="986" spans="11:14" x14ac:dyDescent="0.25">
      <c r="K986" s="175"/>
      <c r="M986" s="175"/>
      <c r="N986" s="175"/>
    </row>
    <row r="987" spans="11:14" x14ac:dyDescent="0.25">
      <c r="K987" s="175"/>
      <c r="M987" s="175"/>
      <c r="N987" s="175"/>
    </row>
    <row r="988" spans="11:14" x14ac:dyDescent="0.25">
      <c r="K988" s="175"/>
      <c r="M988" s="175"/>
      <c r="N988" s="175"/>
    </row>
    <row r="989" spans="11:14" x14ac:dyDescent="0.25">
      <c r="K989" s="175"/>
      <c r="M989" s="175"/>
      <c r="N989" s="175"/>
    </row>
  </sheetData>
  <conditionalFormatting sqref="A1:J1 L1:N1 M355:N355 N2 N341 M3:N326 M359:N359 K359 K384 M384:N384 M386:N386 K386 K388:K65526 M388:N65526">
    <cfRule type="expression" dxfId="2552" priority="1285">
      <formula>$E1&lt;12</formula>
    </cfRule>
    <cfRule type="expression" dxfId="2551" priority="1286">
      <formula>$E1=18</formula>
    </cfRule>
    <cfRule type="expression" dxfId="2550" priority="1287">
      <formula>$E1=17</formula>
    </cfRule>
    <cfRule type="expression" dxfId="2549" priority="1288">
      <formula>$E1=16</formula>
    </cfRule>
    <cfRule type="expression" dxfId="2548" priority="1289">
      <formula>$E1=15</formula>
    </cfRule>
    <cfRule type="expression" dxfId="2547" priority="1290">
      <formula>$E1=14</formula>
    </cfRule>
    <cfRule type="expression" dxfId="2546" priority="1291">
      <formula>$E1=13</formula>
    </cfRule>
    <cfRule type="expression" dxfId="2545" priority="1292">
      <formula>$E1=12</formula>
    </cfRule>
  </conditionalFormatting>
  <conditionalFormatting sqref="A1:J1 L1:N1 M355:N355 N2 N341 M3:N326 M359:N359 K359 K384 M384:N384 M386:N386 K386 K388:K65526 M388:N65526">
    <cfRule type="expression" dxfId="2544" priority="1276">
      <formula>$E1=10</formula>
    </cfRule>
    <cfRule type="expression" dxfId="2543" priority="1277">
      <formula>$E1=11</formula>
    </cfRule>
    <cfRule type="expression" dxfId="2542" priority="1278">
      <formula>$E1=18</formula>
    </cfRule>
    <cfRule type="expression" dxfId="2541" priority="1279">
      <formula>$E1=17</formula>
    </cfRule>
    <cfRule type="expression" dxfId="2540" priority="1280">
      <formula>$E1=16</formula>
    </cfRule>
    <cfRule type="expression" dxfId="2539" priority="1281">
      <formula>$E1=15</formula>
    </cfRule>
    <cfRule type="expression" dxfId="2538" priority="1282">
      <formula>$E1=14</formula>
    </cfRule>
    <cfRule type="expression" dxfId="2537" priority="1283">
      <formula>$E1=13</formula>
    </cfRule>
    <cfRule type="expression" dxfId="2536" priority="1284">
      <formula>$E1=12</formula>
    </cfRule>
  </conditionalFormatting>
  <conditionalFormatting sqref="L2:L146 A2:B2 G2:I2 A3:I3 A4:J325 J326:J333 L148:L325">
    <cfRule type="expression" dxfId="2535" priority="1268">
      <formula>$E2&lt;12</formula>
    </cfRule>
    <cfRule type="expression" dxfId="2534" priority="1269">
      <formula>$E2=18</formula>
    </cfRule>
    <cfRule type="expression" dxfId="2533" priority="1270">
      <formula>$E2=17</formula>
    </cfRule>
    <cfRule type="expression" dxfId="2532" priority="1271">
      <formula>$E2=16</formula>
    </cfRule>
    <cfRule type="expression" dxfId="2531" priority="1272">
      <formula>$E2=15</formula>
    </cfRule>
    <cfRule type="expression" dxfId="2530" priority="1273">
      <formula>$E2=14</formula>
    </cfRule>
    <cfRule type="expression" dxfId="2529" priority="1274">
      <formula>$E2=13</formula>
    </cfRule>
    <cfRule type="expression" dxfId="2528" priority="1275">
      <formula>$E2=12</formula>
    </cfRule>
  </conditionalFormatting>
  <conditionalFormatting sqref="L2:L146 A2:B2 G2:I2 A3:I3 A4:J325 J326:J333 L148:L325">
    <cfRule type="expression" dxfId="2527" priority="1259">
      <formula>$E2=10</formula>
    </cfRule>
    <cfRule type="expression" dxfId="2526" priority="1260">
      <formula>$E2=11</formula>
    </cfRule>
    <cfRule type="expression" dxfId="2525" priority="1261">
      <formula>$E2=18</formula>
    </cfRule>
    <cfRule type="expression" dxfId="2524" priority="1262">
      <formula>$E2=17</formula>
    </cfRule>
    <cfRule type="expression" dxfId="2523" priority="1263">
      <formula>$E2=16</formula>
    </cfRule>
    <cfRule type="expression" dxfId="2522" priority="1264">
      <formula>$E2=15</formula>
    </cfRule>
    <cfRule type="expression" dxfId="2521" priority="1265">
      <formula>$E2=14</formula>
    </cfRule>
    <cfRule type="expression" dxfId="2520" priority="1266">
      <formula>$E2=13</formula>
    </cfRule>
    <cfRule type="expression" dxfId="2519" priority="1267">
      <formula>$E2=12</formula>
    </cfRule>
  </conditionalFormatting>
  <conditionalFormatting sqref="K1 K355 K3:K326">
    <cfRule type="expression" dxfId="2518" priority="1251">
      <formula>$E1&lt;12</formula>
    </cfRule>
    <cfRule type="expression" dxfId="2517" priority="1252">
      <formula>$E1=18</formula>
    </cfRule>
    <cfRule type="expression" dxfId="2516" priority="1253">
      <formula>$E1=17</formula>
    </cfRule>
    <cfRule type="expression" dxfId="2515" priority="1254">
      <formula>$E1=16</formula>
    </cfRule>
    <cfRule type="expression" dxfId="2514" priority="1255">
      <formula>$E1=15</formula>
    </cfRule>
    <cfRule type="expression" dxfId="2513" priority="1256">
      <formula>$E1=14</formula>
    </cfRule>
    <cfRule type="expression" dxfId="2512" priority="1257">
      <formula>$E1=13</formula>
    </cfRule>
    <cfRule type="expression" dxfId="2511" priority="1258">
      <formula>$E1=12</formula>
    </cfRule>
  </conditionalFormatting>
  <conditionalFormatting sqref="K1 K355 K3:K326">
    <cfRule type="expression" dxfId="2510" priority="1242">
      <formula>$E1=10</formula>
    </cfRule>
    <cfRule type="expression" dxfId="2509" priority="1243">
      <formula>$E1=11</formula>
    </cfRule>
    <cfRule type="expression" dxfId="2508" priority="1244">
      <formula>$E1=18</formula>
    </cfRule>
    <cfRule type="expression" dxfId="2507" priority="1245">
      <formula>$E1=17</formula>
    </cfRule>
    <cfRule type="expression" dxfId="2506" priority="1246">
      <formula>$E1=16</formula>
    </cfRule>
    <cfRule type="expression" dxfId="2505" priority="1247">
      <formula>$E1=15</formula>
    </cfRule>
    <cfRule type="expression" dxfId="2504" priority="1248">
      <formula>$E1=14</formula>
    </cfRule>
    <cfRule type="expression" dxfId="2503" priority="1249">
      <formula>$E1=13</formula>
    </cfRule>
    <cfRule type="expression" dxfId="2502" priority="1250">
      <formula>$E1=12</formula>
    </cfRule>
  </conditionalFormatting>
  <conditionalFormatting sqref="N327:N332">
    <cfRule type="expression" dxfId="2501" priority="1234">
      <formula>$E327&lt;12</formula>
    </cfRule>
    <cfRule type="expression" dxfId="2500" priority="1235">
      <formula>$E327=18</formula>
    </cfRule>
    <cfRule type="expression" dxfId="2499" priority="1236">
      <formula>$E327=17</formula>
    </cfRule>
    <cfRule type="expression" dxfId="2498" priority="1237">
      <formula>$E327=16</formula>
    </cfRule>
    <cfRule type="expression" dxfId="2497" priority="1238">
      <formula>$E327=15</formula>
    </cfRule>
    <cfRule type="expression" dxfId="2496" priority="1239">
      <formula>$E327=14</formula>
    </cfRule>
    <cfRule type="expression" dxfId="2495" priority="1240">
      <formula>$E327=13</formula>
    </cfRule>
    <cfRule type="expression" dxfId="2494" priority="1241">
      <formula>$E327=12</formula>
    </cfRule>
  </conditionalFormatting>
  <conditionalFormatting sqref="N327:N332">
    <cfRule type="expression" dxfId="2493" priority="1225">
      <formula>$E327=10</formula>
    </cfRule>
    <cfRule type="expression" dxfId="2492" priority="1226">
      <formula>$E327=11</formula>
    </cfRule>
    <cfRule type="expression" dxfId="2491" priority="1227">
      <formula>$E327=18</formula>
    </cfRule>
    <cfRule type="expression" dxfId="2490" priority="1228">
      <formula>$E327=17</formula>
    </cfRule>
    <cfRule type="expression" dxfId="2489" priority="1229">
      <formula>$E327=16</formula>
    </cfRule>
    <cfRule type="expression" dxfId="2488" priority="1230">
      <formula>$E327=15</formula>
    </cfRule>
    <cfRule type="expression" dxfId="2487" priority="1231">
      <formula>$E327=14</formula>
    </cfRule>
    <cfRule type="expression" dxfId="2486" priority="1232">
      <formula>$E327=13</formula>
    </cfRule>
    <cfRule type="expression" dxfId="2485" priority="1233">
      <formula>$E327=12</formula>
    </cfRule>
  </conditionalFormatting>
  <conditionalFormatting sqref="N333:N340">
    <cfRule type="expression" dxfId="2484" priority="1217">
      <formula>$E333&lt;12</formula>
    </cfRule>
    <cfRule type="expression" dxfId="2483" priority="1218">
      <formula>$E333=18</formula>
    </cfRule>
    <cfRule type="expression" dxfId="2482" priority="1219">
      <formula>$E333=17</formula>
    </cfRule>
    <cfRule type="expression" dxfId="2481" priority="1220">
      <formula>$E333=16</formula>
    </cfRule>
    <cfRule type="expression" dxfId="2480" priority="1221">
      <formula>$E333=15</formula>
    </cfRule>
    <cfRule type="expression" dxfId="2479" priority="1222">
      <formula>$E333=14</formula>
    </cfRule>
    <cfRule type="expression" dxfId="2478" priority="1223">
      <formula>$E333=13</formula>
    </cfRule>
    <cfRule type="expression" dxfId="2477" priority="1224">
      <formula>$E333=12</formula>
    </cfRule>
  </conditionalFormatting>
  <conditionalFormatting sqref="N333:N340">
    <cfRule type="expression" dxfId="2476" priority="1208">
      <formula>$E333=10</formula>
    </cfRule>
    <cfRule type="expression" dxfId="2475" priority="1209">
      <formula>$E333=11</formula>
    </cfRule>
    <cfRule type="expression" dxfId="2474" priority="1210">
      <formula>$E333=18</formula>
    </cfRule>
    <cfRule type="expression" dxfId="2473" priority="1211">
      <formula>$E333=17</formula>
    </cfRule>
    <cfRule type="expression" dxfId="2472" priority="1212">
      <formula>$E333=16</formula>
    </cfRule>
    <cfRule type="expression" dxfId="2471" priority="1213">
      <formula>$E333=15</formula>
    </cfRule>
    <cfRule type="expression" dxfId="2470" priority="1214">
      <formula>$E333=14</formula>
    </cfRule>
    <cfRule type="expression" dxfId="2469" priority="1215">
      <formula>$E333=13</formula>
    </cfRule>
    <cfRule type="expression" dxfId="2468" priority="1216">
      <formula>$E333=12</formula>
    </cfRule>
  </conditionalFormatting>
  <conditionalFormatting sqref="M341">
    <cfRule type="expression" dxfId="2467" priority="1149">
      <formula>$E341&lt;12</formula>
    </cfRule>
    <cfRule type="expression" dxfId="2466" priority="1150">
      <formula>$E341=18</formula>
    </cfRule>
    <cfRule type="expression" dxfId="2465" priority="1151">
      <formula>$E341=17</formula>
    </cfRule>
    <cfRule type="expression" dxfId="2464" priority="1152">
      <formula>$E341=16</formula>
    </cfRule>
    <cfRule type="expression" dxfId="2463" priority="1153">
      <formula>$E341=15</formula>
    </cfRule>
    <cfRule type="expression" dxfId="2462" priority="1154">
      <formula>$E341=14</formula>
    </cfRule>
    <cfRule type="expression" dxfId="2461" priority="1155">
      <formula>$E341=13</formula>
    </cfRule>
    <cfRule type="expression" dxfId="2460" priority="1156">
      <formula>$E341=12</formula>
    </cfRule>
  </conditionalFormatting>
  <conditionalFormatting sqref="M341">
    <cfRule type="expression" dxfId="2459" priority="1140">
      <formula>$E341=10</formula>
    </cfRule>
    <cfRule type="expression" dxfId="2458" priority="1141">
      <formula>$E341=11</formula>
    </cfRule>
    <cfRule type="expression" dxfId="2457" priority="1142">
      <formula>$E341=18</formula>
    </cfRule>
    <cfRule type="expression" dxfId="2456" priority="1143">
      <formula>$E341=17</formula>
    </cfRule>
    <cfRule type="expression" dxfId="2455" priority="1144">
      <formula>$E341=16</formula>
    </cfRule>
    <cfRule type="expression" dxfId="2454" priority="1145">
      <formula>$E341=15</formula>
    </cfRule>
    <cfRule type="expression" dxfId="2453" priority="1146">
      <formula>$E341=14</formula>
    </cfRule>
    <cfRule type="expression" dxfId="2452" priority="1147">
      <formula>$E341=13</formula>
    </cfRule>
    <cfRule type="expression" dxfId="2451" priority="1148">
      <formula>$E341=12</formula>
    </cfRule>
  </conditionalFormatting>
  <conditionalFormatting sqref="K341">
    <cfRule type="expression" dxfId="2450" priority="1132">
      <formula>$E341&lt;12</formula>
    </cfRule>
    <cfRule type="expression" dxfId="2449" priority="1133">
      <formula>$E341=18</formula>
    </cfRule>
    <cfRule type="expression" dxfId="2448" priority="1134">
      <formula>$E341=17</formula>
    </cfRule>
    <cfRule type="expression" dxfId="2447" priority="1135">
      <formula>$E341=16</formula>
    </cfRule>
    <cfRule type="expression" dxfId="2446" priority="1136">
      <formula>$E341=15</formula>
    </cfRule>
    <cfRule type="expression" dxfId="2445" priority="1137">
      <formula>$E341=14</formula>
    </cfRule>
    <cfRule type="expression" dxfId="2444" priority="1138">
      <formula>$E341=13</formula>
    </cfRule>
    <cfRule type="expression" dxfId="2443" priority="1139">
      <formula>$E341=12</formula>
    </cfRule>
  </conditionalFormatting>
  <conditionalFormatting sqref="K341">
    <cfRule type="expression" dxfId="2442" priority="1123">
      <formula>$E341=10</formula>
    </cfRule>
    <cfRule type="expression" dxfId="2441" priority="1124">
      <formula>$E341=11</formula>
    </cfRule>
    <cfRule type="expression" dxfId="2440" priority="1125">
      <formula>$E341=18</formula>
    </cfRule>
    <cfRule type="expression" dxfId="2439" priority="1126">
      <formula>$E341=17</formula>
    </cfRule>
    <cfRule type="expression" dxfId="2438" priority="1127">
      <formula>$E341=16</formula>
    </cfRule>
    <cfRule type="expression" dxfId="2437" priority="1128">
      <formula>$E341=15</formula>
    </cfRule>
    <cfRule type="expression" dxfId="2436" priority="1129">
      <formula>$E341=14</formula>
    </cfRule>
    <cfRule type="expression" dxfId="2435" priority="1130">
      <formula>$E341=13</formula>
    </cfRule>
    <cfRule type="expression" dxfId="2434" priority="1131">
      <formula>$E341=12</formula>
    </cfRule>
  </conditionalFormatting>
  <conditionalFormatting sqref="M327:M332">
    <cfRule type="expression" dxfId="2433" priority="1115">
      <formula>$E327&lt;12</formula>
    </cfRule>
    <cfRule type="expression" dxfId="2432" priority="1116">
      <formula>$E327=18</formula>
    </cfRule>
    <cfRule type="expression" dxfId="2431" priority="1117">
      <formula>$E327=17</formula>
    </cfRule>
    <cfRule type="expression" dxfId="2430" priority="1118">
      <formula>$E327=16</formula>
    </cfRule>
    <cfRule type="expression" dxfId="2429" priority="1119">
      <formula>$E327=15</formula>
    </cfRule>
    <cfRule type="expression" dxfId="2428" priority="1120">
      <formula>$E327=14</formula>
    </cfRule>
    <cfRule type="expression" dxfId="2427" priority="1121">
      <formula>$E327=13</formula>
    </cfRule>
    <cfRule type="expression" dxfId="2426" priority="1122">
      <formula>$E327=12</formula>
    </cfRule>
  </conditionalFormatting>
  <conditionalFormatting sqref="M327:M332">
    <cfRule type="expression" dxfId="2425" priority="1106">
      <formula>$E327=10</formula>
    </cfRule>
    <cfRule type="expression" dxfId="2424" priority="1107">
      <formula>$E327=11</formula>
    </cfRule>
    <cfRule type="expression" dxfId="2423" priority="1108">
      <formula>$E327=18</formula>
    </cfRule>
    <cfRule type="expression" dxfId="2422" priority="1109">
      <formula>$E327=17</formula>
    </cfRule>
    <cfRule type="expression" dxfId="2421" priority="1110">
      <formula>$E327=16</formula>
    </cfRule>
    <cfRule type="expression" dxfId="2420" priority="1111">
      <formula>$E327=15</formula>
    </cfRule>
    <cfRule type="expression" dxfId="2419" priority="1112">
      <formula>$E327=14</formula>
    </cfRule>
    <cfRule type="expression" dxfId="2418" priority="1113">
      <formula>$E327=13</formula>
    </cfRule>
    <cfRule type="expression" dxfId="2417" priority="1114">
      <formula>$E327=12</formula>
    </cfRule>
  </conditionalFormatting>
  <conditionalFormatting sqref="K2:K325">
    <cfRule type="expression" dxfId="2416" priority="1166">
      <formula>$E2&lt;12</formula>
    </cfRule>
    <cfRule type="expression" dxfId="2415" priority="1167">
      <formula>$E2=18</formula>
    </cfRule>
    <cfRule type="expression" dxfId="2414" priority="1168">
      <formula>$E2=17</formula>
    </cfRule>
    <cfRule type="expression" dxfId="2413" priority="1169">
      <formula>$E2=16</formula>
    </cfRule>
    <cfRule type="expression" dxfId="2412" priority="1170">
      <formula>$E2=15</formula>
    </cfRule>
    <cfRule type="expression" dxfId="2411" priority="1171">
      <formula>$E2=14</formula>
    </cfRule>
    <cfRule type="expression" dxfId="2410" priority="1172">
      <formula>$E2=13</formula>
    </cfRule>
    <cfRule type="expression" dxfId="2409" priority="1173">
      <formula>$E2=12</formula>
    </cfRule>
  </conditionalFormatting>
  <conditionalFormatting sqref="K2:K325">
    <cfRule type="expression" dxfId="2408" priority="1157">
      <formula>$E2=10</formula>
    </cfRule>
    <cfRule type="expression" dxfId="2407" priority="1158">
      <formula>$E2=11</formula>
    </cfRule>
    <cfRule type="expression" dxfId="2406" priority="1159">
      <formula>$E2=18</formula>
    </cfRule>
    <cfRule type="expression" dxfId="2405" priority="1160">
      <formula>$E2=17</formula>
    </cfRule>
    <cfRule type="expression" dxfId="2404" priority="1161">
      <formula>$E2=16</formula>
    </cfRule>
    <cfRule type="expression" dxfId="2403" priority="1162">
      <formula>$E2=15</formula>
    </cfRule>
    <cfRule type="expression" dxfId="2402" priority="1163">
      <formula>$E2=14</formula>
    </cfRule>
    <cfRule type="expression" dxfId="2401" priority="1164">
      <formula>$E2=13</formula>
    </cfRule>
    <cfRule type="expression" dxfId="2400" priority="1165">
      <formula>$E2=12</formula>
    </cfRule>
  </conditionalFormatting>
  <conditionalFormatting sqref="C2:F325">
    <cfRule type="expression" dxfId="2399" priority="1200">
      <formula>$E2&lt;12</formula>
    </cfRule>
    <cfRule type="expression" dxfId="2398" priority="1201">
      <formula>$E2=18</formula>
    </cfRule>
    <cfRule type="expression" dxfId="2397" priority="1202">
      <formula>$E2=17</formula>
    </cfRule>
    <cfRule type="expression" dxfId="2396" priority="1203">
      <formula>$E2=16</formula>
    </cfRule>
    <cfRule type="expression" dxfId="2395" priority="1204">
      <formula>$E2=15</formula>
    </cfRule>
    <cfRule type="expression" dxfId="2394" priority="1205">
      <formula>$E2=14</formula>
    </cfRule>
    <cfRule type="expression" dxfId="2393" priority="1206">
      <formula>$E2=13</formula>
    </cfRule>
    <cfRule type="expression" dxfId="2392" priority="1207">
      <formula>$E2=12</formula>
    </cfRule>
  </conditionalFormatting>
  <conditionalFormatting sqref="C2:F325">
    <cfRule type="expression" dxfId="2391" priority="1191">
      <formula>$E2=10</formula>
    </cfRule>
    <cfRule type="expression" dxfId="2390" priority="1192">
      <formula>$E2=11</formula>
    </cfRule>
    <cfRule type="expression" dxfId="2389" priority="1193">
      <formula>$E2=18</formula>
    </cfRule>
    <cfRule type="expression" dxfId="2388" priority="1194">
      <formula>$E2=17</formula>
    </cfRule>
    <cfRule type="expression" dxfId="2387" priority="1195">
      <formula>$E2=16</formula>
    </cfRule>
    <cfRule type="expression" dxfId="2386" priority="1196">
      <formula>$E2=15</formula>
    </cfRule>
    <cfRule type="expression" dxfId="2385" priority="1197">
      <formula>$E2=14</formula>
    </cfRule>
    <cfRule type="expression" dxfId="2384" priority="1198">
      <formula>$E2=13</formula>
    </cfRule>
    <cfRule type="expression" dxfId="2383" priority="1199">
      <formula>$E2=12</formula>
    </cfRule>
  </conditionalFormatting>
  <conditionalFormatting sqref="M2">
    <cfRule type="expression" dxfId="2382" priority="1183">
      <formula>$E2&lt;12</formula>
    </cfRule>
    <cfRule type="expression" dxfId="2381" priority="1184">
      <formula>$E2=18</formula>
    </cfRule>
    <cfRule type="expression" dxfId="2380" priority="1185">
      <formula>$E2=17</formula>
    </cfRule>
    <cfRule type="expression" dxfId="2379" priority="1186">
      <formula>$E2=16</formula>
    </cfRule>
    <cfRule type="expression" dxfId="2378" priority="1187">
      <formula>$E2=15</formula>
    </cfRule>
    <cfRule type="expression" dxfId="2377" priority="1188">
      <formula>$E2=14</formula>
    </cfRule>
    <cfRule type="expression" dxfId="2376" priority="1189">
      <formula>$E2=13</formula>
    </cfRule>
    <cfRule type="expression" dxfId="2375" priority="1190">
      <formula>$E2=12</formula>
    </cfRule>
  </conditionalFormatting>
  <conditionalFormatting sqref="M2">
    <cfRule type="expression" dxfId="2374" priority="1174">
      <formula>$E2=10</formula>
    </cfRule>
    <cfRule type="expression" dxfId="2373" priority="1175">
      <formula>$E2=11</formula>
    </cfRule>
    <cfRule type="expression" dxfId="2372" priority="1176">
      <formula>$E2=18</formula>
    </cfRule>
    <cfRule type="expression" dxfId="2371" priority="1177">
      <formula>$E2=17</formula>
    </cfRule>
    <cfRule type="expression" dxfId="2370" priority="1178">
      <formula>$E2=16</formula>
    </cfRule>
    <cfRule type="expression" dxfId="2369" priority="1179">
      <formula>$E2=15</formula>
    </cfRule>
    <cfRule type="expression" dxfId="2368" priority="1180">
      <formula>$E2=14</formula>
    </cfRule>
    <cfRule type="expression" dxfId="2367" priority="1181">
      <formula>$E2=13</formula>
    </cfRule>
    <cfRule type="expression" dxfId="2366" priority="1182">
      <formula>$E2=12</formula>
    </cfRule>
  </conditionalFormatting>
  <conditionalFormatting sqref="L327:L332 A327:J340">
    <cfRule type="expression" dxfId="2365" priority="1098">
      <formula>$E327&lt;12</formula>
    </cfRule>
    <cfRule type="expression" dxfId="2364" priority="1099">
      <formula>$E327=18</formula>
    </cfRule>
    <cfRule type="expression" dxfId="2363" priority="1100">
      <formula>$E327=17</formula>
    </cfRule>
    <cfRule type="expression" dxfId="2362" priority="1101">
      <formula>$E327=16</formula>
    </cfRule>
    <cfRule type="expression" dxfId="2361" priority="1102">
      <formula>$E327=15</formula>
    </cfRule>
    <cfRule type="expression" dxfId="2360" priority="1103">
      <formula>$E327=14</formula>
    </cfRule>
    <cfRule type="expression" dxfId="2359" priority="1104">
      <formula>$E327=13</formula>
    </cfRule>
    <cfRule type="expression" dxfId="2358" priority="1105">
      <formula>$E327=12</formula>
    </cfRule>
  </conditionalFormatting>
  <conditionalFormatting sqref="L327:L332 A327:J340">
    <cfRule type="expression" dxfId="2357" priority="1089">
      <formula>$E327=10</formula>
    </cfRule>
    <cfRule type="expression" dxfId="2356" priority="1090">
      <formula>$E327=11</formula>
    </cfRule>
    <cfRule type="expression" dxfId="2355" priority="1091">
      <formula>$E327=18</formula>
    </cfRule>
    <cfRule type="expression" dxfId="2354" priority="1092">
      <formula>$E327=17</formula>
    </cfRule>
    <cfRule type="expression" dxfId="2353" priority="1093">
      <formula>$E327=16</formula>
    </cfRule>
    <cfRule type="expression" dxfId="2352" priority="1094">
      <formula>$E327=15</formula>
    </cfRule>
    <cfRule type="expression" dxfId="2351" priority="1095">
      <formula>$E327=14</formula>
    </cfRule>
    <cfRule type="expression" dxfId="2350" priority="1096">
      <formula>$E327=13</formula>
    </cfRule>
    <cfRule type="expression" dxfId="2349" priority="1097">
      <formula>$E327=12</formula>
    </cfRule>
  </conditionalFormatting>
  <conditionalFormatting sqref="M333:M340">
    <cfRule type="expression" dxfId="2348" priority="1064">
      <formula>$E333&lt;12</formula>
    </cfRule>
    <cfRule type="expression" dxfId="2347" priority="1065">
      <formula>$E333=18</formula>
    </cfRule>
    <cfRule type="expression" dxfId="2346" priority="1066">
      <formula>$E333=17</formula>
    </cfRule>
    <cfRule type="expression" dxfId="2345" priority="1067">
      <formula>$E333=16</formula>
    </cfRule>
    <cfRule type="expression" dxfId="2344" priority="1068">
      <formula>$E333=15</formula>
    </cfRule>
    <cfRule type="expression" dxfId="2343" priority="1069">
      <formula>$E333=14</formula>
    </cfRule>
    <cfRule type="expression" dxfId="2342" priority="1070">
      <formula>$E333=13</formula>
    </cfRule>
    <cfRule type="expression" dxfId="2341" priority="1071">
      <formula>$E333=12</formula>
    </cfRule>
  </conditionalFormatting>
  <conditionalFormatting sqref="M333:M340">
    <cfRule type="expression" dxfId="2340" priority="1055">
      <formula>$E333=10</formula>
    </cfRule>
    <cfRule type="expression" dxfId="2339" priority="1056">
      <formula>$E333=11</formula>
    </cfRule>
    <cfRule type="expression" dxfId="2338" priority="1057">
      <formula>$E333=18</formula>
    </cfRule>
    <cfRule type="expression" dxfId="2337" priority="1058">
      <formula>$E333=17</formula>
    </cfRule>
    <cfRule type="expression" dxfId="2336" priority="1059">
      <formula>$E333=16</formula>
    </cfRule>
    <cfRule type="expression" dxfId="2335" priority="1060">
      <formula>$E333=15</formula>
    </cfRule>
    <cfRule type="expression" dxfId="2334" priority="1061">
      <formula>$E333=14</formula>
    </cfRule>
    <cfRule type="expression" dxfId="2333" priority="1062">
      <formula>$E333=13</formula>
    </cfRule>
    <cfRule type="expression" dxfId="2332" priority="1063">
      <formula>$E333=12</formula>
    </cfRule>
  </conditionalFormatting>
  <conditionalFormatting sqref="L333:L340">
    <cfRule type="expression" dxfId="2331" priority="1047">
      <formula>$E333&lt;12</formula>
    </cfRule>
    <cfRule type="expression" dxfId="2330" priority="1048">
      <formula>$E333=18</formula>
    </cfRule>
    <cfRule type="expression" dxfId="2329" priority="1049">
      <formula>$E333=17</formula>
    </cfRule>
    <cfRule type="expression" dxfId="2328" priority="1050">
      <formula>$E333=16</formula>
    </cfRule>
    <cfRule type="expression" dxfId="2327" priority="1051">
      <formula>$E333=15</formula>
    </cfRule>
    <cfRule type="expression" dxfId="2326" priority="1052">
      <formula>$E333=14</formula>
    </cfRule>
    <cfRule type="expression" dxfId="2325" priority="1053">
      <formula>$E333=13</formula>
    </cfRule>
    <cfRule type="expression" dxfId="2324" priority="1054">
      <formula>$E333=12</formula>
    </cfRule>
  </conditionalFormatting>
  <conditionalFormatting sqref="L333:L340">
    <cfRule type="expression" dxfId="2323" priority="1038">
      <formula>$E333=10</formula>
    </cfRule>
    <cfRule type="expression" dxfId="2322" priority="1039">
      <formula>$E333=11</formula>
    </cfRule>
    <cfRule type="expression" dxfId="2321" priority="1040">
      <formula>$E333=18</formula>
    </cfRule>
    <cfRule type="expression" dxfId="2320" priority="1041">
      <formula>$E333=17</formula>
    </cfRule>
    <cfRule type="expression" dxfId="2319" priority="1042">
      <formula>$E333=16</formula>
    </cfRule>
    <cfRule type="expression" dxfId="2318" priority="1043">
      <formula>$E333=15</formula>
    </cfRule>
    <cfRule type="expression" dxfId="2317" priority="1044">
      <formula>$E333=14</formula>
    </cfRule>
    <cfRule type="expression" dxfId="2316" priority="1045">
      <formula>$E333=13</formula>
    </cfRule>
    <cfRule type="expression" dxfId="2315" priority="1046">
      <formula>$E333=12</formula>
    </cfRule>
  </conditionalFormatting>
  <conditionalFormatting sqref="K333:K340">
    <cfRule type="expression" dxfId="2314" priority="1030">
      <formula>$E333&lt;12</formula>
    </cfRule>
    <cfRule type="expression" dxfId="2313" priority="1031">
      <formula>$E333=18</formula>
    </cfRule>
    <cfRule type="expression" dxfId="2312" priority="1032">
      <formula>$E333=17</formula>
    </cfRule>
    <cfRule type="expression" dxfId="2311" priority="1033">
      <formula>$E333=16</formula>
    </cfRule>
    <cfRule type="expression" dxfId="2310" priority="1034">
      <formula>$E333=15</formula>
    </cfRule>
    <cfRule type="expression" dxfId="2309" priority="1035">
      <formula>$E333=14</formula>
    </cfRule>
    <cfRule type="expression" dxfId="2308" priority="1036">
      <formula>$E333=13</formula>
    </cfRule>
    <cfRule type="expression" dxfId="2307" priority="1037">
      <formula>$E333=12</formula>
    </cfRule>
  </conditionalFormatting>
  <conditionalFormatting sqref="K333:K340">
    <cfRule type="expression" dxfId="2306" priority="1021">
      <formula>$E333=10</formula>
    </cfRule>
    <cfRule type="expression" dxfId="2305" priority="1022">
      <formula>$E333=11</formula>
    </cfRule>
    <cfRule type="expression" dxfId="2304" priority="1023">
      <formula>$E333=18</formula>
    </cfRule>
    <cfRule type="expression" dxfId="2303" priority="1024">
      <formula>$E333=17</formula>
    </cfRule>
    <cfRule type="expression" dxfId="2302" priority="1025">
      <formula>$E333=16</formula>
    </cfRule>
    <cfRule type="expression" dxfId="2301" priority="1026">
      <formula>$E333=15</formula>
    </cfRule>
    <cfRule type="expression" dxfId="2300" priority="1027">
      <formula>$E333=14</formula>
    </cfRule>
    <cfRule type="expression" dxfId="2299" priority="1028">
      <formula>$E333=13</formula>
    </cfRule>
    <cfRule type="expression" dxfId="2298" priority="1029">
      <formula>$E333=12</formula>
    </cfRule>
  </conditionalFormatting>
  <conditionalFormatting sqref="K327:K332">
    <cfRule type="expression" dxfId="2297" priority="1081">
      <formula>$E327&lt;12</formula>
    </cfRule>
    <cfRule type="expression" dxfId="2296" priority="1082">
      <formula>$E327=18</formula>
    </cfRule>
    <cfRule type="expression" dxfId="2295" priority="1083">
      <formula>$E327=17</formula>
    </cfRule>
    <cfRule type="expression" dxfId="2294" priority="1084">
      <formula>$E327=16</formula>
    </cfRule>
    <cfRule type="expression" dxfId="2293" priority="1085">
      <formula>$E327=15</formula>
    </cfRule>
    <cfRule type="expression" dxfId="2292" priority="1086">
      <formula>$E327=14</formula>
    </cfRule>
    <cfRule type="expression" dxfId="2291" priority="1087">
      <formula>$E327=13</formula>
    </cfRule>
    <cfRule type="expression" dxfId="2290" priority="1088">
      <formula>$E327=12</formula>
    </cfRule>
  </conditionalFormatting>
  <conditionalFormatting sqref="K327:K332">
    <cfRule type="expression" dxfId="2289" priority="1072">
      <formula>$E327=10</formula>
    </cfRule>
    <cfRule type="expression" dxfId="2288" priority="1073">
      <formula>$E327=11</formula>
    </cfRule>
    <cfRule type="expression" dxfId="2287" priority="1074">
      <formula>$E327=18</formula>
    </cfRule>
    <cfRule type="expression" dxfId="2286" priority="1075">
      <formula>$E327=17</formula>
    </cfRule>
    <cfRule type="expression" dxfId="2285" priority="1076">
      <formula>$E327=16</formula>
    </cfRule>
    <cfRule type="expression" dxfId="2284" priority="1077">
      <formula>$E327=15</formula>
    </cfRule>
    <cfRule type="expression" dxfId="2283" priority="1078">
      <formula>$E327=14</formula>
    </cfRule>
    <cfRule type="expression" dxfId="2282" priority="1079">
      <formula>$E327=13</formula>
    </cfRule>
    <cfRule type="expression" dxfId="2281" priority="1080">
      <formula>$E327=12</formula>
    </cfRule>
  </conditionalFormatting>
  <conditionalFormatting sqref="J2:J3">
    <cfRule type="expression" dxfId="2280" priority="1013">
      <formula>$E2&lt;12</formula>
    </cfRule>
    <cfRule type="expression" dxfId="2279" priority="1014">
      <formula>$E2=18</formula>
    </cfRule>
    <cfRule type="expression" dxfId="2278" priority="1015">
      <formula>$E2=17</formula>
    </cfRule>
    <cfRule type="expression" dxfId="2277" priority="1016">
      <formula>$E2=16</formula>
    </cfRule>
    <cfRule type="expression" dxfId="2276" priority="1017">
      <formula>$E2=15</formula>
    </cfRule>
    <cfRule type="expression" dxfId="2275" priority="1018">
      <formula>$E2=14</formula>
    </cfRule>
    <cfRule type="expression" dxfId="2274" priority="1019">
      <formula>$E2=13</formula>
    </cfRule>
    <cfRule type="expression" dxfId="2273" priority="1020">
      <formula>$E2=12</formula>
    </cfRule>
  </conditionalFormatting>
  <conditionalFormatting sqref="J2:J3">
    <cfRule type="expression" dxfId="2272" priority="1004">
      <formula>$E2=10</formula>
    </cfRule>
    <cfRule type="expression" dxfId="2271" priority="1005">
      <formula>$E2=11</formula>
    </cfRule>
    <cfRule type="expression" dxfId="2270" priority="1006">
      <formula>$E2=18</formula>
    </cfRule>
    <cfRule type="expression" dxfId="2269" priority="1007">
      <formula>$E2=17</formula>
    </cfRule>
    <cfRule type="expression" dxfId="2268" priority="1008">
      <formula>$E2=16</formula>
    </cfRule>
    <cfRule type="expression" dxfId="2267" priority="1009">
      <formula>$E2=15</formula>
    </cfRule>
    <cfRule type="expression" dxfId="2266" priority="1010">
      <formula>$E2=14</formula>
    </cfRule>
    <cfRule type="expression" dxfId="2265" priority="1011">
      <formula>$E2=13</formula>
    </cfRule>
    <cfRule type="expression" dxfId="2264" priority="1012">
      <formula>$E2=12</formula>
    </cfRule>
  </conditionalFormatting>
  <conditionalFormatting sqref="L342:L353">
    <cfRule type="expression" dxfId="2263" priority="962">
      <formula>$E342&lt;12</formula>
    </cfRule>
    <cfRule type="expression" dxfId="2262" priority="963">
      <formula>$E342=18</formula>
    </cfRule>
    <cfRule type="expression" dxfId="2261" priority="964">
      <formula>$E342=17</formula>
    </cfRule>
    <cfRule type="expression" dxfId="2260" priority="965">
      <formula>$E342=16</formula>
    </cfRule>
    <cfRule type="expression" dxfId="2259" priority="966">
      <formula>$E342=15</formula>
    </cfRule>
    <cfRule type="expression" dxfId="2258" priority="967">
      <formula>$E342=14</formula>
    </cfRule>
    <cfRule type="expression" dxfId="2257" priority="968">
      <formula>$E342=13</formula>
    </cfRule>
    <cfRule type="expression" dxfId="2256" priority="969">
      <formula>$E342=12</formula>
    </cfRule>
  </conditionalFormatting>
  <conditionalFormatting sqref="L342:L353">
    <cfRule type="expression" dxfId="2255" priority="953">
      <formula>$E342=10</formula>
    </cfRule>
    <cfRule type="expression" dxfId="2254" priority="954">
      <formula>$E342=11</formula>
    </cfRule>
    <cfRule type="expression" dxfId="2253" priority="955">
      <formula>$E342=18</formula>
    </cfRule>
    <cfRule type="expression" dxfId="2252" priority="956">
      <formula>$E342=17</formula>
    </cfRule>
    <cfRule type="expression" dxfId="2251" priority="957">
      <formula>$E342=16</formula>
    </cfRule>
    <cfRule type="expression" dxfId="2250" priority="958">
      <formula>$E342=15</formula>
    </cfRule>
    <cfRule type="expression" dxfId="2249" priority="959">
      <formula>$E342=14</formula>
    </cfRule>
    <cfRule type="expression" dxfId="2248" priority="960">
      <formula>$E342=13</formula>
    </cfRule>
    <cfRule type="expression" dxfId="2247" priority="961">
      <formula>$E342=12</formula>
    </cfRule>
  </conditionalFormatting>
  <conditionalFormatting sqref="K342:K353">
    <cfRule type="expression" dxfId="2246" priority="945">
      <formula>$E342&lt;12</formula>
    </cfRule>
    <cfRule type="expression" dxfId="2245" priority="946">
      <formula>$E342=18</formula>
    </cfRule>
    <cfRule type="expression" dxfId="2244" priority="947">
      <formula>$E342=17</formula>
    </cfRule>
    <cfRule type="expression" dxfId="2243" priority="948">
      <formula>$E342=16</formula>
    </cfRule>
    <cfRule type="expression" dxfId="2242" priority="949">
      <formula>$E342=15</formula>
    </cfRule>
    <cfRule type="expression" dxfId="2241" priority="950">
      <formula>$E342=14</formula>
    </cfRule>
    <cfRule type="expression" dxfId="2240" priority="951">
      <formula>$E342=13</formula>
    </cfRule>
    <cfRule type="expression" dxfId="2239" priority="952">
      <formula>$E342=12</formula>
    </cfRule>
  </conditionalFormatting>
  <conditionalFormatting sqref="K342:K353">
    <cfRule type="expression" dxfId="2238" priority="936">
      <formula>$E342=10</formula>
    </cfRule>
    <cfRule type="expression" dxfId="2237" priority="937">
      <formula>$E342=11</formula>
    </cfRule>
    <cfRule type="expression" dxfId="2236" priority="938">
      <formula>$E342=18</formula>
    </cfRule>
    <cfRule type="expression" dxfId="2235" priority="939">
      <formula>$E342=17</formula>
    </cfRule>
    <cfRule type="expression" dxfId="2234" priority="940">
      <formula>$E342=16</formula>
    </cfRule>
    <cfRule type="expression" dxfId="2233" priority="941">
      <formula>$E342=15</formula>
    </cfRule>
    <cfRule type="expression" dxfId="2232" priority="942">
      <formula>$E342=14</formula>
    </cfRule>
    <cfRule type="expression" dxfId="2231" priority="943">
      <formula>$E342=13</formula>
    </cfRule>
    <cfRule type="expression" dxfId="2230" priority="944">
      <formula>$E342=12</formula>
    </cfRule>
  </conditionalFormatting>
  <conditionalFormatting sqref="M342:N353">
    <cfRule type="expression" dxfId="2229" priority="979">
      <formula>$E342&lt;12</formula>
    </cfRule>
    <cfRule type="expression" dxfId="2228" priority="980">
      <formula>$E342=18</formula>
    </cfRule>
    <cfRule type="expression" dxfId="2227" priority="981">
      <formula>$E342=17</formula>
    </cfRule>
    <cfRule type="expression" dxfId="2226" priority="982">
      <formula>$E342=16</formula>
    </cfRule>
    <cfRule type="expression" dxfId="2225" priority="983">
      <formula>$E342=15</formula>
    </cfRule>
    <cfRule type="expression" dxfId="2224" priority="984">
      <formula>$E342=14</formula>
    </cfRule>
    <cfRule type="expression" dxfId="2223" priority="985">
      <formula>$E342=13</formula>
    </cfRule>
    <cfRule type="expression" dxfId="2222" priority="986">
      <formula>$E342=12</formula>
    </cfRule>
  </conditionalFormatting>
  <conditionalFormatting sqref="M342:N353">
    <cfRule type="expression" dxfId="2221" priority="970">
      <formula>$E342=10</formula>
    </cfRule>
    <cfRule type="expression" dxfId="2220" priority="971">
      <formula>$E342=11</formula>
    </cfRule>
    <cfRule type="expression" dxfId="2219" priority="972">
      <formula>$E342=18</formula>
    </cfRule>
    <cfRule type="expression" dxfId="2218" priority="973">
      <formula>$E342=17</formula>
    </cfRule>
    <cfRule type="expression" dxfId="2217" priority="974">
      <formula>$E342=16</formula>
    </cfRule>
    <cfRule type="expression" dxfId="2216" priority="975">
      <formula>$E342=15</formula>
    </cfRule>
    <cfRule type="expression" dxfId="2215" priority="976">
      <formula>$E342=14</formula>
    </cfRule>
    <cfRule type="expression" dxfId="2214" priority="977">
      <formula>$E342=13</formula>
    </cfRule>
    <cfRule type="expression" dxfId="2213" priority="978">
      <formula>$E342=12</formula>
    </cfRule>
  </conditionalFormatting>
  <conditionalFormatting sqref="A342:J353">
    <cfRule type="expression" dxfId="2212" priority="996">
      <formula>$E342&lt;12</formula>
    </cfRule>
    <cfRule type="expression" dxfId="2211" priority="997">
      <formula>$E342=18</formula>
    </cfRule>
    <cfRule type="expression" dxfId="2210" priority="998">
      <formula>$E342=17</formula>
    </cfRule>
    <cfRule type="expression" dxfId="2209" priority="999">
      <formula>$E342=16</formula>
    </cfRule>
    <cfRule type="expression" dxfId="2208" priority="1000">
      <formula>$E342=15</formula>
    </cfRule>
    <cfRule type="expression" dxfId="2207" priority="1001">
      <formula>$E342=14</formula>
    </cfRule>
    <cfRule type="expression" dxfId="2206" priority="1002">
      <formula>$E342=13</formula>
    </cfRule>
    <cfRule type="expression" dxfId="2205" priority="1003">
      <formula>$E342=12</formula>
    </cfRule>
  </conditionalFormatting>
  <conditionalFormatting sqref="A342:J353">
    <cfRule type="expression" dxfId="2204" priority="987">
      <formula>$E342=10</formula>
    </cfRule>
    <cfRule type="expression" dxfId="2203" priority="988">
      <formula>$E342=11</formula>
    </cfRule>
    <cfRule type="expression" dxfId="2202" priority="989">
      <formula>$E342=18</formula>
    </cfRule>
    <cfRule type="expression" dxfId="2201" priority="990">
      <formula>$E342=17</formula>
    </cfRule>
    <cfRule type="expression" dxfId="2200" priority="991">
      <formula>$E342=16</formula>
    </cfRule>
    <cfRule type="expression" dxfId="2199" priority="992">
      <formula>$E342=15</formula>
    </cfRule>
    <cfRule type="expression" dxfId="2198" priority="993">
      <formula>$E342=14</formula>
    </cfRule>
    <cfRule type="expression" dxfId="2197" priority="994">
      <formula>$E342=13</formula>
    </cfRule>
    <cfRule type="expression" dxfId="2196" priority="995">
      <formula>$E342=12</formula>
    </cfRule>
  </conditionalFormatting>
  <conditionalFormatting sqref="A354:J354">
    <cfRule type="expression" dxfId="2195" priority="911">
      <formula>$E354&lt;12</formula>
    </cfRule>
    <cfRule type="expression" dxfId="2194" priority="912">
      <formula>$E354=18</formula>
    </cfRule>
    <cfRule type="expression" dxfId="2193" priority="913">
      <formula>$E354=17</formula>
    </cfRule>
    <cfRule type="expression" dxfId="2192" priority="914">
      <formula>$E354=16</formula>
    </cfRule>
    <cfRule type="expression" dxfId="2191" priority="915">
      <formula>$E354=15</formula>
    </cfRule>
    <cfRule type="expression" dxfId="2190" priority="916">
      <formula>$E354=14</formula>
    </cfRule>
    <cfRule type="expression" dxfId="2189" priority="917">
      <formula>$E354=13</formula>
    </cfRule>
    <cfRule type="expression" dxfId="2188" priority="918">
      <formula>$E354=12</formula>
    </cfRule>
  </conditionalFormatting>
  <conditionalFormatting sqref="A354:J354">
    <cfRule type="expression" dxfId="2187" priority="902">
      <formula>$E354=10</formula>
    </cfRule>
    <cfRule type="expression" dxfId="2186" priority="903">
      <formula>$E354=11</formula>
    </cfRule>
    <cfRule type="expression" dxfId="2185" priority="904">
      <formula>$E354=18</formula>
    </cfRule>
    <cfRule type="expression" dxfId="2184" priority="905">
      <formula>$E354=17</formula>
    </cfRule>
    <cfRule type="expression" dxfId="2183" priority="906">
      <formula>$E354=16</formula>
    </cfRule>
    <cfRule type="expression" dxfId="2182" priority="907">
      <formula>$E354=15</formula>
    </cfRule>
    <cfRule type="expression" dxfId="2181" priority="908">
      <formula>$E354=14</formula>
    </cfRule>
    <cfRule type="expression" dxfId="2180" priority="909">
      <formula>$E354=13</formula>
    </cfRule>
    <cfRule type="expression" dxfId="2179" priority="910">
      <formula>$E354=12</formula>
    </cfRule>
  </conditionalFormatting>
  <conditionalFormatting sqref="M354:N354">
    <cfRule type="expression" dxfId="2178" priority="894">
      <formula>$E354&lt;12</formula>
    </cfRule>
    <cfRule type="expression" dxfId="2177" priority="895">
      <formula>$E354=18</formula>
    </cfRule>
    <cfRule type="expression" dxfId="2176" priority="896">
      <formula>$E354=17</formula>
    </cfRule>
    <cfRule type="expression" dxfId="2175" priority="897">
      <formula>$E354=16</formula>
    </cfRule>
    <cfRule type="expression" dxfId="2174" priority="898">
      <formula>$E354=15</formula>
    </cfRule>
    <cfRule type="expression" dxfId="2173" priority="899">
      <formula>$E354=14</formula>
    </cfRule>
    <cfRule type="expression" dxfId="2172" priority="900">
      <formula>$E354=13</formula>
    </cfRule>
    <cfRule type="expression" dxfId="2171" priority="901">
      <formula>$E354=12</formula>
    </cfRule>
  </conditionalFormatting>
  <conditionalFormatting sqref="M354:N354">
    <cfRule type="expression" dxfId="2170" priority="885">
      <formula>$E354=10</formula>
    </cfRule>
    <cfRule type="expression" dxfId="2169" priority="886">
      <formula>$E354=11</formula>
    </cfRule>
    <cfRule type="expression" dxfId="2168" priority="887">
      <formula>$E354=18</formula>
    </cfRule>
    <cfRule type="expression" dxfId="2167" priority="888">
      <formula>$E354=17</formula>
    </cfRule>
    <cfRule type="expression" dxfId="2166" priority="889">
      <formula>$E354=16</formula>
    </cfRule>
    <cfRule type="expression" dxfId="2165" priority="890">
      <formula>$E354=15</formula>
    </cfRule>
    <cfRule type="expression" dxfId="2164" priority="891">
      <formula>$E354=14</formula>
    </cfRule>
    <cfRule type="expression" dxfId="2163" priority="892">
      <formula>$E354=13</formula>
    </cfRule>
    <cfRule type="expression" dxfId="2162" priority="893">
      <formula>$E354=12</formula>
    </cfRule>
  </conditionalFormatting>
  <conditionalFormatting sqref="L354">
    <cfRule type="expression" dxfId="2161" priority="877">
      <formula>$E354&lt;12</formula>
    </cfRule>
    <cfRule type="expression" dxfId="2160" priority="878">
      <formula>$E354=18</formula>
    </cfRule>
    <cfRule type="expression" dxfId="2159" priority="879">
      <formula>$E354=17</formula>
    </cfRule>
    <cfRule type="expression" dxfId="2158" priority="880">
      <formula>$E354=16</formula>
    </cfRule>
    <cfRule type="expression" dxfId="2157" priority="881">
      <formula>$E354=15</formula>
    </cfRule>
    <cfRule type="expression" dxfId="2156" priority="882">
      <formula>$E354=14</formula>
    </cfRule>
    <cfRule type="expression" dxfId="2155" priority="883">
      <formula>$E354=13</formula>
    </cfRule>
    <cfRule type="expression" dxfId="2154" priority="884">
      <formula>$E354=12</formula>
    </cfRule>
  </conditionalFormatting>
  <conditionalFormatting sqref="L354">
    <cfRule type="expression" dxfId="2153" priority="868">
      <formula>$E354=10</formula>
    </cfRule>
    <cfRule type="expression" dxfId="2152" priority="869">
      <formula>$E354=11</formula>
    </cfRule>
    <cfRule type="expression" dxfId="2151" priority="870">
      <formula>$E354=18</formula>
    </cfRule>
    <cfRule type="expression" dxfId="2150" priority="871">
      <formula>$E354=17</formula>
    </cfRule>
    <cfRule type="expression" dxfId="2149" priority="872">
      <formula>$E354=16</formula>
    </cfRule>
    <cfRule type="expression" dxfId="2148" priority="873">
      <formula>$E354=15</formula>
    </cfRule>
    <cfRule type="expression" dxfId="2147" priority="874">
      <formula>$E354=14</formula>
    </cfRule>
    <cfRule type="expression" dxfId="2146" priority="875">
      <formula>$E354=13</formula>
    </cfRule>
    <cfRule type="expression" dxfId="2145" priority="876">
      <formula>$E354=12</formula>
    </cfRule>
  </conditionalFormatting>
  <conditionalFormatting sqref="L147">
    <cfRule type="expression" dxfId="2144" priority="928">
      <formula>$E147&lt;12</formula>
    </cfRule>
    <cfRule type="expression" dxfId="2143" priority="929">
      <formula>$E147=18</formula>
    </cfRule>
    <cfRule type="expression" dxfId="2142" priority="930">
      <formula>$E147=17</formula>
    </cfRule>
    <cfRule type="expression" dxfId="2141" priority="931">
      <formula>$E147=16</formula>
    </cfRule>
    <cfRule type="expression" dxfId="2140" priority="932">
      <formula>$E147=15</formula>
    </cfRule>
    <cfRule type="expression" dxfId="2139" priority="933">
      <formula>$E147=14</formula>
    </cfRule>
    <cfRule type="expression" dxfId="2138" priority="934">
      <formula>$E147=13</formula>
    </cfRule>
    <cfRule type="expression" dxfId="2137" priority="935">
      <formula>$E147=12</formula>
    </cfRule>
  </conditionalFormatting>
  <conditionalFormatting sqref="L147">
    <cfRule type="expression" dxfId="2136" priority="919">
      <formula>$E147=10</formula>
    </cfRule>
    <cfRule type="expression" dxfId="2135" priority="920">
      <formula>$E147=11</formula>
    </cfRule>
    <cfRule type="expression" dxfId="2134" priority="921">
      <formula>$E147=18</formula>
    </cfRule>
    <cfRule type="expression" dxfId="2133" priority="922">
      <formula>$E147=17</formula>
    </cfRule>
    <cfRule type="expression" dxfId="2132" priority="923">
      <formula>$E147=16</formula>
    </cfRule>
    <cfRule type="expression" dxfId="2131" priority="924">
      <formula>$E147=15</formula>
    </cfRule>
    <cfRule type="expression" dxfId="2130" priority="925">
      <formula>$E147=14</formula>
    </cfRule>
    <cfRule type="expression" dxfId="2129" priority="926">
      <formula>$E147=13</formula>
    </cfRule>
    <cfRule type="expression" dxfId="2128" priority="927">
      <formula>$E147=12</formula>
    </cfRule>
  </conditionalFormatting>
  <conditionalFormatting sqref="K354">
    <cfRule type="expression" dxfId="2127" priority="860">
      <formula>$E354&lt;12</formula>
    </cfRule>
    <cfRule type="expression" dxfId="2126" priority="861">
      <formula>$E354=18</formula>
    </cfRule>
    <cfRule type="expression" dxfId="2125" priority="862">
      <formula>$E354=17</formula>
    </cfRule>
    <cfRule type="expression" dxfId="2124" priority="863">
      <formula>$E354=16</formula>
    </cfRule>
    <cfRule type="expression" dxfId="2123" priority="864">
      <formula>$E354=15</formula>
    </cfRule>
    <cfRule type="expression" dxfId="2122" priority="865">
      <formula>$E354=14</formula>
    </cfRule>
    <cfRule type="expression" dxfId="2121" priority="866">
      <formula>$E354=13</formula>
    </cfRule>
    <cfRule type="expression" dxfId="2120" priority="867">
      <formula>$E354=12</formula>
    </cfRule>
  </conditionalFormatting>
  <conditionalFormatting sqref="K354">
    <cfRule type="expression" dxfId="2119" priority="851">
      <formula>$E354=10</formula>
    </cfRule>
    <cfRule type="expression" dxfId="2118" priority="852">
      <formula>$E354=11</formula>
    </cfRule>
    <cfRule type="expression" dxfId="2117" priority="853">
      <formula>$E354=18</formula>
    </cfRule>
    <cfRule type="expression" dxfId="2116" priority="854">
      <formula>$E354=17</formula>
    </cfRule>
    <cfRule type="expression" dxfId="2115" priority="855">
      <formula>$E354=16</formula>
    </cfRule>
    <cfRule type="expression" dxfId="2114" priority="856">
      <formula>$E354=15</formula>
    </cfRule>
    <cfRule type="expression" dxfId="2113" priority="857">
      <formula>$E354=14</formula>
    </cfRule>
    <cfRule type="expression" dxfId="2112" priority="858">
      <formula>$E354=13</formula>
    </cfRule>
    <cfRule type="expression" dxfId="2111" priority="859">
      <formula>$E354=12</formula>
    </cfRule>
  </conditionalFormatting>
  <conditionalFormatting sqref="A356:J358">
    <cfRule type="expression" dxfId="2110" priority="843">
      <formula>$E356&lt;12</formula>
    </cfRule>
    <cfRule type="expression" dxfId="2109" priority="844">
      <formula>$E356=18</formula>
    </cfRule>
    <cfRule type="expression" dxfId="2108" priority="845">
      <formula>$E356=17</formula>
    </cfRule>
    <cfRule type="expression" dxfId="2107" priority="846">
      <formula>$E356=16</formula>
    </cfRule>
    <cfRule type="expression" dxfId="2106" priority="847">
      <formula>$E356=15</formula>
    </cfRule>
    <cfRule type="expression" dxfId="2105" priority="848">
      <formula>$E356=14</formula>
    </cfRule>
    <cfRule type="expression" dxfId="2104" priority="849">
      <formula>$E356=13</formula>
    </cfRule>
    <cfRule type="expression" dxfId="2103" priority="850">
      <formula>$E356=12</formula>
    </cfRule>
  </conditionalFormatting>
  <conditionalFormatting sqref="A356:J358">
    <cfRule type="expression" dxfId="2102" priority="834">
      <formula>$E356=10</formula>
    </cfRule>
    <cfRule type="expression" dxfId="2101" priority="835">
      <formula>$E356=11</formula>
    </cfRule>
    <cfRule type="expression" dxfId="2100" priority="836">
      <formula>$E356=18</formula>
    </cfRule>
    <cfRule type="expression" dxfId="2099" priority="837">
      <formula>$E356=17</formula>
    </cfRule>
    <cfRule type="expression" dxfId="2098" priority="838">
      <formula>$E356=16</formula>
    </cfRule>
    <cfRule type="expression" dxfId="2097" priority="839">
      <formula>$E356=15</formula>
    </cfRule>
    <cfRule type="expression" dxfId="2096" priority="840">
      <formula>$E356=14</formula>
    </cfRule>
    <cfRule type="expression" dxfId="2095" priority="841">
      <formula>$E356=13</formula>
    </cfRule>
    <cfRule type="expression" dxfId="2094" priority="842">
      <formula>$E356=12</formula>
    </cfRule>
  </conditionalFormatting>
  <conditionalFormatting sqref="M356:N358">
    <cfRule type="expression" dxfId="2093" priority="826">
      <formula>$E356&lt;12</formula>
    </cfRule>
    <cfRule type="expression" dxfId="2092" priority="827">
      <formula>$E356=18</formula>
    </cfRule>
    <cfRule type="expression" dxfId="2091" priority="828">
      <formula>$E356=17</formula>
    </cfRule>
    <cfRule type="expression" dxfId="2090" priority="829">
      <formula>$E356=16</formula>
    </cfRule>
    <cfRule type="expression" dxfId="2089" priority="830">
      <formula>$E356=15</formula>
    </cfRule>
    <cfRule type="expression" dxfId="2088" priority="831">
      <formula>$E356=14</formula>
    </cfRule>
    <cfRule type="expression" dxfId="2087" priority="832">
      <formula>$E356=13</formula>
    </cfRule>
    <cfRule type="expression" dxfId="2086" priority="833">
      <formula>$E356=12</formula>
    </cfRule>
  </conditionalFormatting>
  <conditionalFormatting sqref="M356:N358">
    <cfRule type="expression" dxfId="2085" priority="817">
      <formula>$E356=10</formula>
    </cfRule>
    <cfRule type="expression" dxfId="2084" priority="818">
      <formula>$E356=11</formula>
    </cfRule>
    <cfRule type="expression" dxfId="2083" priority="819">
      <formula>$E356=18</formula>
    </cfRule>
    <cfRule type="expression" dxfId="2082" priority="820">
      <formula>$E356=17</formula>
    </cfRule>
    <cfRule type="expression" dxfId="2081" priority="821">
      <formula>$E356=16</formula>
    </cfRule>
    <cfRule type="expression" dxfId="2080" priority="822">
      <formula>$E356=15</formula>
    </cfRule>
    <cfRule type="expression" dxfId="2079" priority="823">
      <formula>$E356=14</formula>
    </cfRule>
    <cfRule type="expression" dxfId="2078" priority="824">
      <formula>$E356=13</formula>
    </cfRule>
    <cfRule type="expression" dxfId="2077" priority="825">
      <formula>$E356=12</formula>
    </cfRule>
  </conditionalFormatting>
  <conditionalFormatting sqref="L356:L358">
    <cfRule type="expression" dxfId="2076" priority="809">
      <formula>$E356&lt;12</formula>
    </cfRule>
    <cfRule type="expression" dxfId="2075" priority="810">
      <formula>$E356=18</formula>
    </cfRule>
    <cfRule type="expression" dxfId="2074" priority="811">
      <formula>$E356=17</formula>
    </cfRule>
    <cfRule type="expression" dxfId="2073" priority="812">
      <formula>$E356=16</formula>
    </cfRule>
    <cfRule type="expression" dxfId="2072" priority="813">
      <formula>$E356=15</formula>
    </cfRule>
    <cfRule type="expression" dxfId="2071" priority="814">
      <formula>$E356=14</formula>
    </cfRule>
    <cfRule type="expression" dxfId="2070" priority="815">
      <formula>$E356=13</formula>
    </cfRule>
    <cfRule type="expression" dxfId="2069" priority="816">
      <formula>$E356=12</formula>
    </cfRule>
  </conditionalFormatting>
  <conditionalFormatting sqref="L356:L358">
    <cfRule type="expression" dxfId="2068" priority="800">
      <formula>$E356=10</formula>
    </cfRule>
    <cfRule type="expression" dxfId="2067" priority="801">
      <formula>$E356=11</formula>
    </cfRule>
    <cfRule type="expression" dxfId="2066" priority="802">
      <formula>$E356=18</formula>
    </cfRule>
    <cfRule type="expression" dxfId="2065" priority="803">
      <formula>$E356=17</formula>
    </cfRule>
    <cfRule type="expression" dxfId="2064" priority="804">
      <formula>$E356=16</formula>
    </cfRule>
    <cfRule type="expression" dxfId="2063" priority="805">
      <formula>$E356=15</formula>
    </cfRule>
    <cfRule type="expression" dxfId="2062" priority="806">
      <formula>$E356=14</formula>
    </cfRule>
    <cfRule type="expression" dxfId="2061" priority="807">
      <formula>$E356=13</formula>
    </cfRule>
    <cfRule type="expression" dxfId="2060" priority="808">
      <formula>$E356=12</formula>
    </cfRule>
  </conditionalFormatting>
  <conditionalFormatting sqref="K356:K358">
    <cfRule type="expression" dxfId="2059" priority="792">
      <formula>$E356&lt;12</formula>
    </cfRule>
    <cfRule type="expression" dxfId="2058" priority="793">
      <formula>$E356=18</formula>
    </cfRule>
    <cfRule type="expression" dxfId="2057" priority="794">
      <formula>$E356=17</formula>
    </cfRule>
    <cfRule type="expression" dxfId="2056" priority="795">
      <formula>$E356=16</formula>
    </cfRule>
    <cfRule type="expression" dxfId="2055" priority="796">
      <formula>$E356=15</formula>
    </cfRule>
    <cfRule type="expression" dxfId="2054" priority="797">
      <formula>$E356=14</formula>
    </cfRule>
    <cfRule type="expression" dxfId="2053" priority="798">
      <formula>$E356=13</formula>
    </cfRule>
    <cfRule type="expression" dxfId="2052" priority="799">
      <formula>$E356=12</formula>
    </cfRule>
  </conditionalFormatting>
  <conditionalFormatting sqref="K356:K358">
    <cfRule type="expression" dxfId="2051" priority="783">
      <formula>$E356=10</formula>
    </cfRule>
    <cfRule type="expression" dxfId="2050" priority="784">
      <formula>$E356=11</formula>
    </cfRule>
    <cfRule type="expression" dxfId="2049" priority="785">
      <formula>$E356=18</formula>
    </cfRule>
    <cfRule type="expression" dxfId="2048" priority="786">
      <formula>$E356=17</formula>
    </cfRule>
    <cfRule type="expression" dxfId="2047" priority="787">
      <formula>$E356=16</formula>
    </cfRule>
    <cfRule type="expression" dxfId="2046" priority="788">
      <formula>$E356=15</formula>
    </cfRule>
    <cfRule type="expression" dxfId="2045" priority="789">
      <formula>$E356=14</formula>
    </cfRule>
    <cfRule type="expression" dxfId="2044" priority="790">
      <formula>$E356=13</formula>
    </cfRule>
    <cfRule type="expression" dxfId="2043" priority="791">
      <formula>$E356=12</formula>
    </cfRule>
  </conditionalFormatting>
  <conditionalFormatting sqref="G1:I1">
    <cfRule type="containsText" dxfId="2042" priority="1293" operator="containsText" text="CSRA">
      <formula>NOT(ISERROR(SEARCH("CSRA",G1)))</formula>
    </cfRule>
  </conditionalFormatting>
  <conditionalFormatting sqref="A360:B363 G360:J363">
    <cfRule type="expression" dxfId="2041" priority="775">
      <formula>$E360&lt;12</formula>
    </cfRule>
    <cfRule type="expression" dxfId="2040" priority="776">
      <formula>$E360=18</formula>
    </cfRule>
    <cfRule type="expression" dxfId="2039" priority="777">
      <formula>$E360=17</formula>
    </cfRule>
    <cfRule type="expression" dxfId="2038" priority="778">
      <formula>$E360=16</formula>
    </cfRule>
    <cfRule type="expression" dxfId="2037" priority="779">
      <formula>$E360=15</formula>
    </cfRule>
    <cfRule type="expression" dxfId="2036" priority="780">
      <formula>$E360=14</formula>
    </cfRule>
    <cfRule type="expression" dxfId="2035" priority="781">
      <formula>$E360=13</formula>
    </cfRule>
    <cfRule type="expression" dxfId="2034" priority="782">
      <formula>$E360=12</formula>
    </cfRule>
  </conditionalFormatting>
  <conditionalFormatting sqref="A360:B363 G360:J363">
    <cfRule type="expression" dxfId="2033" priority="766">
      <formula>$E360=10</formula>
    </cfRule>
    <cfRule type="expression" dxfId="2032" priority="767">
      <formula>$E360=11</formula>
    </cfRule>
    <cfRule type="expression" dxfId="2031" priority="768">
      <formula>$E360=18</formula>
    </cfRule>
    <cfRule type="expression" dxfId="2030" priority="769">
      <formula>$E360=17</formula>
    </cfRule>
    <cfRule type="expression" dxfId="2029" priority="770">
      <formula>$E360=16</formula>
    </cfRule>
    <cfRule type="expression" dxfId="2028" priority="771">
      <formula>$E360=15</formula>
    </cfRule>
    <cfRule type="expression" dxfId="2027" priority="772">
      <formula>$E360=14</formula>
    </cfRule>
    <cfRule type="expression" dxfId="2026" priority="773">
      <formula>$E360=13</formula>
    </cfRule>
    <cfRule type="expression" dxfId="2025" priority="774">
      <formula>$E360=12</formula>
    </cfRule>
  </conditionalFormatting>
  <conditionalFormatting sqref="M360:N363">
    <cfRule type="expression" dxfId="2024" priority="758">
      <formula>$E360&lt;12</formula>
    </cfRule>
    <cfRule type="expression" dxfId="2023" priority="759">
      <formula>$E360=18</formula>
    </cfRule>
    <cfRule type="expression" dxfId="2022" priority="760">
      <formula>$E360=17</formula>
    </cfRule>
    <cfRule type="expression" dxfId="2021" priority="761">
      <formula>$E360=16</formula>
    </cfRule>
    <cfRule type="expression" dxfId="2020" priority="762">
      <formula>$E360=15</formula>
    </cfRule>
    <cfRule type="expression" dxfId="2019" priority="763">
      <formula>$E360=14</formula>
    </cfRule>
    <cfRule type="expression" dxfId="2018" priority="764">
      <formula>$E360=13</formula>
    </cfRule>
    <cfRule type="expression" dxfId="2017" priority="765">
      <formula>$E360=12</formula>
    </cfRule>
  </conditionalFormatting>
  <conditionalFormatting sqref="M360:N363">
    <cfRule type="expression" dxfId="2016" priority="749">
      <formula>$E360=10</formula>
    </cfRule>
    <cfRule type="expression" dxfId="2015" priority="750">
      <formula>$E360=11</formula>
    </cfRule>
    <cfRule type="expression" dxfId="2014" priority="751">
      <formula>$E360=18</formula>
    </cfRule>
    <cfRule type="expression" dxfId="2013" priority="752">
      <formula>$E360=17</formula>
    </cfRule>
    <cfRule type="expression" dxfId="2012" priority="753">
      <formula>$E360=16</formula>
    </cfRule>
    <cfRule type="expression" dxfId="2011" priority="754">
      <formula>$E360=15</formula>
    </cfRule>
    <cfRule type="expression" dxfId="2010" priority="755">
      <formula>$E360=14</formula>
    </cfRule>
    <cfRule type="expression" dxfId="2009" priority="756">
      <formula>$E360=13</formula>
    </cfRule>
    <cfRule type="expression" dxfId="2008" priority="757">
      <formula>$E360=12</formula>
    </cfRule>
  </conditionalFormatting>
  <conditionalFormatting sqref="L360:L363">
    <cfRule type="expression" dxfId="2007" priority="741">
      <formula>$E360&lt;12</formula>
    </cfRule>
    <cfRule type="expression" dxfId="2006" priority="742">
      <formula>$E360=18</formula>
    </cfRule>
    <cfRule type="expression" dxfId="2005" priority="743">
      <formula>$E360=17</formula>
    </cfRule>
    <cfRule type="expression" dxfId="2004" priority="744">
      <formula>$E360=16</formula>
    </cfRule>
    <cfRule type="expression" dxfId="2003" priority="745">
      <formula>$E360=15</formula>
    </cfRule>
    <cfRule type="expression" dxfId="2002" priority="746">
      <formula>$E360=14</formula>
    </cfRule>
    <cfRule type="expression" dxfId="2001" priority="747">
      <formula>$E360=13</formula>
    </cfRule>
    <cfRule type="expression" dxfId="2000" priority="748">
      <formula>$E360=12</formula>
    </cfRule>
  </conditionalFormatting>
  <conditionalFormatting sqref="L360:L363">
    <cfRule type="expression" dxfId="1999" priority="732">
      <formula>$E360=10</formula>
    </cfRule>
    <cfRule type="expression" dxfId="1998" priority="733">
      <formula>$E360=11</formula>
    </cfRule>
    <cfRule type="expression" dxfId="1997" priority="734">
      <formula>$E360=18</formula>
    </cfRule>
    <cfRule type="expression" dxfId="1996" priority="735">
      <formula>$E360=17</formula>
    </cfRule>
    <cfRule type="expression" dxfId="1995" priority="736">
      <formula>$E360=16</formula>
    </cfRule>
    <cfRule type="expression" dxfId="1994" priority="737">
      <formula>$E360=15</formula>
    </cfRule>
    <cfRule type="expression" dxfId="1993" priority="738">
      <formula>$E360=14</formula>
    </cfRule>
    <cfRule type="expression" dxfId="1992" priority="739">
      <formula>$E360=13</formula>
    </cfRule>
    <cfRule type="expression" dxfId="1991" priority="740">
      <formula>$E360=12</formula>
    </cfRule>
  </conditionalFormatting>
  <conditionalFormatting sqref="K360:K363">
    <cfRule type="expression" dxfId="1990" priority="724">
      <formula>$E360&lt;12</formula>
    </cfRule>
    <cfRule type="expression" dxfId="1989" priority="725">
      <formula>$E360=18</formula>
    </cfRule>
    <cfRule type="expression" dxfId="1988" priority="726">
      <formula>$E360=17</formula>
    </cfRule>
    <cfRule type="expression" dxfId="1987" priority="727">
      <formula>$E360=16</formula>
    </cfRule>
    <cfRule type="expression" dxfId="1986" priority="728">
      <formula>$E360=15</formula>
    </cfRule>
    <cfRule type="expression" dxfId="1985" priority="729">
      <formula>$E360=14</formula>
    </cfRule>
    <cfRule type="expression" dxfId="1984" priority="730">
      <formula>$E360=13</formula>
    </cfRule>
    <cfRule type="expression" dxfId="1983" priority="731">
      <formula>$E360=12</formula>
    </cfRule>
  </conditionalFormatting>
  <conditionalFormatting sqref="K360:K363">
    <cfRule type="expression" dxfId="1982" priority="715">
      <formula>$E360=10</formula>
    </cfRule>
    <cfRule type="expression" dxfId="1981" priority="716">
      <formula>$E360=11</formula>
    </cfRule>
    <cfRule type="expression" dxfId="1980" priority="717">
      <formula>$E360=18</formula>
    </cfRule>
    <cfRule type="expression" dxfId="1979" priority="718">
      <formula>$E360=17</formula>
    </cfRule>
    <cfRule type="expression" dxfId="1978" priority="719">
      <formula>$E360=16</formula>
    </cfRule>
    <cfRule type="expression" dxfId="1977" priority="720">
      <formula>$E360=15</formula>
    </cfRule>
    <cfRule type="expression" dxfId="1976" priority="721">
      <formula>$E360=14</formula>
    </cfRule>
    <cfRule type="expression" dxfId="1975" priority="722">
      <formula>$E360=13</formula>
    </cfRule>
    <cfRule type="expression" dxfId="1974" priority="723">
      <formula>$E360=12</formula>
    </cfRule>
  </conditionalFormatting>
  <conditionalFormatting sqref="C360:F363">
    <cfRule type="expression" dxfId="1973" priority="707">
      <formula>$E360&lt;12</formula>
    </cfRule>
    <cfRule type="expression" dxfId="1972" priority="708">
      <formula>$E360=18</formula>
    </cfRule>
    <cfRule type="expression" dxfId="1971" priority="709">
      <formula>$E360=17</formula>
    </cfRule>
    <cfRule type="expression" dxfId="1970" priority="710">
      <formula>$E360=16</formula>
    </cfRule>
    <cfRule type="expression" dxfId="1969" priority="711">
      <formula>$E360=15</formula>
    </cfRule>
    <cfRule type="expression" dxfId="1968" priority="712">
      <formula>$E360=14</formula>
    </cfRule>
    <cfRule type="expression" dxfId="1967" priority="713">
      <formula>$E360=13</formula>
    </cfRule>
    <cfRule type="expression" dxfId="1966" priority="714">
      <formula>$E360=12</formula>
    </cfRule>
  </conditionalFormatting>
  <conditionalFormatting sqref="C360:F363">
    <cfRule type="expression" dxfId="1965" priority="698">
      <formula>$E360=10</formula>
    </cfRule>
    <cfRule type="expression" dxfId="1964" priority="699">
      <formula>$E360=11</formula>
    </cfRule>
    <cfRule type="expression" dxfId="1963" priority="700">
      <formula>$E360=18</formula>
    </cfRule>
    <cfRule type="expression" dxfId="1962" priority="701">
      <formula>$E360=17</formula>
    </cfRule>
    <cfRule type="expression" dxfId="1961" priority="702">
      <formula>$E360=16</formula>
    </cfRule>
    <cfRule type="expression" dxfId="1960" priority="703">
      <formula>$E360=15</formula>
    </cfRule>
    <cfRule type="expression" dxfId="1959" priority="704">
      <formula>$E360=14</formula>
    </cfRule>
    <cfRule type="expression" dxfId="1958" priority="705">
      <formula>$E360=13</formula>
    </cfRule>
    <cfRule type="expression" dxfId="1957" priority="706">
      <formula>$E360=12</formula>
    </cfRule>
  </conditionalFormatting>
  <conditionalFormatting sqref="A364:B383 G364:J383">
    <cfRule type="expression" dxfId="1956" priority="333">
      <formula>$E364&lt;12</formula>
    </cfRule>
    <cfRule type="expression" dxfId="1955" priority="334">
      <formula>$E364=18</formula>
    </cfRule>
    <cfRule type="expression" dxfId="1954" priority="335">
      <formula>$E364=17</formula>
    </cfRule>
    <cfRule type="expression" dxfId="1953" priority="336">
      <formula>$E364=16</formula>
    </cfRule>
    <cfRule type="expression" dxfId="1952" priority="337">
      <formula>$E364=15</formula>
    </cfRule>
    <cfRule type="expression" dxfId="1951" priority="338">
      <formula>$E364=14</formula>
    </cfRule>
    <cfRule type="expression" dxfId="1950" priority="339">
      <formula>$E364=13</formula>
    </cfRule>
    <cfRule type="expression" dxfId="1949" priority="340">
      <formula>$E364=12</formula>
    </cfRule>
  </conditionalFormatting>
  <conditionalFormatting sqref="A364:B383 G364:J383">
    <cfRule type="expression" dxfId="1948" priority="324">
      <formula>$E364=10</formula>
    </cfRule>
    <cfRule type="expression" dxfId="1947" priority="325">
      <formula>$E364=11</formula>
    </cfRule>
    <cfRule type="expression" dxfId="1946" priority="326">
      <formula>$E364=18</formula>
    </cfRule>
    <cfRule type="expression" dxfId="1945" priority="327">
      <formula>$E364=17</formula>
    </cfRule>
    <cfRule type="expression" dxfId="1944" priority="328">
      <formula>$E364=16</formula>
    </cfRule>
    <cfRule type="expression" dxfId="1943" priority="329">
      <formula>$E364=15</formula>
    </cfRule>
    <cfRule type="expression" dxfId="1942" priority="330">
      <formula>$E364=14</formula>
    </cfRule>
    <cfRule type="expression" dxfId="1941" priority="331">
      <formula>$E364=13</formula>
    </cfRule>
    <cfRule type="expression" dxfId="1940" priority="332">
      <formula>$E364=12</formula>
    </cfRule>
  </conditionalFormatting>
  <conditionalFormatting sqref="M364:N383">
    <cfRule type="expression" dxfId="1939" priority="316">
      <formula>$E364&lt;12</formula>
    </cfRule>
    <cfRule type="expression" dxfId="1938" priority="317">
      <formula>$E364=18</formula>
    </cfRule>
    <cfRule type="expression" dxfId="1937" priority="318">
      <formula>$E364=17</formula>
    </cfRule>
    <cfRule type="expression" dxfId="1936" priority="319">
      <formula>$E364=16</formula>
    </cfRule>
    <cfRule type="expression" dxfId="1935" priority="320">
      <formula>$E364=15</formula>
    </cfRule>
    <cfRule type="expression" dxfId="1934" priority="321">
      <formula>$E364=14</formula>
    </cfRule>
    <cfRule type="expression" dxfId="1933" priority="322">
      <formula>$E364=13</formula>
    </cfRule>
    <cfRule type="expression" dxfId="1932" priority="323">
      <formula>$E364=12</formula>
    </cfRule>
  </conditionalFormatting>
  <conditionalFormatting sqref="M364:N383">
    <cfRule type="expression" dxfId="1931" priority="307">
      <formula>$E364=10</formula>
    </cfRule>
    <cfRule type="expression" dxfId="1930" priority="308">
      <formula>$E364=11</formula>
    </cfRule>
    <cfRule type="expression" dxfId="1929" priority="309">
      <formula>$E364=18</formula>
    </cfRule>
    <cfRule type="expression" dxfId="1928" priority="310">
      <formula>$E364=17</formula>
    </cfRule>
    <cfRule type="expression" dxfId="1927" priority="311">
      <formula>$E364=16</formula>
    </cfRule>
    <cfRule type="expression" dxfId="1926" priority="312">
      <formula>$E364=15</formula>
    </cfRule>
    <cfRule type="expression" dxfId="1925" priority="313">
      <formula>$E364=14</formula>
    </cfRule>
    <cfRule type="expression" dxfId="1924" priority="314">
      <formula>$E364=13</formula>
    </cfRule>
    <cfRule type="expression" dxfId="1923" priority="315">
      <formula>$E364=12</formula>
    </cfRule>
  </conditionalFormatting>
  <conditionalFormatting sqref="L364:L383">
    <cfRule type="expression" dxfId="1922" priority="299">
      <formula>$E364&lt;12</formula>
    </cfRule>
    <cfRule type="expression" dxfId="1921" priority="300">
      <formula>$E364=18</formula>
    </cfRule>
    <cfRule type="expression" dxfId="1920" priority="301">
      <formula>$E364=17</formula>
    </cfRule>
    <cfRule type="expression" dxfId="1919" priority="302">
      <formula>$E364=16</formula>
    </cfRule>
    <cfRule type="expression" dxfId="1918" priority="303">
      <formula>$E364=15</formula>
    </cfRule>
    <cfRule type="expression" dxfId="1917" priority="304">
      <formula>$E364=14</formula>
    </cfRule>
    <cfRule type="expression" dxfId="1916" priority="305">
      <formula>$E364=13</formula>
    </cfRule>
    <cfRule type="expression" dxfId="1915" priority="306">
      <formula>$E364=12</formula>
    </cfRule>
  </conditionalFormatting>
  <conditionalFormatting sqref="L364:L383">
    <cfRule type="expression" dxfId="1914" priority="290">
      <formula>$E364=10</formula>
    </cfRule>
    <cfRule type="expression" dxfId="1913" priority="291">
      <formula>$E364=11</formula>
    </cfRule>
    <cfRule type="expression" dxfId="1912" priority="292">
      <formula>$E364=18</formula>
    </cfRule>
    <cfRule type="expression" dxfId="1911" priority="293">
      <formula>$E364=17</formula>
    </cfRule>
    <cfRule type="expression" dxfId="1910" priority="294">
      <formula>$E364=16</formula>
    </cfRule>
    <cfRule type="expression" dxfId="1909" priority="295">
      <formula>$E364=15</formula>
    </cfRule>
    <cfRule type="expression" dxfId="1908" priority="296">
      <formula>$E364=14</formula>
    </cfRule>
    <cfRule type="expression" dxfId="1907" priority="297">
      <formula>$E364=13</formula>
    </cfRule>
    <cfRule type="expression" dxfId="1906" priority="298">
      <formula>$E364=12</formula>
    </cfRule>
  </conditionalFormatting>
  <conditionalFormatting sqref="K364:K383">
    <cfRule type="expression" dxfId="1905" priority="282">
      <formula>$E364&lt;12</formula>
    </cfRule>
    <cfRule type="expression" dxfId="1904" priority="283">
      <formula>$E364=18</formula>
    </cfRule>
    <cfRule type="expression" dxfId="1903" priority="284">
      <formula>$E364=17</formula>
    </cfRule>
    <cfRule type="expression" dxfId="1902" priority="285">
      <formula>$E364=16</formula>
    </cfRule>
    <cfRule type="expression" dxfId="1901" priority="286">
      <formula>$E364=15</formula>
    </cfRule>
    <cfRule type="expression" dxfId="1900" priority="287">
      <formula>$E364=14</formula>
    </cfRule>
    <cfRule type="expression" dxfId="1899" priority="288">
      <formula>$E364=13</formula>
    </cfRule>
    <cfRule type="expression" dxfId="1898" priority="289">
      <formula>$E364=12</formula>
    </cfRule>
  </conditionalFormatting>
  <conditionalFormatting sqref="K364:K383">
    <cfRule type="expression" dxfId="1897" priority="273">
      <formula>$E364=10</formula>
    </cfRule>
    <cfRule type="expression" dxfId="1896" priority="274">
      <formula>$E364=11</formula>
    </cfRule>
    <cfRule type="expression" dxfId="1895" priority="275">
      <formula>$E364=18</formula>
    </cfRule>
    <cfRule type="expression" dxfId="1894" priority="276">
      <formula>$E364=17</formula>
    </cfRule>
    <cfRule type="expression" dxfId="1893" priority="277">
      <formula>$E364=16</formula>
    </cfRule>
    <cfRule type="expression" dxfId="1892" priority="278">
      <formula>$E364=15</formula>
    </cfRule>
    <cfRule type="expression" dxfId="1891" priority="279">
      <formula>$E364=14</formula>
    </cfRule>
    <cfRule type="expression" dxfId="1890" priority="280">
      <formula>$E364=13</formula>
    </cfRule>
    <cfRule type="expression" dxfId="1889" priority="281">
      <formula>$E364=12</formula>
    </cfRule>
  </conditionalFormatting>
  <conditionalFormatting sqref="C364:F383">
    <cfRule type="expression" dxfId="1888" priority="256">
      <formula>$E364=10</formula>
    </cfRule>
    <cfRule type="expression" dxfId="1887" priority="257">
      <formula>$E364=11</formula>
    </cfRule>
    <cfRule type="expression" dxfId="1886" priority="258">
      <formula>$E364=18</formula>
    </cfRule>
    <cfRule type="expression" dxfId="1885" priority="259">
      <formula>$E364=17</formula>
    </cfRule>
    <cfRule type="expression" dxfId="1884" priority="260">
      <formula>$E364=16</formula>
    </cfRule>
    <cfRule type="expression" dxfId="1883" priority="261">
      <formula>$E364=15</formula>
    </cfRule>
    <cfRule type="expression" dxfId="1882" priority="262">
      <formula>$E364=14</formula>
    </cfRule>
    <cfRule type="expression" dxfId="1881" priority="263">
      <formula>$E364=13</formula>
    </cfRule>
    <cfRule type="expression" dxfId="1880" priority="264">
      <formula>$E364=12</formula>
    </cfRule>
  </conditionalFormatting>
  <conditionalFormatting sqref="C364:F383">
    <cfRule type="expression" dxfId="1879" priority="265">
      <formula>$E364&lt;12</formula>
    </cfRule>
    <cfRule type="expression" dxfId="1878" priority="266">
      <formula>$E364=18</formula>
    </cfRule>
    <cfRule type="expression" dxfId="1877" priority="267">
      <formula>$E364=17</formula>
    </cfRule>
    <cfRule type="expression" dxfId="1876" priority="268">
      <formula>$E364=16</formula>
    </cfRule>
    <cfRule type="expression" dxfId="1875" priority="269">
      <formula>$E364=15</formula>
    </cfRule>
    <cfRule type="expression" dxfId="1874" priority="270">
      <formula>$E364=14</formula>
    </cfRule>
    <cfRule type="expression" dxfId="1873" priority="271">
      <formula>$E364=13</formula>
    </cfRule>
    <cfRule type="expression" dxfId="1872" priority="272">
      <formula>$E364=12</formula>
    </cfRule>
  </conditionalFormatting>
  <conditionalFormatting sqref="A387:B387 G387:J387">
    <cfRule type="expression" dxfId="1871" priority="78">
      <formula>$E387&lt;12</formula>
    </cfRule>
    <cfRule type="expression" dxfId="1870" priority="79">
      <formula>$E387=18</formula>
    </cfRule>
    <cfRule type="expression" dxfId="1869" priority="80">
      <formula>$E387=17</formula>
    </cfRule>
    <cfRule type="expression" dxfId="1868" priority="81">
      <formula>$E387=16</formula>
    </cfRule>
    <cfRule type="expression" dxfId="1867" priority="82">
      <formula>$E387=15</formula>
    </cfRule>
    <cfRule type="expression" dxfId="1866" priority="83">
      <formula>$E387=14</formula>
    </cfRule>
    <cfRule type="expression" dxfId="1865" priority="84">
      <formula>$E387=13</formula>
    </cfRule>
    <cfRule type="expression" dxfId="1864" priority="85">
      <formula>$E387=12</formula>
    </cfRule>
  </conditionalFormatting>
  <conditionalFormatting sqref="A387:B387 G387:J387">
    <cfRule type="expression" dxfId="1863" priority="69">
      <formula>$E387=10</formula>
    </cfRule>
    <cfRule type="expression" dxfId="1862" priority="70">
      <formula>$E387=11</formula>
    </cfRule>
    <cfRule type="expression" dxfId="1861" priority="71">
      <formula>$E387=18</formula>
    </cfRule>
    <cfRule type="expression" dxfId="1860" priority="72">
      <formula>$E387=17</formula>
    </cfRule>
    <cfRule type="expression" dxfId="1859" priority="73">
      <formula>$E387=16</formula>
    </cfRule>
    <cfRule type="expression" dxfId="1858" priority="74">
      <formula>$E387=15</formula>
    </cfRule>
    <cfRule type="expression" dxfId="1857" priority="75">
      <formula>$E387=14</formula>
    </cfRule>
    <cfRule type="expression" dxfId="1856" priority="76">
      <formula>$E387=13</formula>
    </cfRule>
    <cfRule type="expression" dxfId="1855" priority="77">
      <formula>$E387=12</formula>
    </cfRule>
  </conditionalFormatting>
  <conditionalFormatting sqref="M387:N387">
    <cfRule type="expression" dxfId="1854" priority="61">
      <formula>$E387&lt;12</formula>
    </cfRule>
    <cfRule type="expression" dxfId="1853" priority="62">
      <formula>$E387=18</formula>
    </cfRule>
    <cfRule type="expression" dxfId="1852" priority="63">
      <formula>$E387=17</formula>
    </cfRule>
    <cfRule type="expression" dxfId="1851" priority="64">
      <formula>$E387=16</formula>
    </cfRule>
    <cfRule type="expression" dxfId="1850" priority="65">
      <formula>$E387=15</formula>
    </cfRule>
    <cfRule type="expression" dxfId="1849" priority="66">
      <formula>$E387=14</formula>
    </cfRule>
    <cfRule type="expression" dxfId="1848" priority="67">
      <formula>$E387=13</formula>
    </cfRule>
    <cfRule type="expression" dxfId="1847" priority="68">
      <formula>$E387=12</formula>
    </cfRule>
  </conditionalFormatting>
  <conditionalFormatting sqref="M387:N387">
    <cfRule type="expression" dxfId="1846" priority="52">
      <formula>$E387=10</formula>
    </cfRule>
    <cfRule type="expression" dxfId="1845" priority="53">
      <formula>$E387=11</formula>
    </cfRule>
    <cfRule type="expression" dxfId="1844" priority="54">
      <formula>$E387=18</formula>
    </cfRule>
    <cfRule type="expression" dxfId="1843" priority="55">
      <formula>$E387=17</formula>
    </cfRule>
    <cfRule type="expression" dxfId="1842" priority="56">
      <formula>$E387=16</formula>
    </cfRule>
    <cfRule type="expression" dxfId="1841" priority="57">
      <formula>$E387=15</formula>
    </cfRule>
    <cfRule type="expression" dxfId="1840" priority="58">
      <formula>$E387=14</formula>
    </cfRule>
    <cfRule type="expression" dxfId="1839" priority="59">
      <formula>$E387=13</formula>
    </cfRule>
    <cfRule type="expression" dxfId="1838" priority="60">
      <formula>$E387=12</formula>
    </cfRule>
  </conditionalFormatting>
  <conditionalFormatting sqref="L387">
    <cfRule type="expression" dxfId="1837" priority="44">
      <formula>$E387&lt;12</formula>
    </cfRule>
    <cfRule type="expression" dxfId="1836" priority="45">
      <formula>$E387=18</formula>
    </cfRule>
    <cfRule type="expression" dxfId="1835" priority="46">
      <formula>$E387=17</formula>
    </cfRule>
    <cfRule type="expression" dxfId="1834" priority="47">
      <formula>$E387=16</formula>
    </cfRule>
    <cfRule type="expression" dxfId="1833" priority="48">
      <formula>$E387=15</formula>
    </cfRule>
    <cfRule type="expression" dxfId="1832" priority="49">
      <formula>$E387=14</formula>
    </cfRule>
    <cfRule type="expression" dxfId="1831" priority="50">
      <formula>$E387=13</formula>
    </cfRule>
    <cfRule type="expression" dxfId="1830" priority="51">
      <formula>$E387=12</formula>
    </cfRule>
  </conditionalFormatting>
  <conditionalFormatting sqref="L387">
    <cfRule type="expression" dxfId="1829" priority="35">
      <formula>$E387=10</formula>
    </cfRule>
    <cfRule type="expression" dxfId="1828" priority="36">
      <formula>$E387=11</formula>
    </cfRule>
    <cfRule type="expression" dxfId="1827" priority="37">
      <formula>$E387=18</formula>
    </cfRule>
    <cfRule type="expression" dxfId="1826" priority="38">
      <formula>$E387=17</formula>
    </cfRule>
    <cfRule type="expression" dxfId="1825" priority="39">
      <formula>$E387=16</formula>
    </cfRule>
    <cfRule type="expression" dxfId="1824" priority="40">
      <formula>$E387=15</formula>
    </cfRule>
    <cfRule type="expression" dxfId="1823" priority="41">
      <formula>$E387=14</formula>
    </cfRule>
    <cfRule type="expression" dxfId="1822" priority="42">
      <formula>$E387=13</formula>
    </cfRule>
    <cfRule type="expression" dxfId="1821" priority="43">
      <formula>$E387=12</formula>
    </cfRule>
  </conditionalFormatting>
  <conditionalFormatting sqref="K387">
    <cfRule type="expression" dxfId="1820" priority="27">
      <formula>$E387&lt;12</formula>
    </cfRule>
    <cfRule type="expression" dxfId="1819" priority="28">
      <formula>$E387=18</formula>
    </cfRule>
    <cfRule type="expression" dxfId="1818" priority="29">
      <formula>$E387=17</formula>
    </cfRule>
    <cfRule type="expression" dxfId="1817" priority="30">
      <formula>$E387=16</formula>
    </cfRule>
    <cfRule type="expression" dxfId="1816" priority="31">
      <formula>$E387=15</formula>
    </cfRule>
    <cfRule type="expression" dxfId="1815" priority="32">
      <formula>$E387=14</formula>
    </cfRule>
    <cfRule type="expression" dxfId="1814" priority="33">
      <formula>$E387=13</formula>
    </cfRule>
    <cfRule type="expression" dxfId="1813" priority="34">
      <formula>$E387=12</formula>
    </cfRule>
  </conditionalFormatting>
  <conditionalFormatting sqref="K387">
    <cfRule type="expression" dxfId="1812" priority="18">
      <formula>$E387=10</formula>
    </cfRule>
    <cfRule type="expression" dxfId="1811" priority="19">
      <formula>$E387=11</formula>
    </cfRule>
    <cfRule type="expression" dxfId="1810" priority="20">
      <formula>$E387=18</formula>
    </cfRule>
    <cfRule type="expression" dxfId="1809" priority="21">
      <formula>$E387=17</formula>
    </cfRule>
    <cfRule type="expression" dxfId="1808" priority="22">
      <formula>$E387=16</formula>
    </cfRule>
    <cfRule type="expression" dxfId="1807" priority="23">
      <formula>$E387=15</formula>
    </cfRule>
    <cfRule type="expression" dxfId="1806" priority="24">
      <formula>$E387=14</formula>
    </cfRule>
    <cfRule type="expression" dxfId="1805" priority="25">
      <formula>$E387=13</formula>
    </cfRule>
    <cfRule type="expression" dxfId="1804" priority="26">
      <formula>$E387=12</formula>
    </cfRule>
  </conditionalFormatting>
  <conditionalFormatting sqref="C387:F387">
    <cfRule type="expression" dxfId="1803" priority="1">
      <formula>$E387=10</formula>
    </cfRule>
    <cfRule type="expression" dxfId="1802" priority="2">
      <formula>$E387=11</formula>
    </cfRule>
    <cfRule type="expression" dxfId="1801" priority="3">
      <formula>$E387=18</formula>
    </cfRule>
    <cfRule type="expression" dxfId="1800" priority="4">
      <formula>$E387=17</formula>
    </cfRule>
    <cfRule type="expression" dxfId="1799" priority="5">
      <formula>$E387=16</formula>
    </cfRule>
    <cfRule type="expression" dxfId="1798" priority="6">
      <formula>$E387=15</formula>
    </cfRule>
    <cfRule type="expression" dxfId="1797" priority="7">
      <formula>$E387=14</formula>
    </cfRule>
    <cfRule type="expression" dxfId="1796" priority="8">
      <formula>$E387=13</formula>
    </cfRule>
    <cfRule type="expression" dxfId="1795" priority="9">
      <formula>$E387=12</formula>
    </cfRule>
  </conditionalFormatting>
  <conditionalFormatting sqref="C387:F387">
    <cfRule type="expression" dxfId="1794" priority="10">
      <formula>$E387&lt;12</formula>
    </cfRule>
    <cfRule type="expression" dxfId="1793" priority="11">
      <formula>$E387=18</formula>
    </cfRule>
    <cfRule type="expression" dxfId="1792" priority="12">
      <formula>$E387=17</formula>
    </cfRule>
    <cfRule type="expression" dxfId="1791" priority="13">
      <formula>$E387=16</formula>
    </cfRule>
    <cfRule type="expression" dxfId="1790" priority="14">
      <formula>$E387=15</formula>
    </cfRule>
    <cfRule type="expression" dxfId="1789" priority="15">
      <formula>$E387=14</formula>
    </cfRule>
    <cfRule type="expression" dxfId="1788" priority="16">
      <formula>$E387=13</formula>
    </cfRule>
    <cfRule type="expression" dxfId="1787" priority="17">
      <formula>$E387=12</formula>
    </cfRule>
  </conditionalFormatting>
  <conditionalFormatting sqref="A385:B385 G385:J385">
    <cfRule type="expression" dxfId="1786" priority="163">
      <formula>$E385&lt;12</formula>
    </cfRule>
    <cfRule type="expression" dxfId="1785" priority="164">
      <formula>$E385=18</formula>
    </cfRule>
    <cfRule type="expression" dxfId="1784" priority="165">
      <formula>$E385=17</formula>
    </cfRule>
    <cfRule type="expression" dxfId="1783" priority="166">
      <formula>$E385=16</formula>
    </cfRule>
    <cfRule type="expression" dxfId="1782" priority="167">
      <formula>$E385=15</formula>
    </cfRule>
    <cfRule type="expression" dxfId="1781" priority="168">
      <formula>$E385=14</formula>
    </cfRule>
    <cfRule type="expression" dxfId="1780" priority="169">
      <formula>$E385=13</formula>
    </cfRule>
    <cfRule type="expression" dxfId="1779" priority="170">
      <formula>$E385=12</formula>
    </cfRule>
  </conditionalFormatting>
  <conditionalFormatting sqref="A385:B385 G385:J385">
    <cfRule type="expression" dxfId="1778" priority="154">
      <formula>$E385=10</formula>
    </cfRule>
    <cfRule type="expression" dxfId="1777" priority="155">
      <formula>$E385=11</formula>
    </cfRule>
    <cfRule type="expression" dxfId="1776" priority="156">
      <formula>$E385=18</formula>
    </cfRule>
    <cfRule type="expression" dxfId="1775" priority="157">
      <formula>$E385=17</formula>
    </cfRule>
    <cfRule type="expression" dxfId="1774" priority="158">
      <formula>$E385=16</formula>
    </cfRule>
    <cfRule type="expression" dxfId="1773" priority="159">
      <formula>$E385=15</formula>
    </cfRule>
    <cfRule type="expression" dxfId="1772" priority="160">
      <formula>$E385=14</formula>
    </cfRule>
    <cfRule type="expression" dxfId="1771" priority="161">
      <formula>$E385=13</formula>
    </cfRule>
    <cfRule type="expression" dxfId="1770" priority="162">
      <formula>$E385=12</formula>
    </cfRule>
  </conditionalFormatting>
  <conditionalFormatting sqref="M385:N385">
    <cfRule type="expression" dxfId="1769" priority="146">
      <formula>$E385&lt;12</formula>
    </cfRule>
    <cfRule type="expression" dxfId="1768" priority="147">
      <formula>$E385=18</formula>
    </cfRule>
    <cfRule type="expression" dxfId="1767" priority="148">
      <formula>$E385=17</formula>
    </cfRule>
    <cfRule type="expression" dxfId="1766" priority="149">
      <formula>$E385=16</formula>
    </cfRule>
    <cfRule type="expression" dxfId="1765" priority="150">
      <formula>$E385=15</formula>
    </cfRule>
    <cfRule type="expression" dxfId="1764" priority="151">
      <formula>$E385=14</formula>
    </cfRule>
    <cfRule type="expression" dxfId="1763" priority="152">
      <formula>$E385=13</formula>
    </cfRule>
    <cfRule type="expression" dxfId="1762" priority="153">
      <formula>$E385=12</formula>
    </cfRule>
  </conditionalFormatting>
  <conditionalFormatting sqref="M385:N385">
    <cfRule type="expression" dxfId="1761" priority="137">
      <formula>$E385=10</formula>
    </cfRule>
    <cfRule type="expression" dxfId="1760" priority="138">
      <formula>$E385=11</formula>
    </cfRule>
    <cfRule type="expression" dxfId="1759" priority="139">
      <formula>$E385=18</formula>
    </cfRule>
    <cfRule type="expression" dxfId="1758" priority="140">
      <formula>$E385=17</formula>
    </cfRule>
    <cfRule type="expression" dxfId="1757" priority="141">
      <formula>$E385=16</formula>
    </cfRule>
    <cfRule type="expression" dxfId="1756" priority="142">
      <formula>$E385=15</formula>
    </cfRule>
    <cfRule type="expression" dxfId="1755" priority="143">
      <formula>$E385=14</formula>
    </cfRule>
    <cfRule type="expression" dxfId="1754" priority="144">
      <formula>$E385=13</formula>
    </cfRule>
    <cfRule type="expression" dxfId="1753" priority="145">
      <formula>$E385=12</formula>
    </cfRule>
  </conditionalFormatting>
  <conditionalFormatting sqref="L385">
    <cfRule type="expression" dxfId="1752" priority="129">
      <formula>$E385&lt;12</formula>
    </cfRule>
    <cfRule type="expression" dxfId="1751" priority="130">
      <formula>$E385=18</formula>
    </cfRule>
    <cfRule type="expression" dxfId="1750" priority="131">
      <formula>$E385=17</formula>
    </cfRule>
    <cfRule type="expression" dxfId="1749" priority="132">
      <formula>$E385=16</formula>
    </cfRule>
    <cfRule type="expression" dxfId="1748" priority="133">
      <formula>$E385=15</formula>
    </cfRule>
    <cfRule type="expression" dxfId="1747" priority="134">
      <formula>$E385=14</formula>
    </cfRule>
    <cfRule type="expression" dxfId="1746" priority="135">
      <formula>$E385=13</formula>
    </cfRule>
    <cfRule type="expression" dxfId="1745" priority="136">
      <formula>$E385=12</formula>
    </cfRule>
  </conditionalFormatting>
  <conditionalFormatting sqref="L385">
    <cfRule type="expression" dxfId="1744" priority="120">
      <formula>$E385=10</formula>
    </cfRule>
    <cfRule type="expression" dxfId="1743" priority="121">
      <formula>$E385=11</formula>
    </cfRule>
    <cfRule type="expression" dxfId="1742" priority="122">
      <formula>$E385=18</formula>
    </cfRule>
    <cfRule type="expression" dxfId="1741" priority="123">
      <formula>$E385=17</formula>
    </cfRule>
    <cfRule type="expression" dxfId="1740" priority="124">
      <formula>$E385=16</formula>
    </cfRule>
    <cfRule type="expression" dxfId="1739" priority="125">
      <formula>$E385=15</formula>
    </cfRule>
    <cfRule type="expression" dxfId="1738" priority="126">
      <formula>$E385=14</formula>
    </cfRule>
    <cfRule type="expression" dxfId="1737" priority="127">
      <formula>$E385=13</formula>
    </cfRule>
    <cfRule type="expression" dxfId="1736" priority="128">
      <formula>$E385=12</formula>
    </cfRule>
  </conditionalFormatting>
  <conditionalFormatting sqref="K385">
    <cfRule type="expression" dxfId="1735" priority="112">
      <formula>$E385&lt;12</formula>
    </cfRule>
    <cfRule type="expression" dxfId="1734" priority="113">
      <formula>$E385=18</formula>
    </cfRule>
    <cfRule type="expression" dxfId="1733" priority="114">
      <formula>$E385=17</formula>
    </cfRule>
    <cfRule type="expression" dxfId="1732" priority="115">
      <formula>$E385=16</formula>
    </cfRule>
    <cfRule type="expression" dxfId="1731" priority="116">
      <formula>$E385=15</formula>
    </cfRule>
    <cfRule type="expression" dxfId="1730" priority="117">
      <formula>$E385=14</formula>
    </cfRule>
    <cfRule type="expression" dxfId="1729" priority="118">
      <formula>$E385=13</formula>
    </cfRule>
    <cfRule type="expression" dxfId="1728" priority="119">
      <formula>$E385=12</formula>
    </cfRule>
  </conditionalFormatting>
  <conditionalFormatting sqref="K385">
    <cfRule type="expression" dxfId="1727" priority="103">
      <formula>$E385=10</formula>
    </cfRule>
    <cfRule type="expression" dxfId="1726" priority="104">
      <formula>$E385=11</formula>
    </cfRule>
    <cfRule type="expression" dxfId="1725" priority="105">
      <formula>$E385=18</formula>
    </cfRule>
    <cfRule type="expression" dxfId="1724" priority="106">
      <formula>$E385=17</formula>
    </cfRule>
    <cfRule type="expression" dxfId="1723" priority="107">
      <formula>$E385=16</formula>
    </cfRule>
    <cfRule type="expression" dxfId="1722" priority="108">
      <formula>$E385=15</formula>
    </cfRule>
    <cfRule type="expression" dxfId="1721" priority="109">
      <formula>$E385=14</formula>
    </cfRule>
    <cfRule type="expression" dxfId="1720" priority="110">
      <formula>$E385=13</formula>
    </cfRule>
    <cfRule type="expression" dxfId="1719" priority="111">
      <formula>$E385=12</formula>
    </cfRule>
  </conditionalFormatting>
  <conditionalFormatting sqref="C385:F385">
    <cfRule type="expression" dxfId="1718" priority="86">
      <formula>$E385=10</formula>
    </cfRule>
    <cfRule type="expression" dxfId="1717" priority="87">
      <formula>$E385=11</formula>
    </cfRule>
    <cfRule type="expression" dxfId="1716" priority="88">
      <formula>$E385=18</formula>
    </cfRule>
    <cfRule type="expression" dxfId="1715" priority="89">
      <formula>$E385=17</formula>
    </cfRule>
    <cfRule type="expression" dxfId="1714" priority="90">
      <formula>$E385=16</formula>
    </cfRule>
    <cfRule type="expression" dxfId="1713" priority="91">
      <formula>$E385=15</formula>
    </cfRule>
    <cfRule type="expression" dxfId="1712" priority="92">
      <formula>$E385=14</formula>
    </cfRule>
    <cfRule type="expression" dxfId="1711" priority="93">
      <formula>$E385=13</formula>
    </cfRule>
    <cfRule type="expression" dxfId="1710" priority="94">
      <formula>$E385=12</formula>
    </cfRule>
  </conditionalFormatting>
  <conditionalFormatting sqref="C385:F385">
    <cfRule type="expression" dxfId="1709" priority="95">
      <formula>$E385&lt;12</formula>
    </cfRule>
    <cfRule type="expression" dxfId="1708" priority="96">
      <formula>$E385=18</formula>
    </cfRule>
    <cfRule type="expression" dxfId="1707" priority="97">
      <formula>$E385=17</formula>
    </cfRule>
    <cfRule type="expression" dxfId="1706" priority="98">
      <formula>$E385=16</formula>
    </cfRule>
    <cfRule type="expression" dxfId="1705" priority="99">
      <formula>$E385=15</formula>
    </cfRule>
    <cfRule type="expression" dxfId="1704" priority="100">
      <formula>$E385=14</formula>
    </cfRule>
    <cfRule type="expression" dxfId="1703" priority="101">
      <formula>$E385=13</formula>
    </cfRule>
    <cfRule type="expression" dxfId="1702" priority="102">
      <formula>$E385=12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89"/>
  <sheetViews>
    <sheetView topLeftCell="G1" workbookViewId="0">
      <selection activeCell="L15" sqref="A1:XFD1048576"/>
    </sheetView>
  </sheetViews>
  <sheetFormatPr defaultRowHeight="15" x14ac:dyDescent="0.25"/>
  <cols>
    <col min="1" max="1" width="7.140625" style="175" bestFit="1" customWidth="1"/>
    <col min="2" max="2" width="3" style="175" customWidth="1"/>
    <col min="3" max="3" width="3" style="175" bestFit="1" customWidth="1"/>
    <col min="4" max="4" width="5.28515625" style="175" bestFit="1" customWidth="1"/>
    <col min="5" max="5" width="4.42578125" style="175" bestFit="1" customWidth="1"/>
    <col min="6" max="6" width="4.85546875" style="175" bestFit="1" customWidth="1"/>
    <col min="7" max="7" width="13.85546875" style="175" bestFit="1" customWidth="1"/>
    <col min="8" max="8" width="34.85546875" style="175" bestFit="1" customWidth="1"/>
    <col min="9" max="9" width="27.140625" style="175" bestFit="1" customWidth="1"/>
    <col min="10" max="10" width="6.7109375" style="175" bestFit="1" customWidth="1"/>
    <col min="11" max="11" width="7.7109375" style="178" bestFit="1" customWidth="1"/>
    <col min="12" max="12" width="7.5703125" style="175" bestFit="1" customWidth="1"/>
    <col min="13" max="13" width="10" style="178" bestFit="1" customWidth="1"/>
    <col min="14" max="14" width="10" style="178" customWidth="1"/>
    <col min="15" max="16" width="8.7109375" style="175" bestFit="1" customWidth="1"/>
    <col min="17" max="19" width="9.7109375" style="175" bestFit="1" customWidth="1"/>
    <col min="20" max="20" width="8.7109375" style="175" bestFit="1" customWidth="1"/>
    <col min="21" max="23" width="9.7109375" style="175" bestFit="1" customWidth="1"/>
    <col min="24" max="24" width="8.7109375" style="175" bestFit="1" customWidth="1"/>
    <col min="25" max="28" width="9.7109375" style="175" bestFit="1" customWidth="1"/>
    <col min="29" max="29" width="8.7109375" style="175" bestFit="1" customWidth="1"/>
    <col min="30" max="16384" width="9.140625" style="175"/>
  </cols>
  <sheetData>
    <row r="1" spans="1:35" s="174" customFormat="1" ht="30" x14ac:dyDescent="0.25">
      <c r="A1" s="171" t="s">
        <v>341</v>
      </c>
      <c r="B1" s="171"/>
      <c r="C1" s="171" t="s">
        <v>342</v>
      </c>
      <c r="D1" s="171" t="s">
        <v>343</v>
      </c>
      <c r="E1" s="171" t="s">
        <v>18</v>
      </c>
      <c r="F1" s="171" t="s">
        <v>344</v>
      </c>
      <c r="G1" s="171" t="s">
        <v>345</v>
      </c>
      <c r="H1" s="171" t="s">
        <v>346</v>
      </c>
      <c r="I1" s="171" t="s">
        <v>10</v>
      </c>
      <c r="J1" s="171" t="s">
        <v>347</v>
      </c>
      <c r="K1" s="172" t="s">
        <v>348</v>
      </c>
      <c r="L1" s="171"/>
      <c r="M1" s="172" t="s">
        <v>116</v>
      </c>
      <c r="N1" s="172"/>
      <c r="O1" s="173" t="s">
        <v>349</v>
      </c>
      <c r="P1" s="173" t="s">
        <v>350</v>
      </c>
      <c r="Q1" s="173">
        <v>42383</v>
      </c>
      <c r="R1" s="173">
        <f>Q1+7</f>
        <v>42390</v>
      </c>
      <c r="S1" s="173">
        <f t="shared" ref="S1:AC1" si="0">R1+7</f>
        <v>42397</v>
      </c>
      <c r="T1" s="173">
        <f t="shared" si="0"/>
        <v>42404</v>
      </c>
      <c r="U1" s="173">
        <f t="shared" si="0"/>
        <v>42411</v>
      </c>
      <c r="V1" s="173">
        <f t="shared" si="0"/>
        <v>42418</v>
      </c>
      <c r="W1" s="173">
        <f t="shared" si="0"/>
        <v>42425</v>
      </c>
      <c r="X1" s="173">
        <f t="shared" si="0"/>
        <v>42432</v>
      </c>
      <c r="Y1" s="173">
        <f t="shared" si="0"/>
        <v>42439</v>
      </c>
      <c r="Z1" s="173">
        <f t="shared" si="0"/>
        <v>42446</v>
      </c>
      <c r="AA1" s="173">
        <f t="shared" si="0"/>
        <v>42453</v>
      </c>
      <c r="AB1" s="173">
        <f t="shared" si="0"/>
        <v>42460</v>
      </c>
      <c r="AC1" s="173">
        <f t="shared" si="0"/>
        <v>42467</v>
      </c>
      <c r="AH1" s="175"/>
      <c r="AI1" s="175"/>
    </row>
    <row r="2" spans="1:35" x14ac:dyDescent="0.25">
      <c r="A2" s="176">
        <v>3</v>
      </c>
      <c r="B2" s="176"/>
      <c r="C2" s="176">
        <f t="shared" ref="C2:C65" si="1">IF(E2=E1,C1+1,1)</f>
        <v>1</v>
      </c>
      <c r="D2" s="176">
        <f t="shared" ref="D2:D65" si="2">IF(M2=M1,D1,C2)</f>
        <v>1</v>
      </c>
      <c r="E2" s="176">
        <f t="shared" ref="E2:E65" si="3">10+VALUE(RIGHT(LEFT(G2,3),1))</f>
        <v>11</v>
      </c>
      <c r="F2" s="176" t="str">
        <f t="shared" ref="F2:F65" si="4">RIGHT(G2,2) &amp; IF(A2&lt;2,"x","")</f>
        <v>pm</v>
      </c>
      <c r="G2" s="176" t="s">
        <v>351</v>
      </c>
      <c r="H2" s="176" t="s">
        <v>352</v>
      </c>
      <c r="I2" s="176" t="s">
        <v>353</v>
      </c>
      <c r="J2" s="177" t="s">
        <v>22</v>
      </c>
      <c r="K2" s="178">
        <f t="shared" ref="K2:K65" si="5">LOOKUP(1E+100,M2:AC2)</f>
        <v>1420.2491124742737</v>
      </c>
      <c r="L2" s="176"/>
      <c r="M2" s="178">
        <v>1600</v>
      </c>
      <c r="O2" s="178">
        <v>1473.3153485871062</v>
      </c>
      <c r="P2" s="178"/>
      <c r="Q2" s="178"/>
      <c r="R2" s="178"/>
      <c r="S2" s="178">
        <v>1420.2491124742737</v>
      </c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</row>
    <row r="3" spans="1:35" x14ac:dyDescent="0.25">
      <c r="A3" s="176">
        <v>3</v>
      </c>
      <c r="B3" s="176"/>
      <c r="C3" s="176">
        <f t="shared" si="1"/>
        <v>2</v>
      </c>
      <c r="D3" s="176">
        <f t="shared" si="2"/>
        <v>2</v>
      </c>
      <c r="E3" s="176">
        <f t="shared" si="3"/>
        <v>11</v>
      </c>
      <c r="F3" s="176" t="str">
        <f t="shared" si="4"/>
        <v>pm</v>
      </c>
      <c r="G3" s="176" t="s">
        <v>354</v>
      </c>
      <c r="H3" s="176" t="s">
        <v>355</v>
      </c>
      <c r="I3" s="176" t="s">
        <v>356</v>
      </c>
      <c r="J3" s="177" t="s">
        <v>21</v>
      </c>
      <c r="K3" s="178">
        <f t="shared" si="5"/>
        <v>1414.1860693632427</v>
      </c>
      <c r="L3" s="176"/>
      <c r="M3" s="178">
        <v>1400</v>
      </c>
      <c r="O3" s="178"/>
      <c r="P3" s="178"/>
      <c r="Q3" s="178"/>
      <c r="R3" s="178">
        <v>1414.1860693632427</v>
      </c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</row>
    <row r="4" spans="1:35" x14ac:dyDescent="0.25">
      <c r="A4" s="176">
        <v>5</v>
      </c>
      <c r="B4" s="176"/>
      <c r="C4" s="176">
        <f t="shared" si="1"/>
        <v>3</v>
      </c>
      <c r="D4" s="176">
        <f t="shared" si="2"/>
        <v>3</v>
      </c>
      <c r="E4" s="176">
        <f t="shared" si="3"/>
        <v>11</v>
      </c>
      <c r="F4" s="176" t="str">
        <f t="shared" si="4"/>
        <v>pm</v>
      </c>
      <c r="G4" s="176" t="s">
        <v>357</v>
      </c>
      <c r="H4" s="176" t="s">
        <v>358</v>
      </c>
      <c r="I4" s="176" t="s">
        <v>359</v>
      </c>
      <c r="J4" s="177" t="s">
        <v>360</v>
      </c>
      <c r="K4" s="178">
        <f t="shared" si="5"/>
        <v>1216.2682939252052</v>
      </c>
      <c r="L4" s="176"/>
      <c r="M4" s="178">
        <v>1200</v>
      </c>
      <c r="O4" s="178"/>
      <c r="P4" s="178"/>
      <c r="Q4" s="178"/>
      <c r="R4" s="178">
        <v>1217.5505615019474</v>
      </c>
      <c r="S4" s="178"/>
      <c r="T4" s="178">
        <v>1216.2682939252052</v>
      </c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</row>
    <row r="5" spans="1:35" x14ac:dyDescent="0.25">
      <c r="A5" s="176">
        <v>2</v>
      </c>
      <c r="B5" s="176"/>
      <c r="C5" s="176">
        <f t="shared" si="1"/>
        <v>1</v>
      </c>
      <c r="D5" s="176">
        <f t="shared" si="2"/>
        <v>1</v>
      </c>
      <c r="E5" s="176">
        <f t="shared" si="3"/>
        <v>12</v>
      </c>
      <c r="F5" s="176" t="str">
        <f t="shared" si="4"/>
        <v>pm</v>
      </c>
      <c r="G5" s="176" t="s">
        <v>361</v>
      </c>
      <c r="H5" s="176" t="s">
        <v>362</v>
      </c>
      <c r="I5" s="176" t="s">
        <v>363</v>
      </c>
      <c r="J5" s="177" t="s">
        <v>22</v>
      </c>
      <c r="K5" s="178">
        <f t="shared" si="5"/>
        <v>1588.0546571711616</v>
      </c>
      <c r="L5" s="176"/>
      <c r="M5" s="178">
        <v>1600</v>
      </c>
      <c r="O5" s="178">
        <v>1588.0546571711616</v>
      </c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</row>
    <row r="6" spans="1:35" x14ac:dyDescent="0.25">
      <c r="A6" s="176">
        <v>4</v>
      </c>
      <c r="B6" s="176"/>
      <c r="C6" s="176">
        <f t="shared" si="1"/>
        <v>2</v>
      </c>
      <c r="D6" s="176">
        <f t="shared" si="2"/>
        <v>1</v>
      </c>
      <c r="E6" s="176">
        <f t="shared" si="3"/>
        <v>12</v>
      </c>
      <c r="F6" s="176" t="str">
        <f t="shared" si="4"/>
        <v>pm</v>
      </c>
      <c r="G6" s="176" t="s">
        <v>364</v>
      </c>
      <c r="H6" s="176" t="s">
        <v>365</v>
      </c>
      <c r="I6" s="176" t="s">
        <v>366</v>
      </c>
      <c r="J6" s="177" t="s">
        <v>22</v>
      </c>
      <c r="K6" s="178">
        <f t="shared" si="5"/>
        <v>1600</v>
      </c>
      <c r="L6" s="176"/>
      <c r="M6" s="178">
        <v>1600</v>
      </c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</row>
    <row r="7" spans="1:35" x14ac:dyDescent="0.25">
      <c r="A7" s="176">
        <v>7</v>
      </c>
      <c r="B7" s="176"/>
      <c r="C7" s="176">
        <f t="shared" si="1"/>
        <v>3</v>
      </c>
      <c r="D7" s="176">
        <f t="shared" si="2"/>
        <v>1</v>
      </c>
      <c r="E7" s="176">
        <f t="shared" si="3"/>
        <v>12</v>
      </c>
      <c r="F7" s="176" t="str">
        <f t="shared" si="4"/>
        <v>pm</v>
      </c>
      <c r="G7" s="176" t="s">
        <v>367</v>
      </c>
      <c r="H7" s="176" t="s">
        <v>368</v>
      </c>
      <c r="I7" s="176" t="s">
        <v>369</v>
      </c>
      <c r="J7" s="177" t="s">
        <v>22</v>
      </c>
      <c r="K7" s="178">
        <f t="shared" si="5"/>
        <v>1730.1249302111369</v>
      </c>
      <c r="L7" s="176"/>
      <c r="M7" s="178">
        <v>1600</v>
      </c>
      <c r="O7" s="178">
        <v>1636.9148649131555</v>
      </c>
      <c r="P7" s="178"/>
      <c r="Q7" s="178">
        <v>1746.8509792457253</v>
      </c>
      <c r="R7" s="178"/>
      <c r="S7" s="178">
        <v>1730.1249302111369</v>
      </c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</row>
    <row r="8" spans="1:35" x14ac:dyDescent="0.25">
      <c r="A8" s="176">
        <v>2</v>
      </c>
      <c r="B8" s="176"/>
      <c r="C8" s="176">
        <f t="shared" si="1"/>
        <v>4</v>
      </c>
      <c r="D8" s="176">
        <f t="shared" si="2"/>
        <v>1</v>
      </c>
      <c r="E8" s="176">
        <f t="shared" si="3"/>
        <v>12</v>
      </c>
      <c r="F8" s="176" t="str">
        <f t="shared" si="4"/>
        <v>pm</v>
      </c>
      <c r="G8" s="176" t="s">
        <v>370</v>
      </c>
      <c r="H8" s="176" t="s">
        <v>352</v>
      </c>
      <c r="I8" s="176" t="s">
        <v>371</v>
      </c>
      <c r="J8" s="177" t="s">
        <v>22</v>
      </c>
      <c r="K8" s="178">
        <f t="shared" si="5"/>
        <v>1707.8006673986267</v>
      </c>
      <c r="L8" s="176"/>
      <c r="M8" s="178">
        <v>1600</v>
      </c>
      <c r="O8" s="178">
        <v>1707.8006673986267</v>
      </c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</row>
    <row r="9" spans="1:35" x14ac:dyDescent="0.25">
      <c r="A9" s="176">
        <v>2</v>
      </c>
      <c r="B9" s="176"/>
      <c r="C9" s="176">
        <f t="shared" si="1"/>
        <v>5</v>
      </c>
      <c r="D9" s="176">
        <f t="shared" si="2"/>
        <v>1</v>
      </c>
      <c r="E9" s="176">
        <f t="shared" si="3"/>
        <v>12</v>
      </c>
      <c r="F9" s="176" t="str">
        <f t="shared" si="4"/>
        <v>pm</v>
      </c>
      <c r="G9" s="176" t="s">
        <v>372</v>
      </c>
      <c r="H9" s="176" t="s">
        <v>352</v>
      </c>
      <c r="I9" s="176" t="s">
        <v>373</v>
      </c>
      <c r="J9" s="177" t="s">
        <v>22</v>
      </c>
      <c r="K9" s="178">
        <f t="shared" si="5"/>
        <v>1536.8245779108793</v>
      </c>
      <c r="L9" s="176"/>
      <c r="M9" s="178">
        <v>1600</v>
      </c>
      <c r="O9" s="178">
        <v>1536.8245779108793</v>
      </c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</row>
    <row r="10" spans="1:35" x14ac:dyDescent="0.25">
      <c r="A10" s="176">
        <v>2</v>
      </c>
      <c r="B10" s="176"/>
      <c r="C10" s="176">
        <f t="shared" si="1"/>
        <v>6</v>
      </c>
      <c r="D10" s="176">
        <f t="shared" si="2"/>
        <v>1</v>
      </c>
      <c r="E10" s="176">
        <f t="shared" si="3"/>
        <v>12</v>
      </c>
      <c r="F10" s="176" t="str">
        <f t="shared" si="4"/>
        <v>pm</v>
      </c>
      <c r="G10" s="176" t="s">
        <v>374</v>
      </c>
      <c r="H10" s="176" t="s">
        <v>375</v>
      </c>
      <c r="I10" s="176" t="s">
        <v>376</v>
      </c>
      <c r="J10" s="177" t="s">
        <v>22</v>
      </c>
      <c r="K10" s="178">
        <f t="shared" si="5"/>
        <v>1600</v>
      </c>
      <c r="L10" s="176"/>
      <c r="M10" s="178">
        <v>1600</v>
      </c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</row>
    <row r="11" spans="1:35" x14ac:dyDescent="0.25">
      <c r="A11" s="176">
        <v>1</v>
      </c>
      <c r="B11" s="176"/>
      <c r="C11" s="176">
        <f t="shared" si="1"/>
        <v>7</v>
      </c>
      <c r="D11" s="176">
        <f t="shared" si="2"/>
        <v>1</v>
      </c>
      <c r="E11" s="176">
        <f t="shared" si="3"/>
        <v>12</v>
      </c>
      <c r="F11" s="176" t="str">
        <f t="shared" si="4"/>
        <v>pmx</v>
      </c>
      <c r="G11" s="176" t="s">
        <v>377</v>
      </c>
      <c r="H11" s="176" t="s">
        <v>378</v>
      </c>
      <c r="I11" s="176" t="s">
        <v>379</v>
      </c>
      <c r="J11" s="177" t="s">
        <v>22</v>
      </c>
      <c r="K11" s="178">
        <f t="shared" si="5"/>
        <v>1549.7575137856709</v>
      </c>
      <c r="L11" s="176"/>
      <c r="M11" s="178">
        <v>1600</v>
      </c>
      <c r="O11" s="178">
        <v>1549.7575137856709</v>
      </c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</row>
    <row r="12" spans="1:35" x14ac:dyDescent="0.25">
      <c r="A12" s="176"/>
      <c r="B12" s="176"/>
      <c r="C12" s="176">
        <f t="shared" si="1"/>
        <v>8</v>
      </c>
      <c r="D12" s="176">
        <f t="shared" si="2"/>
        <v>1</v>
      </c>
      <c r="E12" s="176">
        <f t="shared" si="3"/>
        <v>12</v>
      </c>
      <c r="F12" s="176" t="str">
        <f t="shared" si="4"/>
        <v>pmx</v>
      </c>
      <c r="G12" s="176" t="s">
        <v>377</v>
      </c>
      <c r="H12" s="176"/>
      <c r="I12" s="176" t="s">
        <v>380</v>
      </c>
      <c r="J12" s="177" t="s">
        <v>22</v>
      </c>
      <c r="K12" s="178">
        <f t="shared" si="5"/>
        <v>1600</v>
      </c>
      <c r="L12" s="176"/>
      <c r="M12" s="178">
        <v>1600</v>
      </c>
    </row>
    <row r="13" spans="1:35" x14ac:dyDescent="0.25">
      <c r="A13" s="176">
        <v>4</v>
      </c>
      <c r="B13" s="176"/>
      <c r="C13" s="176">
        <f t="shared" si="1"/>
        <v>9</v>
      </c>
      <c r="D13" s="176">
        <f t="shared" si="2"/>
        <v>9</v>
      </c>
      <c r="E13" s="176">
        <f t="shared" si="3"/>
        <v>12</v>
      </c>
      <c r="F13" s="176" t="str">
        <f t="shared" si="4"/>
        <v>pm</v>
      </c>
      <c r="G13" s="176" t="s">
        <v>232</v>
      </c>
      <c r="H13" s="176" t="s">
        <v>378</v>
      </c>
      <c r="I13" s="176" t="s">
        <v>231</v>
      </c>
      <c r="J13" s="177" t="s">
        <v>22</v>
      </c>
      <c r="K13" s="178">
        <f t="shared" si="5"/>
        <v>1706.1407986026627</v>
      </c>
      <c r="L13" s="176"/>
      <c r="M13" s="178">
        <v>1550</v>
      </c>
      <c r="O13" s="178">
        <v>1590.1567686677104</v>
      </c>
      <c r="P13" s="178"/>
      <c r="Q13" s="178"/>
      <c r="R13" s="178"/>
      <c r="S13" s="178">
        <v>1683.9371318599437</v>
      </c>
      <c r="T13" s="178">
        <v>1706.1407986026627</v>
      </c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</row>
    <row r="14" spans="1:35" x14ac:dyDescent="0.25">
      <c r="A14" s="176">
        <v>3</v>
      </c>
      <c r="B14" s="176"/>
      <c r="C14" s="176">
        <f t="shared" si="1"/>
        <v>10</v>
      </c>
      <c r="D14" s="176">
        <f t="shared" si="2"/>
        <v>10</v>
      </c>
      <c r="E14" s="176">
        <f t="shared" si="3"/>
        <v>12</v>
      </c>
      <c r="F14" s="176" t="str">
        <f t="shared" si="4"/>
        <v>pm</v>
      </c>
      <c r="G14" s="176" t="s">
        <v>381</v>
      </c>
      <c r="H14" s="176" t="s">
        <v>358</v>
      </c>
      <c r="I14" s="176" t="s">
        <v>382</v>
      </c>
      <c r="J14" s="177" t="s">
        <v>22</v>
      </c>
      <c r="K14" s="178">
        <f t="shared" si="5"/>
        <v>1601.107366554467</v>
      </c>
      <c r="L14" s="176"/>
      <c r="M14" s="178">
        <v>1533.3333333333333</v>
      </c>
      <c r="O14" s="178">
        <v>1601.107366554467</v>
      </c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</row>
    <row r="15" spans="1:35" x14ac:dyDescent="0.25">
      <c r="A15" s="176">
        <v>5</v>
      </c>
      <c r="B15" s="176"/>
      <c r="C15" s="176">
        <f t="shared" si="1"/>
        <v>11</v>
      </c>
      <c r="D15" s="176">
        <f t="shared" si="2"/>
        <v>11</v>
      </c>
      <c r="E15" s="176">
        <f t="shared" si="3"/>
        <v>12</v>
      </c>
      <c r="F15" s="176" t="str">
        <f t="shared" si="4"/>
        <v>pm</v>
      </c>
      <c r="G15" s="176" t="s">
        <v>383</v>
      </c>
      <c r="H15" s="176" t="s">
        <v>384</v>
      </c>
      <c r="I15" s="176" t="s">
        <v>385</v>
      </c>
      <c r="J15" s="177" t="s">
        <v>22</v>
      </c>
      <c r="K15" s="178">
        <f t="shared" si="5"/>
        <v>1449.5507700226187</v>
      </c>
      <c r="L15" s="176"/>
      <c r="M15" s="178">
        <v>1520</v>
      </c>
      <c r="O15" s="178">
        <v>1522.1891036154591</v>
      </c>
      <c r="P15" s="178"/>
      <c r="Q15" s="178"/>
      <c r="R15" s="178"/>
      <c r="S15" s="178">
        <v>1449.5507700226187</v>
      </c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</row>
    <row r="16" spans="1:35" x14ac:dyDescent="0.25">
      <c r="A16" s="176">
        <v>4</v>
      </c>
      <c r="B16" s="176"/>
      <c r="C16" s="176">
        <f t="shared" si="1"/>
        <v>12</v>
      </c>
      <c r="D16" s="176">
        <f t="shared" si="2"/>
        <v>12</v>
      </c>
      <c r="E16" s="176">
        <f t="shared" si="3"/>
        <v>12</v>
      </c>
      <c r="F16" s="176" t="str">
        <f t="shared" si="4"/>
        <v>pm</v>
      </c>
      <c r="G16" s="176" t="s">
        <v>386</v>
      </c>
      <c r="H16" s="176" t="s">
        <v>387</v>
      </c>
      <c r="I16" s="176" t="s">
        <v>388</v>
      </c>
      <c r="J16" s="177" t="s">
        <v>22</v>
      </c>
      <c r="K16" s="178">
        <f t="shared" si="5"/>
        <v>1579.837673206011</v>
      </c>
      <c r="L16" s="176"/>
      <c r="M16" s="178">
        <v>1500</v>
      </c>
      <c r="O16" s="178"/>
      <c r="P16" s="178">
        <v>1529.0989384029981</v>
      </c>
      <c r="Q16" s="178"/>
      <c r="R16" s="178">
        <v>1587.0203486316693</v>
      </c>
      <c r="S16" s="178">
        <v>1579.837673206011</v>
      </c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</row>
    <row r="17" spans="1:35" s="178" customFormat="1" x14ac:dyDescent="0.25">
      <c r="A17" s="176">
        <v>4</v>
      </c>
      <c r="B17" s="176"/>
      <c r="C17" s="176">
        <f t="shared" si="1"/>
        <v>13</v>
      </c>
      <c r="D17" s="176">
        <f t="shared" si="2"/>
        <v>12</v>
      </c>
      <c r="E17" s="176">
        <f t="shared" si="3"/>
        <v>12</v>
      </c>
      <c r="F17" s="176" t="str">
        <f t="shared" si="4"/>
        <v>pm</v>
      </c>
      <c r="G17" s="176" t="s">
        <v>202</v>
      </c>
      <c r="H17" s="176" t="s">
        <v>378</v>
      </c>
      <c r="I17" s="176" t="s">
        <v>201</v>
      </c>
      <c r="J17" s="177" t="s">
        <v>22</v>
      </c>
      <c r="K17" s="178">
        <f t="shared" si="5"/>
        <v>1445.0590104301564</v>
      </c>
      <c r="L17" s="176"/>
      <c r="M17" s="178">
        <v>1500</v>
      </c>
      <c r="O17" s="178">
        <v>1497.2124647290968</v>
      </c>
      <c r="S17" s="178">
        <v>1545.8627202771247</v>
      </c>
      <c r="T17" s="178">
        <v>1445.0590104301564</v>
      </c>
      <c r="AH17" s="175"/>
      <c r="AI17" s="175"/>
    </row>
    <row r="18" spans="1:35" s="178" customFormat="1" x14ac:dyDescent="0.25">
      <c r="A18" s="176">
        <v>2</v>
      </c>
      <c r="B18" s="176"/>
      <c r="C18" s="176">
        <f t="shared" si="1"/>
        <v>14</v>
      </c>
      <c r="D18" s="176">
        <f t="shared" si="2"/>
        <v>12</v>
      </c>
      <c r="E18" s="176">
        <f t="shared" si="3"/>
        <v>12</v>
      </c>
      <c r="F18" s="176" t="str">
        <f t="shared" si="4"/>
        <v>pm</v>
      </c>
      <c r="G18" s="176" t="s">
        <v>389</v>
      </c>
      <c r="H18" s="176" t="s">
        <v>390</v>
      </c>
      <c r="I18" s="176" t="s">
        <v>391</v>
      </c>
      <c r="J18" s="177" t="s">
        <v>22</v>
      </c>
      <c r="K18" s="178">
        <f t="shared" si="5"/>
        <v>1495.1518906606425</v>
      </c>
      <c r="L18" s="176"/>
      <c r="M18" s="178">
        <v>1500</v>
      </c>
      <c r="R18" s="178">
        <v>1495.1518906606425</v>
      </c>
      <c r="AH18" s="175"/>
      <c r="AI18" s="175"/>
    </row>
    <row r="19" spans="1:35" s="178" customFormat="1" x14ac:dyDescent="0.25">
      <c r="A19" s="176">
        <v>6</v>
      </c>
      <c r="B19" s="176"/>
      <c r="C19" s="176">
        <f t="shared" si="1"/>
        <v>15</v>
      </c>
      <c r="D19" s="176">
        <f t="shared" si="2"/>
        <v>15</v>
      </c>
      <c r="E19" s="176">
        <f t="shared" si="3"/>
        <v>12</v>
      </c>
      <c r="F19" s="176" t="str">
        <f t="shared" si="4"/>
        <v>pm</v>
      </c>
      <c r="G19" s="176" t="s">
        <v>39</v>
      </c>
      <c r="H19" s="176" t="s">
        <v>392</v>
      </c>
      <c r="I19" s="176" t="s">
        <v>38</v>
      </c>
      <c r="J19" s="177" t="s">
        <v>21</v>
      </c>
      <c r="K19" s="178">
        <f t="shared" si="5"/>
        <v>1425.664964424519</v>
      </c>
      <c r="L19" s="176"/>
      <c r="M19" s="178">
        <v>1466.6666666666667</v>
      </c>
      <c r="R19" s="178">
        <v>1393.502057373001</v>
      </c>
      <c r="T19" s="178">
        <v>1425.664964424519</v>
      </c>
      <c r="AH19" s="175"/>
      <c r="AI19" s="175"/>
    </row>
    <row r="20" spans="1:35" s="178" customFormat="1" x14ac:dyDescent="0.25">
      <c r="A20" s="176">
        <v>4</v>
      </c>
      <c r="B20" s="176"/>
      <c r="C20" s="176">
        <f t="shared" si="1"/>
        <v>16</v>
      </c>
      <c r="D20" s="176">
        <f t="shared" si="2"/>
        <v>16</v>
      </c>
      <c r="E20" s="176">
        <f t="shared" si="3"/>
        <v>12</v>
      </c>
      <c r="F20" s="176" t="str">
        <f t="shared" si="4"/>
        <v>pm</v>
      </c>
      <c r="G20" s="176" t="s">
        <v>212</v>
      </c>
      <c r="H20" s="176" t="s">
        <v>393</v>
      </c>
      <c r="I20" s="176" t="s">
        <v>211</v>
      </c>
      <c r="J20" s="177" t="s">
        <v>21</v>
      </c>
      <c r="K20" s="178">
        <f t="shared" si="5"/>
        <v>1354.9820024523272</v>
      </c>
      <c r="L20" s="176"/>
      <c r="M20" s="178">
        <v>1450</v>
      </c>
      <c r="Q20" s="178">
        <v>1426.4507672949526</v>
      </c>
      <c r="T20" s="178">
        <v>1354.9820024523272</v>
      </c>
      <c r="AH20" s="175"/>
      <c r="AI20" s="175"/>
    </row>
    <row r="21" spans="1:35" s="178" customFormat="1" x14ac:dyDescent="0.25">
      <c r="A21" s="176">
        <v>3</v>
      </c>
      <c r="B21" s="176"/>
      <c r="C21" s="176">
        <f t="shared" si="1"/>
        <v>17</v>
      </c>
      <c r="D21" s="176">
        <f t="shared" si="2"/>
        <v>17</v>
      </c>
      <c r="E21" s="176">
        <f t="shared" si="3"/>
        <v>12</v>
      </c>
      <c r="F21" s="176" t="str">
        <f t="shared" si="4"/>
        <v>pm</v>
      </c>
      <c r="G21" s="176" t="s">
        <v>394</v>
      </c>
      <c r="H21" s="176" t="s">
        <v>355</v>
      </c>
      <c r="I21" s="176" t="s">
        <v>395</v>
      </c>
      <c r="J21" s="177" t="s">
        <v>21</v>
      </c>
      <c r="K21" s="178">
        <f t="shared" si="5"/>
        <v>1441.797756397913</v>
      </c>
      <c r="L21" s="176"/>
      <c r="M21" s="178">
        <v>1400</v>
      </c>
      <c r="P21" s="178">
        <v>1354.5958072424739</v>
      </c>
      <c r="R21" s="178">
        <v>1441.797756397913</v>
      </c>
      <c r="AH21" s="175"/>
      <c r="AI21" s="175"/>
    </row>
    <row r="22" spans="1:35" s="178" customFormat="1" x14ac:dyDescent="0.25">
      <c r="A22" s="176">
        <v>3</v>
      </c>
      <c r="B22" s="176"/>
      <c r="C22" s="176">
        <f t="shared" si="1"/>
        <v>18</v>
      </c>
      <c r="D22" s="176">
        <f t="shared" si="2"/>
        <v>17</v>
      </c>
      <c r="E22" s="176">
        <f t="shared" si="3"/>
        <v>12</v>
      </c>
      <c r="F22" s="176" t="str">
        <f t="shared" si="4"/>
        <v>pm</v>
      </c>
      <c r="G22" s="176" t="s">
        <v>396</v>
      </c>
      <c r="H22" s="176" t="s">
        <v>355</v>
      </c>
      <c r="I22" s="176" t="s">
        <v>397</v>
      </c>
      <c r="J22" s="177" t="s">
        <v>21</v>
      </c>
      <c r="K22" s="178">
        <f t="shared" si="5"/>
        <v>1396.2512544527322</v>
      </c>
      <c r="L22" s="176"/>
      <c r="M22" s="178">
        <v>1400</v>
      </c>
      <c r="R22" s="178">
        <v>1396.2512544527322</v>
      </c>
      <c r="AH22" s="175"/>
      <c r="AI22" s="175"/>
    </row>
    <row r="23" spans="1:35" s="178" customFormat="1" x14ac:dyDescent="0.25">
      <c r="A23" s="176">
        <v>3</v>
      </c>
      <c r="B23" s="176"/>
      <c r="C23" s="176">
        <f t="shared" si="1"/>
        <v>19</v>
      </c>
      <c r="D23" s="176">
        <f t="shared" si="2"/>
        <v>17</v>
      </c>
      <c r="E23" s="176">
        <f t="shared" si="3"/>
        <v>12</v>
      </c>
      <c r="F23" s="176" t="str">
        <f t="shared" si="4"/>
        <v>pm</v>
      </c>
      <c r="G23" s="176" t="s">
        <v>398</v>
      </c>
      <c r="H23" s="176" t="s">
        <v>355</v>
      </c>
      <c r="I23" s="176" t="s">
        <v>399</v>
      </c>
      <c r="J23" s="177" t="s">
        <v>21</v>
      </c>
      <c r="K23" s="178">
        <f t="shared" si="5"/>
        <v>1441.0927735916528</v>
      </c>
      <c r="L23" s="176"/>
      <c r="M23" s="178">
        <v>1400</v>
      </c>
      <c r="R23" s="178">
        <v>1441.0927735916528</v>
      </c>
      <c r="AH23" s="175"/>
      <c r="AI23" s="175"/>
    </row>
    <row r="24" spans="1:35" s="178" customFormat="1" x14ac:dyDescent="0.25">
      <c r="A24" s="176">
        <v>4</v>
      </c>
      <c r="B24" s="176"/>
      <c r="C24" s="176">
        <f t="shared" si="1"/>
        <v>20</v>
      </c>
      <c r="D24" s="176">
        <f t="shared" si="2"/>
        <v>17</v>
      </c>
      <c r="E24" s="176">
        <f t="shared" si="3"/>
        <v>12</v>
      </c>
      <c r="F24" s="176" t="str">
        <f t="shared" si="4"/>
        <v>pm</v>
      </c>
      <c r="G24" s="176" t="s">
        <v>218</v>
      </c>
      <c r="H24" s="176" t="s">
        <v>400</v>
      </c>
      <c r="I24" s="176" t="s">
        <v>217</v>
      </c>
      <c r="J24" s="177" t="s">
        <v>21</v>
      </c>
      <c r="K24" s="178">
        <f t="shared" si="5"/>
        <v>1498.9080818919695</v>
      </c>
      <c r="L24" s="176"/>
      <c r="M24" s="178">
        <v>1400</v>
      </c>
      <c r="R24" s="178">
        <v>1400.1815869502536</v>
      </c>
      <c r="T24" s="178">
        <v>1498.9080818919695</v>
      </c>
      <c r="AH24" s="175"/>
      <c r="AI24" s="175"/>
    </row>
    <row r="25" spans="1:35" s="178" customFormat="1" x14ac:dyDescent="0.25">
      <c r="A25" s="176">
        <v>6</v>
      </c>
      <c r="B25" s="176"/>
      <c r="C25" s="176">
        <f t="shared" si="1"/>
        <v>21</v>
      </c>
      <c r="D25" s="176">
        <f t="shared" si="2"/>
        <v>17</v>
      </c>
      <c r="E25" s="176">
        <f t="shared" si="3"/>
        <v>12</v>
      </c>
      <c r="F25" s="176" t="str">
        <f t="shared" si="4"/>
        <v>pm</v>
      </c>
      <c r="G25" s="176" t="s">
        <v>216</v>
      </c>
      <c r="H25" s="176" t="s">
        <v>401</v>
      </c>
      <c r="I25" s="176" t="s">
        <v>215</v>
      </c>
      <c r="J25" s="177" t="s">
        <v>21</v>
      </c>
      <c r="K25" s="178">
        <f t="shared" si="5"/>
        <v>1516.8809749614643</v>
      </c>
      <c r="L25" s="176"/>
      <c r="M25" s="178">
        <v>1400</v>
      </c>
      <c r="R25" s="178">
        <v>1417.7394943703641</v>
      </c>
      <c r="T25" s="178">
        <v>1516.8809749614643</v>
      </c>
      <c r="AH25" s="175"/>
      <c r="AI25" s="175"/>
    </row>
    <row r="26" spans="1:35" s="178" customFormat="1" x14ac:dyDescent="0.25">
      <c r="A26" s="176">
        <v>6</v>
      </c>
      <c r="B26" s="176"/>
      <c r="C26" s="176">
        <f t="shared" si="1"/>
        <v>22</v>
      </c>
      <c r="D26" s="176">
        <f t="shared" si="2"/>
        <v>17</v>
      </c>
      <c r="E26" s="176">
        <f t="shared" si="3"/>
        <v>12</v>
      </c>
      <c r="F26" s="176" t="str">
        <f t="shared" si="4"/>
        <v>pm</v>
      </c>
      <c r="G26" s="176" t="s">
        <v>51</v>
      </c>
      <c r="H26" s="176" t="s">
        <v>401</v>
      </c>
      <c r="I26" s="176" t="s">
        <v>50</v>
      </c>
      <c r="J26" s="177" t="s">
        <v>21</v>
      </c>
      <c r="K26" s="178">
        <f t="shared" si="5"/>
        <v>1288.8770288740386</v>
      </c>
      <c r="L26" s="176"/>
      <c r="M26" s="178">
        <v>1400</v>
      </c>
      <c r="R26" s="178">
        <v>1373.7743082657332</v>
      </c>
      <c r="T26" s="178">
        <v>1288.8770288740386</v>
      </c>
      <c r="AH26" s="175"/>
      <c r="AI26" s="175"/>
    </row>
    <row r="27" spans="1:35" s="178" customFormat="1" x14ac:dyDescent="0.25">
      <c r="A27" s="176">
        <v>6</v>
      </c>
      <c r="B27" s="176"/>
      <c r="C27" s="176">
        <f t="shared" si="1"/>
        <v>23</v>
      </c>
      <c r="D27" s="176">
        <f t="shared" si="2"/>
        <v>17</v>
      </c>
      <c r="E27" s="176">
        <f t="shared" si="3"/>
        <v>12</v>
      </c>
      <c r="F27" s="176" t="str">
        <f t="shared" si="4"/>
        <v>pm</v>
      </c>
      <c r="G27" s="176" t="s">
        <v>48</v>
      </c>
      <c r="H27" s="176" t="s">
        <v>402</v>
      </c>
      <c r="I27" s="176" t="s">
        <v>47</v>
      </c>
      <c r="J27" s="177" t="s">
        <v>21</v>
      </c>
      <c r="K27" s="178">
        <f t="shared" si="5"/>
        <v>1421.4642724843534</v>
      </c>
      <c r="L27" s="176"/>
      <c r="M27" s="178">
        <v>1400</v>
      </c>
      <c r="R27" s="178">
        <v>1375.6647897871101</v>
      </c>
      <c r="T27" s="178">
        <v>1421.4642724843534</v>
      </c>
      <c r="AH27" s="175"/>
      <c r="AI27" s="175"/>
    </row>
    <row r="28" spans="1:35" s="178" customFormat="1" x14ac:dyDescent="0.25">
      <c r="A28" s="176">
        <v>6</v>
      </c>
      <c r="B28" s="176"/>
      <c r="C28" s="176">
        <f t="shared" si="1"/>
        <v>24</v>
      </c>
      <c r="D28" s="176">
        <f t="shared" si="2"/>
        <v>17</v>
      </c>
      <c r="E28" s="176">
        <f t="shared" si="3"/>
        <v>12</v>
      </c>
      <c r="F28" s="176" t="str">
        <f t="shared" si="4"/>
        <v>pm</v>
      </c>
      <c r="G28" s="176" t="s">
        <v>214</v>
      </c>
      <c r="H28" s="176" t="s">
        <v>402</v>
      </c>
      <c r="I28" s="176" t="s">
        <v>213</v>
      </c>
      <c r="J28" s="177" t="s">
        <v>21</v>
      </c>
      <c r="K28" s="178">
        <f t="shared" si="5"/>
        <v>1400.8863763371542</v>
      </c>
      <c r="L28" s="176"/>
      <c r="M28" s="178">
        <v>1400</v>
      </c>
      <c r="R28" s="178">
        <v>1418.8311236422678</v>
      </c>
      <c r="T28" s="178">
        <v>1400.8863763371542</v>
      </c>
      <c r="AH28" s="175"/>
      <c r="AI28" s="175"/>
    </row>
    <row r="29" spans="1:35" s="178" customFormat="1" x14ac:dyDescent="0.25">
      <c r="A29" s="176">
        <v>4</v>
      </c>
      <c r="B29" s="176"/>
      <c r="C29" s="176">
        <f t="shared" si="1"/>
        <v>25</v>
      </c>
      <c r="D29" s="176">
        <f t="shared" si="2"/>
        <v>17</v>
      </c>
      <c r="E29" s="176">
        <f t="shared" si="3"/>
        <v>12</v>
      </c>
      <c r="F29" s="176" t="str">
        <f t="shared" si="4"/>
        <v>pm</v>
      </c>
      <c r="G29" s="176" t="s">
        <v>403</v>
      </c>
      <c r="H29" s="176" t="s">
        <v>358</v>
      </c>
      <c r="I29" s="176" t="s">
        <v>404</v>
      </c>
      <c r="J29" s="177" t="s">
        <v>21</v>
      </c>
      <c r="K29" s="178">
        <f t="shared" si="5"/>
        <v>1318.2541648485399</v>
      </c>
      <c r="L29" s="176"/>
      <c r="M29" s="178">
        <v>1400</v>
      </c>
      <c r="P29" s="178">
        <v>1375.0523383535012</v>
      </c>
      <c r="R29" s="178">
        <v>1318.2541648485399</v>
      </c>
      <c r="AH29" s="175"/>
      <c r="AI29" s="175"/>
    </row>
    <row r="30" spans="1:35" s="178" customFormat="1" x14ac:dyDescent="0.25">
      <c r="A30" s="176">
        <v>4</v>
      </c>
      <c r="B30" s="176"/>
      <c r="C30" s="176">
        <f t="shared" si="1"/>
        <v>26</v>
      </c>
      <c r="D30" s="176">
        <f t="shared" si="2"/>
        <v>17</v>
      </c>
      <c r="E30" s="176">
        <f t="shared" si="3"/>
        <v>12</v>
      </c>
      <c r="F30" s="176" t="str">
        <f t="shared" si="4"/>
        <v>pm</v>
      </c>
      <c r="G30" s="176" t="s">
        <v>405</v>
      </c>
      <c r="H30" s="176" t="s">
        <v>406</v>
      </c>
      <c r="I30" s="176" t="s">
        <v>407</v>
      </c>
      <c r="J30" s="177" t="s">
        <v>21</v>
      </c>
      <c r="K30" s="178">
        <f t="shared" si="5"/>
        <v>1497.5998860297041</v>
      </c>
      <c r="L30" s="176"/>
      <c r="M30" s="178">
        <v>1400</v>
      </c>
      <c r="P30" s="178">
        <v>1437.3487614330793</v>
      </c>
      <c r="R30" s="178">
        <v>1497.5998860297041</v>
      </c>
      <c r="AH30" s="175"/>
      <c r="AI30" s="175"/>
    </row>
    <row r="31" spans="1:35" s="178" customFormat="1" x14ac:dyDescent="0.25">
      <c r="A31" s="176">
        <v>3</v>
      </c>
      <c r="B31" s="176"/>
      <c r="C31" s="176">
        <f t="shared" si="1"/>
        <v>27</v>
      </c>
      <c r="D31" s="176">
        <f t="shared" si="2"/>
        <v>17</v>
      </c>
      <c r="E31" s="176">
        <f t="shared" si="3"/>
        <v>12</v>
      </c>
      <c r="F31" s="176" t="str">
        <f t="shared" si="4"/>
        <v>pm</v>
      </c>
      <c r="G31" s="176" t="s">
        <v>220</v>
      </c>
      <c r="H31" s="176" t="s">
        <v>408</v>
      </c>
      <c r="I31" s="176" t="s">
        <v>219</v>
      </c>
      <c r="J31" s="177" t="s">
        <v>21</v>
      </c>
      <c r="K31" s="178">
        <f t="shared" si="5"/>
        <v>1460.4507880808455</v>
      </c>
      <c r="L31" s="176"/>
      <c r="M31" s="178">
        <v>1400</v>
      </c>
      <c r="T31" s="178">
        <v>1460.4507880808455</v>
      </c>
      <c r="AH31" s="175"/>
      <c r="AI31" s="175"/>
    </row>
    <row r="32" spans="1:35" s="178" customFormat="1" x14ac:dyDescent="0.25">
      <c r="A32" s="176">
        <v>1</v>
      </c>
      <c r="B32" s="176"/>
      <c r="C32" s="176">
        <f t="shared" si="1"/>
        <v>28</v>
      </c>
      <c r="D32" s="176">
        <f t="shared" si="2"/>
        <v>17</v>
      </c>
      <c r="E32" s="176">
        <f t="shared" si="3"/>
        <v>12</v>
      </c>
      <c r="F32" s="176" t="str">
        <f t="shared" si="4"/>
        <v>pmx</v>
      </c>
      <c r="G32" s="176" t="s">
        <v>409</v>
      </c>
      <c r="H32" s="176" t="s">
        <v>410</v>
      </c>
      <c r="I32" s="176" t="s">
        <v>411</v>
      </c>
      <c r="J32" s="177" t="s">
        <v>21</v>
      </c>
      <c r="K32" s="178">
        <f t="shared" si="5"/>
        <v>1491.818053534166</v>
      </c>
      <c r="L32" s="176"/>
      <c r="M32" s="178">
        <v>1400</v>
      </c>
      <c r="P32" s="178">
        <v>1491.818053534166</v>
      </c>
      <c r="AH32" s="175"/>
      <c r="AI32" s="175"/>
    </row>
    <row r="33" spans="1:35" s="178" customFormat="1" x14ac:dyDescent="0.25">
      <c r="A33" s="176">
        <v>6</v>
      </c>
      <c r="B33" s="176"/>
      <c r="C33" s="176">
        <f t="shared" si="1"/>
        <v>29</v>
      </c>
      <c r="D33" s="176">
        <f t="shared" si="2"/>
        <v>17</v>
      </c>
      <c r="E33" s="176">
        <f t="shared" si="3"/>
        <v>12</v>
      </c>
      <c r="F33" s="176" t="str">
        <f t="shared" si="4"/>
        <v>pm</v>
      </c>
      <c r="G33" s="176" t="s">
        <v>54</v>
      </c>
      <c r="H33" s="176" t="s">
        <v>412</v>
      </c>
      <c r="I33" s="176" t="s">
        <v>53</v>
      </c>
      <c r="J33" s="177" t="s">
        <v>21</v>
      </c>
      <c r="K33" s="178">
        <f t="shared" si="5"/>
        <v>1389.3253833869005</v>
      </c>
      <c r="L33" s="176"/>
      <c r="M33" s="178">
        <v>1400</v>
      </c>
      <c r="R33" s="178">
        <v>1368.3041030693962</v>
      </c>
      <c r="T33" s="178">
        <v>1389.3253833869005</v>
      </c>
      <c r="AH33" s="175"/>
      <c r="AI33" s="175"/>
    </row>
    <row r="34" spans="1:35" s="178" customFormat="1" x14ac:dyDescent="0.25">
      <c r="A34" s="176">
        <v>6</v>
      </c>
      <c r="B34" s="176"/>
      <c r="C34" s="176">
        <f t="shared" si="1"/>
        <v>30</v>
      </c>
      <c r="D34" s="176">
        <f t="shared" si="2"/>
        <v>17</v>
      </c>
      <c r="E34" s="176">
        <f t="shared" si="3"/>
        <v>12</v>
      </c>
      <c r="F34" s="176" t="str">
        <f t="shared" si="4"/>
        <v>pm</v>
      </c>
      <c r="G34" s="176" t="s">
        <v>210</v>
      </c>
      <c r="H34" s="176" t="s">
        <v>412</v>
      </c>
      <c r="I34" s="176" t="s">
        <v>209</v>
      </c>
      <c r="J34" s="177" t="s">
        <v>21</v>
      </c>
      <c r="K34" s="178">
        <f t="shared" si="5"/>
        <v>1361.4639314907565</v>
      </c>
      <c r="L34" s="176"/>
      <c r="M34" s="178">
        <v>1400</v>
      </c>
      <c r="R34" s="178">
        <v>1443.6793957766529</v>
      </c>
      <c r="T34" s="178">
        <v>1361.4639314907565</v>
      </c>
      <c r="AH34" s="175"/>
      <c r="AI34" s="175"/>
    </row>
    <row r="35" spans="1:35" s="178" customFormat="1" x14ac:dyDescent="0.25">
      <c r="A35" s="176">
        <v>4</v>
      </c>
      <c r="B35" s="176"/>
      <c r="C35" s="176">
        <f t="shared" si="1"/>
        <v>31</v>
      </c>
      <c r="D35" s="176">
        <f t="shared" si="2"/>
        <v>17</v>
      </c>
      <c r="E35" s="176">
        <f t="shared" si="3"/>
        <v>12</v>
      </c>
      <c r="F35" s="176" t="str">
        <f t="shared" si="4"/>
        <v>pm</v>
      </c>
      <c r="G35" s="176" t="s">
        <v>24</v>
      </c>
      <c r="H35" s="176" t="s">
        <v>365</v>
      </c>
      <c r="I35" s="176" t="s">
        <v>23</v>
      </c>
      <c r="J35" s="177" t="s">
        <v>21</v>
      </c>
      <c r="K35" s="178">
        <f t="shared" si="5"/>
        <v>1289.6307267867726</v>
      </c>
      <c r="L35" s="176"/>
      <c r="M35" s="178">
        <v>1400</v>
      </c>
      <c r="T35" s="178">
        <v>1289.6307267867726</v>
      </c>
      <c r="AH35" s="175"/>
      <c r="AI35" s="175"/>
    </row>
    <row r="36" spans="1:35" s="178" customFormat="1" x14ac:dyDescent="0.25">
      <c r="A36" s="176">
        <v>3</v>
      </c>
      <c r="B36" s="176"/>
      <c r="C36" s="176">
        <f t="shared" si="1"/>
        <v>32</v>
      </c>
      <c r="D36" s="176">
        <f t="shared" si="2"/>
        <v>17</v>
      </c>
      <c r="E36" s="176">
        <f t="shared" si="3"/>
        <v>12</v>
      </c>
      <c r="F36" s="176" t="str">
        <f t="shared" si="4"/>
        <v>pm</v>
      </c>
      <c r="G36" s="176" t="s">
        <v>413</v>
      </c>
      <c r="H36" s="176" t="s">
        <v>387</v>
      </c>
      <c r="I36" s="176" t="s">
        <v>414</v>
      </c>
      <c r="J36" s="177" t="s">
        <v>21</v>
      </c>
      <c r="K36" s="178">
        <f t="shared" si="5"/>
        <v>1503.5614357480144</v>
      </c>
      <c r="L36" s="176"/>
      <c r="M36" s="178">
        <v>1400</v>
      </c>
      <c r="R36" s="178">
        <v>1503.5614357480144</v>
      </c>
      <c r="AH36" s="175"/>
      <c r="AI36" s="175"/>
    </row>
    <row r="37" spans="1:35" s="178" customFormat="1" x14ac:dyDescent="0.25">
      <c r="A37" s="176">
        <v>2</v>
      </c>
      <c r="B37" s="176"/>
      <c r="C37" s="176">
        <f t="shared" si="1"/>
        <v>33</v>
      </c>
      <c r="D37" s="176">
        <f t="shared" si="2"/>
        <v>17</v>
      </c>
      <c r="E37" s="176">
        <f t="shared" si="3"/>
        <v>12</v>
      </c>
      <c r="F37" s="176" t="str">
        <f t="shared" si="4"/>
        <v>pm</v>
      </c>
      <c r="G37" s="176" t="s">
        <v>415</v>
      </c>
      <c r="H37" s="176" t="s">
        <v>387</v>
      </c>
      <c r="I37" s="176" t="s">
        <v>416</v>
      </c>
      <c r="J37" s="177" t="s">
        <v>21</v>
      </c>
      <c r="K37" s="178">
        <f t="shared" si="5"/>
        <v>1339.761735911097</v>
      </c>
      <c r="L37" s="176"/>
      <c r="M37" s="178">
        <v>1400</v>
      </c>
      <c r="R37" s="178">
        <v>1339.761735911097</v>
      </c>
      <c r="AH37" s="175"/>
      <c r="AI37" s="175"/>
    </row>
    <row r="38" spans="1:35" s="178" customFormat="1" x14ac:dyDescent="0.25">
      <c r="A38" s="176">
        <v>2</v>
      </c>
      <c r="B38" s="176"/>
      <c r="C38" s="176">
        <f t="shared" si="1"/>
        <v>34</v>
      </c>
      <c r="D38" s="176">
        <f t="shared" si="2"/>
        <v>17</v>
      </c>
      <c r="E38" s="176">
        <f t="shared" si="3"/>
        <v>12</v>
      </c>
      <c r="F38" s="176" t="str">
        <f t="shared" si="4"/>
        <v>pm</v>
      </c>
      <c r="G38" s="176" t="s">
        <v>417</v>
      </c>
      <c r="H38" s="176" t="s">
        <v>387</v>
      </c>
      <c r="I38" s="176" t="s">
        <v>418</v>
      </c>
      <c r="J38" s="177" t="s">
        <v>21</v>
      </c>
      <c r="K38" s="178">
        <f t="shared" si="5"/>
        <v>1279.5314323800401</v>
      </c>
      <c r="L38" s="176"/>
      <c r="M38" s="178">
        <v>1400</v>
      </c>
      <c r="R38" s="178">
        <v>1279.5314323800401</v>
      </c>
      <c r="AH38" s="175"/>
      <c r="AI38" s="175"/>
    </row>
    <row r="39" spans="1:35" s="178" customFormat="1" x14ac:dyDescent="0.25">
      <c r="A39" s="176">
        <v>3</v>
      </c>
      <c r="B39" s="176"/>
      <c r="C39" s="176">
        <f t="shared" si="1"/>
        <v>35</v>
      </c>
      <c r="D39" s="176">
        <f t="shared" si="2"/>
        <v>17</v>
      </c>
      <c r="E39" s="176">
        <f t="shared" si="3"/>
        <v>12</v>
      </c>
      <c r="F39" s="176" t="str">
        <f t="shared" si="4"/>
        <v>pm</v>
      </c>
      <c r="G39" s="176" t="s">
        <v>419</v>
      </c>
      <c r="H39" s="176" t="s">
        <v>387</v>
      </c>
      <c r="I39" s="176" t="s">
        <v>420</v>
      </c>
      <c r="J39" s="177" t="s">
        <v>21</v>
      </c>
      <c r="K39" s="178">
        <f t="shared" si="5"/>
        <v>1371.0061506271329</v>
      </c>
      <c r="L39" s="176"/>
      <c r="M39" s="178">
        <v>1400</v>
      </c>
      <c r="R39" s="178">
        <v>1371.0061506271329</v>
      </c>
      <c r="AH39" s="175"/>
      <c r="AI39" s="175"/>
    </row>
    <row r="40" spans="1:35" s="178" customFormat="1" x14ac:dyDescent="0.25">
      <c r="A40" s="176">
        <v>6</v>
      </c>
      <c r="B40" s="176"/>
      <c r="C40" s="176">
        <f t="shared" si="1"/>
        <v>36</v>
      </c>
      <c r="D40" s="176">
        <f t="shared" si="2"/>
        <v>17</v>
      </c>
      <c r="E40" s="176">
        <f t="shared" si="3"/>
        <v>12</v>
      </c>
      <c r="F40" s="176" t="str">
        <f t="shared" si="4"/>
        <v>pm</v>
      </c>
      <c r="G40" s="176" t="s">
        <v>63</v>
      </c>
      <c r="H40" s="176" t="s">
        <v>392</v>
      </c>
      <c r="I40" s="176" t="s">
        <v>62</v>
      </c>
      <c r="J40" s="177" t="s">
        <v>21</v>
      </c>
      <c r="K40" s="178">
        <f t="shared" si="5"/>
        <v>1307.0130824494734</v>
      </c>
      <c r="L40" s="176"/>
      <c r="M40" s="178">
        <v>1400</v>
      </c>
      <c r="R40" s="178">
        <v>1321.2738836240517</v>
      </c>
      <c r="T40" s="178">
        <v>1307.0130824494734</v>
      </c>
      <c r="AH40" s="175"/>
      <c r="AI40" s="175"/>
    </row>
    <row r="41" spans="1:35" s="178" customFormat="1" x14ac:dyDescent="0.25">
      <c r="A41" s="176">
        <v>5</v>
      </c>
      <c r="B41" s="176"/>
      <c r="C41" s="176">
        <f t="shared" si="1"/>
        <v>37</v>
      </c>
      <c r="D41" s="176">
        <f t="shared" si="2"/>
        <v>17</v>
      </c>
      <c r="E41" s="176">
        <f t="shared" si="3"/>
        <v>12</v>
      </c>
      <c r="F41" s="176" t="str">
        <f t="shared" si="4"/>
        <v>pm</v>
      </c>
      <c r="G41" s="176" t="s">
        <v>208</v>
      </c>
      <c r="H41" s="176" t="s">
        <v>421</v>
      </c>
      <c r="I41" s="176" t="s">
        <v>207</v>
      </c>
      <c r="J41" s="177" t="s">
        <v>21</v>
      </c>
      <c r="K41" s="178">
        <f t="shared" si="5"/>
        <v>1453.397960125621</v>
      </c>
      <c r="L41" s="176"/>
      <c r="M41" s="178">
        <v>1400</v>
      </c>
      <c r="R41" s="178">
        <v>1450.7912672511281</v>
      </c>
      <c r="T41" s="178">
        <v>1453.397960125621</v>
      </c>
      <c r="AH41" s="175"/>
      <c r="AI41" s="175"/>
    </row>
    <row r="42" spans="1:35" s="178" customFormat="1" x14ac:dyDescent="0.25">
      <c r="A42" s="176">
        <v>7</v>
      </c>
      <c r="B42" s="176"/>
      <c r="C42" s="176">
        <f t="shared" si="1"/>
        <v>38</v>
      </c>
      <c r="D42" s="176">
        <f t="shared" si="2"/>
        <v>38</v>
      </c>
      <c r="E42" s="176">
        <f t="shared" si="3"/>
        <v>12</v>
      </c>
      <c r="F42" s="176" t="str">
        <f t="shared" si="4"/>
        <v>pm</v>
      </c>
      <c r="G42" s="176" t="s">
        <v>57</v>
      </c>
      <c r="H42" s="176" t="s">
        <v>412</v>
      </c>
      <c r="I42" s="176" t="s">
        <v>56</v>
      </c>
      <c r="J42" s="177" t="s">
        <v>21</v>
      </c>
      <c r="K42" s="178">
        <f t="shared" si="5"/>
        <v>1391.547816818643</v>
      </c>
      <c r="L42" s="176"/>
      <c r="M42" s="178">
        <v>1371.4285714285713</v>
      </c>
      <c r="R42" s="178">
        <v>1345.1281772310635</v>
      </c>
      <c r="T42" s="178">
        <v>1391.547816818643</v>
      </c>
      <c r="AH42" s="175"/>
      <c r="AI42" s="175"/>
    </row>
    <row r="43" spans="1:35" s="178" customFormat="1" x14ac:dyDescent="0.25">
      <c r="A43" s="176">
        <v>4</v>
      </c>
      <c r="B43" s="176"/>
      <c r="C43" s="176">
        <f t="shared" si="1"/>
        <v>39</v>
      </c>
      <c r="D43" s="176">
        <f t="shared" si="2"/>
        <v>39</v>
      </c>
      <c r="E43" s="176">
        <f t="shared" si="3"/>
        <v>12</v>
      </c>
      <c r="F43" s="176" t="str">
        <f t="shared" si="4"/>
        <v>pm</v>
      </c>
      <c r="G43" s="176" t="s">
        <v>60</v>
      </c>
      <c r="H43" s="176" t="s">
        <v>422</v>
      </c>
      <c r="I43" s="176" t="s">
        <v>59</v>
      </c>
      <c r="J43" s="177" t="s">
        <v>21</v>
      </c>
      <c r="K43" s="178">
        <f t="shared" si="5"/>
        <v>1178.6422198857679</v>
      </c>
      <c r="L43" s="176"/>
      <c r="M43" s="178">
        <v>1350</v>
      </c>
      <c r="P43" s="178">
        <v>1262.0861010337815</v>
      </c>
      <c r="R43" s="178">
        <v>1212.6460682694362</v>
      </c>
      <c r="T43" s="178">
        <v>1178.6422198857679</v>
      </c>
      <c r="AH43" s="175"/>
      <c r="AI43" s="175"/>
    </row>
    <row r="44" spans="1:35" s="178" customFormat="1" x14ac:dyDescent="0.25">
      <c r="A44" s="176">
        <v>6</v>
      </c>
      <c r="B44" s="176"/>
      <c r="C44" s="176">
        <f t="shared" si="1"/>
        <v>40</v>
      </c>
      <c r="D44" s="176">
        <f t="shared" si="2"/>
        <v>40</v>
      </c>
      <c r="E44" s="176">
        <f t="shared" si="3"/>
        <v>12</v>
      </c>
      <c r="F44" s="176" t="str">
        <f t="shared" si="4"/>
        <v>pm</v>
      </c>
      <c r="G44" s="176" t="s">
        <v>206</v>
      </c>
      <c r="H44" s="176" t="s">
        <v>392</v>
      </c>
      <c r="I44" s="176" t="s">
        <v>205</v>
      </c>
      <c r="J44" s="177" t="s">
        <v>21</v>
      </c>
      <c r="K44" s="178">
        <f t="shared" si="5"/>
        <v>1541.7446072243681</v>
      </c>
      <c r="L44" s="176"/>
      <c r="M44" s="178">
        <v>1333.3333333333333</v>
      </c>
      <c r="R44" s="178">
        <v>1456.291164140775</v>
      </c>
      <c r="T44" s="178">
        <v>1541.7446072243681</v>
      </c>
      <c r="AH44" s="175"/>
      <c r="AI44" s="175"/>
    </row>
    <row r="45" spans="1:35" s="178" customFormat="1" x14ac:dyDescent="0.25">
      <c r="A45" s="176">
        <v>2</v>
      </c>
      <c r="B45" s="176"/>
      <c r="C45" s="176">
        <f t="shared" si="1"/>
        <v>41</v>
      </c>
      <c r="D45" s="176">
        <f t="shared" si="2"/>
        <v>41</v>
      </c>
      <c r="E45" s="176">
        <f t="shared" si="3"/>
        <v>12</v>
      </c>
      <c r="F45" s="176" t="str">
        <f t="shared" si="4"/>
        <v>pm</v>
      </c>
      <c r="G45" s="176" t="s">
        <v>423</v>
      </c>
      <c r="H45" s="176" t="s">
        <v>390</v>
      </c>
      <c r="I45" s="176" t="s">
        <v>424</v>
      </c>
      <c r="J45" s="177" t="s">
        <v>21</v>
      </c>
      <c r="K45" s="178">
        <f t="shared" si="5"/>
        <v>1293.619933628122</v>
      </c>
      <c r="L45" s="176"/>
      <c r="M45" s="178">
        <v>1300</v>
      </c>
      <c r="R45" s="178">
        <v>1293.619933628122</v>
      </c>
      <c r="AH45" s="175"/>
      <c r="AI45" s="175"/>
    </row>
    <row r="46" spans="1:35" s="178" customFormat="1" x14ac:dyDescent="0.25">
      <c r="A46" s="176">
        <v>3</v>
      </c>
      <c r="B46" s="176"/>
      <c r="C46" s="176">
        <f t="shared" si="1"/>
        <v>42</v>
      </c>
      <c r="D46" s="176">
        <f t="shared" si="2"/>
        <v>42</v>
      </c>
      <c r="E46" s="176">
        <f t="shared" si="3"/>
        <v>12</v>
      </c>
      <c r="F46" s="176" t="str">
        <f t="shared" si="4"/>
        <v>pm</v>
      </c>
      <c r="G46" s="176" t="s">
        <v>425</v>
      </c>
      <c r="H46" s="176" t="s">
        <v>355</v>
      </c>
      <c r="I46" s="176" t="s">
        <v>426</v>
      </c>
      <c r="J46" s="177" t="s">
        <v>360</v>
      </c>
      <c r="K46" s="178">
        <f t="shared" si="5"/>
        <v>1208.4683851329539</v>
      </c>
      <c r="L46" s="176"/>
      <c r="M46" s="178">
        <v>1200</v>
      </c>
      <c r="R46" s="178">
        <v>1208.4683851329539</v>
      </c>
      <c r="AH46" s="175"/>
      <c r="AI46" s="175"/>
    </row>
    <row r="47" spans="1:35" s="178" customFormat="1" x14ac:dyDescent="0.25">
      <c r="A47" s="176">
        <v>3</v>
      </c>
      <c r="B47" s="176"/>
      <c r="C47" s="176">
        <f t="shared" si="1"/>
        <v>43</v>
      </c>
      <c r="D47" s="176">
        <f t="shared" si="2"/>
        <v>42</v>
      </c>
      <c r="E47" s="176">
        <f t="shared" si="3"/>
        <v>12</v>
      </c>
      <c r="F47" s="176" t="str">
        <f t="shared" si="4"/>
        <v>pm</v>
      </c>
      <c r="G47" s="176" t="s">
        <v>427</v>
      </c>
      <c r="H47" s="176" t="s">
        <v>355</v>
      </c>
      <c r="I47" s="176" t="s">
        <v>428</v>
      </c>
      <c r="J47" s="177" t="s">
        <v>360</v>
      </c>
      <c r="K47" s="178">
        <f t="shared" si="5"/>
        <v>1292.6373253209092</v>
      </c>
      <c r="L47" s="176"/>
      <c r="M47" s="178">
        <v>1200</v>
      </c>
      <c r="R47" s="178">
        <v>1292.6373253209092</v>
      </c>
      <c r="AH47" s="175"/>
      <c r="AI47" s="175"/>
    </row>
    <row r="48" spans="1:35" s="178" customFormat="1" x14ac:dyDescent="0.25">
      <c r="A48" s="176">
        <v>3</v>
      </c>
      <c r="B48" s="176"/>
      <c r="C48" s="176">
        <f t="shared" si="1"/>
        <v>44</v>
      </c>
      <c r="D48" s="176">
        <f t="shared" si="2"/>
        <v>42</v>
      </c>
      <c r="E48" s="176">
        <f t="shared" si="3"/>
        <v>12</v>
      </c>
      <c r="F48" s="176" t="str">
        <f t="shared" si="4"/>
        <v>pm</v>
      </c>
      <c r="G48" s="176" t="s">
        <v>429</v>
      </c>
      <c r="H48" s="176" t="s">
        <v>355</v>
      </c>
      <c r="I48" s="176" t="s">
        <v>430</v>
      </c>
      <c r="J48" s="177" t="s">
        <v>360</v>
      </c>
      <c r="K48" s="178">
        <f t="shared" si="5"/>
        <v>1233.1715808383456</v>
      </c>
      <c r="L48" s="176"/>
      <c r="M48" s="178">
        <v>1200</v>
      </c>
      <c r="R48" s="178">
        <v>1233.1715808383456</v>
      </c>
      <c r="AH48" s="175"/>
      <c r="AI48" s="175"/>
    </row>
    <row r="49" spans="1:35" s="178" customFormat="1" x14ac:dyDescent="0.25">
      <c r="A49" s="176">
        <v>4</v>
      </c>
      <c r="B49" s="176"/>
      <c r="C49" s="176">
        <f t="shared" si="1"/>
        <v>45</v>
      </c>
      <c r="D49" s="176">
        <f t="shared" si="2"/>
        <v>42</v>
      </c>
      <c r="E49" s="176">
        <f t="shared" si="3"/>
        <v>12</v>
      </c>
      <c r="F49" s="176" t="str">
        <f t="shared" si="4"/>
        <v>pm</v>
      </c>
      <c r="G49" s="176" t="s">
        <v>431</v>
      </c>
      <c r="H49" s="176" t="s">
        <v>432</v>
      </c>
      <c r="I49" s="176" t="s">
        <v>433</v>
      </c>
      <c r="J49" s="177" t="s">
        <v>360</v>
      </c>
      <c r="K49" s="178">
        <f t="shared" si="5"/>
        <v>1314.5144620222545</v>
      </c>
      <c r="L49" s="176"/>
      <c r="M49" s="178">
        <v>1200</v>
      </c>
      <c r="R49" s="178">
        <v>1274.9503770355423</v>
      </c>
      <c r="T49" s="178">
        <v>1314.5144620222545</v>
      </c>
      <c r="AH49" s="175"/>
      <c r="AI49" s="175"/>
    </row>
    <row r="50" spans="1:35" s="178" customFormat="1" x14ac:dyDescent="0.25">
      <c r="A50" s="176">
        <v>4</v>
      </c>
      <c r="B50" s="176"/>
      <c r="C50" s="176">
        <f t="shared" si="1"/>
        <v>46</v>
      </c>
      <c r="D50" s="176">
        <f t="shared" si="2"/>
        <v>42</v>
      </c>
      <c r="E50" s="176">
        <f t="shared" si="3"/>
        <v>12</v>
      </c>
      <c r="F50" s="176" t="str">
        <f t="shared" si="4"/>
        <v>pm</v>
      </c>
      <c r="G50" s="176" t="s">
        <v>434</v>
      </c>
      <c r="H50" s="176" t="s">
        <v>406</v>
      </c>
      <c r="I50" s="176" t="s">
        <v>435</v>
      </c>
      <c r="J50" s="177" t="s">
        <v>360</v>
      </c>
      <c r="K50" s="178">
        <f t="shared" si="5"/>
        <v>1129.3970315328922</v>
      </c>
      <c r="L50" s="176"/>
      <c r="M50" s="178">
        <v>1200</v>
      </c>
      <c r="R50" s="178">
        <v>1157.9314597187015</v>
      </c>
      <c r="T50" s="178">
        <v>1129.3970315328922</v>
      </c>
      <c r="AH50" s="175"/>
      <c r="AI50" s="175"/>
    </row>
    <row r="51" spans="1:35" s="178" customFormat="1" x14ac:dyDescent="0.25">
      <c r="A51" s="176">
        <v>4</v>
      </c>
      <c r="B51" s="176"/>
      <c r="C51" s="176">
        <f t="shared" si="1"/>
        <v>47</v>
      </c>
      <c r="D51" s="176">
        <f t="shared" si="2"/>
        <v>42</v>
      </c>
      <c r="E51" s="176">
        <f t="shared" si="3"/>
        <v>12</v>
      </c>
      <c r="F51" s="176" t="str">
        <f t="shared" si="4"/>
        <v>pm</v>
      </c>
      <c r="G51" s="176" t="s">
        <v>436</v>
      </c>
      <c r="H51" s="176" t="s">
        <v>406</v>
      </c>
      <c r="I51" s="176" t="s">
        <v>437</v>
      </c>
      <c r="J51" s="177" t="s">
        <v>360</v>
      </c>
      <c r="K51" s="178">
        <f t="shared" si="5"/>
        <v>1237.8733435233182</v>
      </c>
      <c r="L51" s="176"/>
      <c r="M51" s="178">
        <v>1200</v>
      </c>
      <c r="R51" s="178">
        <v>1202.1576214335375</v>
      </c>
      <c r="T51" s="178">
        <v>1237.8733435233182</v>
      </c>
      <c r="AH51" s="175"/>
      <c r="AI51" s="175"/>
    </row>
    <row r="52" spans="1:35" s="178" customFormat="1" x14ac:dyDescent="0.25">
      <c r="A52" s="176">
        <v>4</v>
      </c>
      <c r="B52" s="176"/>
      <c r="C52" s="176">
        <f t="shared" si="1"/>
        <v>48</v>
      </c>
      <c r="D52" s="176">
        <f t="shared" si="2"/>
        <v>42</v>
      </c>
      <c r="E52" s="176">
        <f t="shared" si="3"/>
        <v>12</v>
      </c>
      <c r="F52" s="176" t="str">
        <f t="shared" si="4"/>
        <v>pm</v>
      </c>
      <c r="G52" s="176" t="s">
        <v>438</v>
      </c>
      <c r="H52" s="176" t="s">
        <v>406</v>
      </c>
      <c r="I52" s="176" t="s">
        <v>439</v>
      </c>
      <c r="J52" s="177" t="s">
        <v>360</v>
      </c>
      <c r="K52" s="178">
        <f t="shared" si="5"/>
        <v>1225.2301659580562</v>
      </c>
      <c r="L52" s="176"/>
      <c r="M52" s="178">
        <v>1200</v>
      </c>
      <c r="R52" s="178">
        <v>1203.1411394635875</v>
      </c>
      <c r="T52" s="178">
        <v>1225.2301659580562</v>
      </c>
      <c r="AH52" s="175"/>
      <c r="AI52" s="175"/>
    </row>
    <row r="53" spans="1:35" s="178" customFormat="1" x14ac:dyDescent="0.25">
      <c r="A53" s="176">
        <v>3</v>
      </c>
      <c r="B53" s="176"/>
      <c r="C53" s="176">
        <f t="shared" si="1"/>
        <v>49</v>
      </c>
      <c r="D53" s="176">
        <f t="shared" si="2"/>
        <v>42</v>
      </c>
      <c r="E53" s="176">
        <f t="shared" si="3"/>
        <v>12</v>
      </c>
      <c r="F53" s="176" t="str">
        <f t="shared" si="4"/>
        <v>pm</v>
      </c>
      <c r="G53" s="176" t="s">
        <v>440</v>
      </c>
      <c r="H53" s="176" t="s">
        <v>412</v>
      </c>
      <c r="I53" s="176" t="s">
        <v>441</v>
      </c>
      <c r="J53" s="177" t="s">
        <v>360</v>
      </c>
      <c r="K53" s="178">
        <f t="shared" si="5"/>
        <v>1254.0220353337193</v>
      </c>
      <c r="L53" s="176"/>
      <c r="M53" s="178">
        <v>1200</v>
      </c>
      <c r="R53" s="178">
        <v>1238.5911205484977</v>
      </c>
      <c r="T53" s="178">
        <v>1254.0220353337193</v>
      </c>
      <c r="AH53" s="175"/>
      <c r="AI53" s="175"/>
    </row>
    <row r="54" spans="1:35" s="178" customFormat="1" x14ac:dyDescent="0.25">
      <c r="A54" s="176">
        <v>3</v>
      </c>
      <c r="B54" s="176"/>
      <c r="C54" s="176">
        <f t="shared" si="1"/>
        <v>50</v>
      </c>
      <c r="D54" s="176">
        <f t="shared" si="2"/>
        <v>42</v>
      </c>
      <c r="E54" s="176">
        <f t="shared" si="3"/>
        <v>12</v>
      </c>
      <c r="F54" s="176" t="str">
        <f t="shared" si="4"/>
        <v>pm</v>
      </c>
      <c r="G54" s="176" t="s">
        <v>442</v>
      </c>
      <c r="H54" s="176" t="s">
        <v>412</v>
      </c>
      <c r="I54" s="176" t="s">
        <v>443</v>
      </c>
      <c r="J54" s="177" t="s">
        <v>360</v>
      </c>
      <c r="K54" s="178">
        <f t="shared" si="5"/>
        <v>1156.9377403644455</v>
      </c>
      <c r="L54" s="176"/>
      <c r="M54" s="178">
        <v>1200</v>
      </c>
      <c r="R54" s="178">
        <v>1110.6532770275439</v>
      </c>
      <c r="T54" s="178">
        <v>1156.9377403644455</v>
      </c>
      <c r="AH54" s="175"/>
      <c r="AI54" s="175"/>
    </row>
    <row r="55" spans="1:35" s="178" customFormat="1" x14ac:dyDescent="0.25">
      <c r="A55" s="176">
        <v>2</v>
      </c>
      <c r="B55" s="176"/>
      <c r="C55" s="176">
        <f t="shared" si="1"/>
        <v>51</v>
      </c>
      <c r="D55" s="176">
        <f t="shared" si="2"/>
        <v>42</v>
      </c>
      <c r="E55" s="176">
        <f t="shared" si="3"/>
        <v>12</v>
      </c>
      <c r="F55" s="176" t="str">
        <f t="shared" si="4"/>
        <v>pm</v>
      </c>
      <c r="G55" s="176" t="s">
        <v>444</v>
      </c>
      <c r="H55" s="176" t="s">
        <v>365</v>
      </c>
      <c r="I55" s="176" t="s">
        <v>445</v>
      </c>
      <c r="J55" s="177" t="s">
        <v>360</v>
      </c>
      <c r="K55" s="178">
        <f t="shared" si="5"/>
        <v>1190.2613111223468</v>
      </c>
      <c r="L55" s="176"/>
      <c r="M55" s="178">
        <v>1200</v>
      </c>
      <c r="T55" s="178">
        <v>1190.2613111223468</v>
      </c>
      <c r="AH55" s="175"/>
      <c r="AI55" s="175"/>
    </row>
    <row r="56" spans="1:35" s="178" customFormat="1" x14ac:dyDescent="0.25">
      <c r="A56" s="176">
        <v>2</v>
      </c>
      <c r="B56" s="176"/>
      <c r="C56" s="176">
        <f t="shared" si="1"/>
        <v>52</v>
      </c>
      <c r="D56" s="176">
        <f t="shared" si="2"/>
        <v>42</v>
      </c>
      <c r="E56" s="176">
        <f t="shared" si="3"/>
        <v>12</v>
      </c>
      <c r="F56" s="176" t="str">
        <f t="shared" si="4"/>
        <v>pm</v>
      </c>
      <c r="G56" s="176" t="s">
        <v>446</v>
      </c>
      <c r="H56" s="176" t="s">
        <v>365</v>
      </c>
      <c r="I56" s="176" t="s">
        <v>447</v>
      </c>
      <c r="J56" s="177" t="s">
        <v>360</v>
      </c>
      <c r="K56" s="178">
        <f t="shared" si="5"/>
        <v>1104.9764908703403</v>
      </c>
      <c r="L56" s="176"/>
      <c r="M56" s="178">
        <v>1200</v>
      </c>
      <c r="T56" s="178">
        <v>1104.9764908703403</v>
      </c>
      <c r="AH56" s="175"/>
      <c r="AI56" s="175"/>
    </row>
    <row r="57" spans="1:35" s="178" customFormat="1" x14ac:dyDescent="0.25">
      <c r="A57" s="176">
        <v>1</v>
      </c>
      <c r="B57" s="176"/>
      <c r="C57" s="176">
        <f t="shared" si="1"/>
        <v>53</v>
      </c>
      <c r="D57" s="176">
        <f t="shared" si="2"/>
        <v>42</v>
      </c>
      <c r="E57" s="176">
        <f t="shared" si="3"/>
        <v>12</v>
      </c>
      <c r="F57" s="176" t="str">
        <f t="shared" si="4"/>
        <v>pmx</v>
      </c>
      <c r="G57" s="176" t="s">
        <v>448</v>
      </c>
      <c r="H57" s="176" t="s">
        <v>449</v>
      </c>
      <c r="I57" s="176" t="s">
        <v>450</v>
      </c>
      <c r="J57" s="177" t="s">
        <v>360</v>
      </c>
      <c r="K57" s="178">
        <f t="shared" si="5"/>
        <v>1200</v>
      </c>
      <c r="L57" s="176"/>
      <c r="M57" s="178">
        <v>1200</v>
      </c>
      <c r="AH57" s="175"/>
      <c r="AI57" s="175"/>
    </row>
    <row r="58" spans="1:35" s="178" customFormat="1" x14ac:dyDescent="0.25">
      <c r="A58" s="176">
        <v>1</v>
      </c>
      <c r="B58" s="176"/>
      <c r="C58" s="176">
        <f t="shared" si="1"/>
        <v>54</v>
      </c>
      <c r="D58" s="176">
        <f t="shared" si="2"/>
        <v>42</v>
      </c>
      <c r="E58" s="176">
        <f t="shared" si="3"/>
        <v>12</v>
      </c>
      <c r="F58" s="176" t="str">
        <f t="shared" si="4"/>
        <v>pmx</v>
      </c>
      <c r="G58" s="176" t="s">
        <v>451</v>
      </c>
      <c r="H58" s="176" t="s">
        <v>387</v>
      </c>
      <c r="I58" s="176" t="s">
        <v>452</v>
      </c>
      <c r="J58" s="177" t="s">
        <v>360</v>
      </c>
      <c r="K58" s="178">
        <f t="shared" si="5"/>
        <v>1193.6457795917684</v>
      </c>
      <c r="L58" s="176"/>
      <c r="M58" s="178">
        <v>1200</v>
      </c>
      <c r="R58" s="178">
        <v>1158.7524498540417</v>
      </c>
      <c r="T58" s="178">
        <v>1193.6457795917684</v>
      </c>
      <c r="AH58" s="175"/>
      <c r="AI58" s="175"/>
    </row>
    <row r="59" spans="1:35" s="178" customFormat="1" x14ac:dyDescent="0.25">
      <c r="A59" s="176">
        <v>3</v>
      </c>
      <c r="B59" s="176"/>
      <c r="C59" s="176">
        <f t="shared" si="1"/>
        <v>55</v>
      </c>
      <c r="D59" s="176">
        <f t="shared" si="2"/>
        <v>42</v>
      </c>
      <c r="E59" s="176">
        <f t="shared" si="3"/>
        <v>12</v>
      </c>
      <c r="F59" s="176" t="str">
        <f t="shared" si="4"/>
        <v>pm</v>
      </c>
      <c r="G59" s="176" t="s">
        <v>453</v>
      </c>
      <c r="H59" s="176" t="s">
        <v>454</v>
      </c>
      <c r="I59" s="176" t="s">
        <v>455</v>
      </c>
      <c r="J59" s="177" t="s">
        <v>360</v>
      </c>
      <c r="K59" s="178">
        <f t="shared" si="5"/>
        <v>1231.5000238061393</v>
      </c>
      <c r="L59" s="176"/>
      <c r="M59" s="178">
        <v>1200</v>
      </c>
      <c r="R59" s="178">
        <v>1231.5000238061393</v>
      </c>
      <c r="AH59" s="175"/>
      <c r="AI59" s="175"/>
    </row>
    <row r="60" spans="1:35" s="178" customFormat="1" x14ac:dyDescent="0.25">
      <c r="A60" s="176">
        <v>5</v>
      </c>
      <c r="B60" s="176"/>
      <c r="C60" s="176">
        <f t="shared" si="1"/>
        <v>56</v>
      </c>
      <c r="D60" s="176">
        <f t="shared" si="2"/>
        <v>42</v>
      </c>
      <c r="E60" s="176">
        <f t="shared" si="3"/>
        <v>12</v>
      </c>
      <c r="F60" s="176" t="str">
        <f t="shared" si="4"/>
        <v>pm</v>
      </c>
      <c r="G60" s="176" t="s">
        <v>456</v>
      </c>
      <c r="H60" s="176" t="s">
        <v>392</v>
      </c>
      <c r="I60" s="176" t="s">
        <v>457</v>
      </c>
      <c r="J60" s="177" t="s">
        <v>360</v>
      </c>
      <c r="K60" s="178">
        <f t="shared" si="5"/>
        <v>1124.1168813812924</v>
      </c>
      <c r="L60" s="176"/>
      <c r="M60" s="178">
        <v>1200</v>
      </c>
      <c r="R60" s="178">
        <v>1166.1154316050067</v>
      </c>
      <c r="T60" s="178">
        <v>1124.1168813812924</v>
      </c>
      <c r="AH60" s="175"/>
      <c r="AI60" s="175"/>
    </row>
    <row r="61" spans="1:35" s="178" customFormat="1" x14ac:dyDescent="0.25">
      <c r="A61" s="176">
        <v>5</v>
      </c>
      <c r="B61" s="176"/>
      <c r="C61" s="176">
        <f t="shared" si="1"/>
        <v>57</v>
      </c>
      <c r="D61" s="176">
        <f t="shared" si="2"/>
        <v>42</v>
      </c>
      <c r="E61" s="176">
        <f t="shared" si="3"/>
        <v>12</v>
      </c>
      <c r="F61" s="176" t="str">
        <f t="shared" si="4"/>
        <v>pm</v>
      </c>
      <c r="G61" s="176" t="s">
        <v>458</v>
      </c>
      <c r="H61" s="176" t="s">
        <v>392</v>
      </c>
      <c r="I61" s="176" t="s">
        <v>459</v>
      </c>
      <c r="J61" s="177" t="s">
        <v>360</v>
      </c>
      <c r="K61" s="178">
        <f t="shared" si="5"/>
        <v>1160.1293279867637</v>
      </c>
      <c r="L61" s="176"/>
      <c r="M61" s="178">
        <v>1200</v>
      </c>
      <c r="R61" s="178">
        <v>1166.3348618337313</v>
      </c>
      <c r="T61" s="178">
        <v>1160.1293279867637</v>
      </c>
      <c r="AH61" s="175"/>
      <c r="AI61" s="175"/>
    </row>
    <row r="62" spans="1:35" s="178" customFormat="1" x14ac:dyDescent="0.25">
      <c r="A62" s="176">
        <v>3</v>
      </c>
      <c r="B62" s="176"/>
      <c r="C62" s="176">
        <f t="shared" si="1"/>
        <v>1</v>
      </c>
      <c r="D62" s="176">
        <f t="shared" si="2"/>
        <v>1</v>
      </c>
      <c r="E62" s="176">
        <f t="shared" si="3"/>
        <v>13</v>
      </c>
      <c r="F62" s="176" t="str">
        <f t="shared" si="4"/>
        <v>pm</v>
      </c>
      <c r="G62" s="176" t="s">
        <v>460</v>
      </c>
      <c r="H62" s="176" t="s">
        <v>461</v>
      </c>
      <c r="I62" s="176" t="s">
        <v>462</v>
      </c>
      <c r="J62" s="177" t="s">
        <v>22</v>
      </c>
      <c r="K62" s="178">
        <f t="shared" si="5"/>
        <v>1937.4919528089513</v>
      </c>
      <c r="L62" s="176"/>
      <c r="M62" s="178">
        <v>2000</v>
      </c>
      <c r="O62" s="178">
        <v>1937.4919528089513</v>
      </c>
      <c r="AH62" s="175"/>
      <c r="AI62" s="175"/>
    </row>
    <row r="63" spans="1:35" s="178" customFormat="1" x14ac:dyDescent="0.25">
      <c r="A63" s="176">
        <v>3</v>
      </c>
      <c r="B63" s="176"/>
      <c r="C63" s="176">
        <f t="shared" si="1"/>
        <v>2</v>
      </c>
      <c r="D63" s="176">
        <f t="shared" si="2"/>
        <v>1</v>
      </c>
      <c r="E63" s="176">
        <f t="shared" si="3"/>
        <v>13</v>
      </c>
      <c r="F63" s="176" t="str">
        <f t="shared" si="4"/>
        <v>pm</v>
      </c>
      <c r="G63" s="176" t="s">
        <v>463</v>
      </c>
      <c r="H63" s="176" t="s">
        <v>355</v>
      </c>
      <c r="I63" s="176" t="s">
        <v>464</v>
      </c>
      <c r="J63" s="177" t="s">
        <v>22</v>
      </c>
      <c r="K63" s="178">
        <f t="shared" si="5"/>
        <v>2152.6882339125423</v>
      </c>
      <c r="L63" s="176"/>
      <c r="M63" s="178">
        <v>2000</v>
      </c>
      <c r="O63" s="178">
        <v>2152.6882339125423</v>
      </c>
      <c r="AH63" s="175"/>
      <c r="AI63" s="175"/>
    </row>
    <row r="64" spans="1:35" s="178" customFormat="1" x14ac:dyDescent="0.25">
      <c r="A64" s="176">
        <v>4</v>
      </c>
      <c r="B64" s="176"/>
      <c r="C64" s="176">
        <f t="shared" si="1"/>
        <v>3</v>
      </c>
      <c r="D64" s="176">
        <f t="shared" si="2"/>
        <v>1</v>
      </c>
      <c r="E64" s="176">
        <f t="shared" si="3"/>
        <v>13</v>
      </c>
      <c r="F64" s="176" t="str">
        <f t="shared" si="4"/>
        <v>pm</v>
      </c>
      <c r="G64" s="176" t="s">
        <v>465</v>
      </c>
      <c r="H64" s="176" t="s">
        <v>355</v>
      </c>
      <c r="I64" s="176" t="s">
        <v>466</v>
      </c>
      <c r="J64" s="177" t="s">
        <v>22</v>
      </c>
      <c r="K64" s="178">
        <f t="shared" si="5"/>
        <v>1942.7428613495103</v>
      </c>
      <c r="L64" s="176"/>
      <c r="M64" s="178">
        <v>2000</v>
      </c>
      <c r="O64" s="178">
        <v>1942.7428613495103</v>
      </c>
      <c r="AH64" s="175"/>
      <c r="AI64" s="175"/>
    </row>
    <row r="65" spans="1:35" s="178" customFormat="1" x14ac:dyDescent="0.25">
      <c r="A65" s="176">
        <v>5</v>
      </c>
      <c r="B65" s="176"/>
      <c r="C65" s="176">
        <f t="shared" si="1"/>
        <v>4</v>
      </c>
      <c r="D65" s="176">
        <f t="shared" si="2"/>
        <v>1</v>
      </c>
      <c r="E65" s="176">
        <f t="shared" si="3"/>
        <v>13</v>
      </c>
      <c r="F65" s="176" t="str">
        <f t="shared" si="4"/>
        <v>pm</v>
      </c>
      <c r="G65" s="176" t="s">
        <v>467</v>
      </c>
      <c r="H65" s="176" t="s">
        <v>400</v>
      </c>
      <c r="I65" s="176" t="s">
        <v>468</v>
      </c>
      <c r="J65" s="177" t="s">
        <v>22</v>
      </c>
      <c r="K65" s="178">
        <f t="shared" si="5"/>
        <v>2090.0660361022765</v>
      </c>
      <c r="L65" s="176"/>
      <c r="M65" s="178">
        <v>2000</v>
      </c>
      <c r="O65" s="178">
        <v>2090.0660361022765</v>
      </c>
      <c r="AH65" s="175"/>
      <c r="AI65" s="175"/>
    </row>
    <row r="66" spans="1:35" s="178" customFormat="1" x14ac:dyDescent="0.25">
      <c r="A66" s="176">
        <v>7</v>
      </c>
      <c r="B66" s="176"/>
      <c r="C66" s="176">
        <f t="shared" ref="C66:C129" si="6">IF(E66=E65,C65+1,1)</f>
        <v>5</v>
      </c>
      <c r="D66" s="176">
        <f t="shared" ref="D66:D129" si="7">IF(M66=M65,D65,C66)</f>
        <v>1</v>
      </c>
      <c r="E66" s="176">
        <f t="shared" ref="E66:E129" si="8">10+VALUE(RIGHT(LEFT(G66,3),1))</f>
        <v>13</v>
      </c>
      <c r="F66" s="176" t="str">
        <f t="shared" ref="F66:F129" si="9">RIGHT(G66,2) &amp; IF(A66&lt;2,"x","")</f>
        <v>pm</v>
      </c>
      <c r="G66" s="176" t="s">
        <v>469</v>
      </c>
      <c r="H66" s="176" t="s">
        <v>401</v>
      </c>
      <c r="I66" s="176" t="s">
        <v>470</v>
      </c>
      <c r="J66" s="177" t="s">
        <v>22</v>
      </c>
      <c r="K66" s="178">
        <f t="shared" ref="K66:K129" si="10">LOOKUP(1E+100,M66:AC66)</f>
        <v>1958.1634755038049</v>
      </c>
      <c r="L66" s="176"/>
      <c r="M66" s="178">
        <v>2000</v>
      </c>
      <c r="O66" s="178">
        <v>1943.416124532403</v>
      </c>
      <c r="Q66" s="178">
        <v>1966.1656268304903</v>
      </c>
      <c r="S66" s="178">
        <v>1958.1634755038049</v>
      </c>
      <c r="AH66" s="175"/>
      <c r="AI66" s="175"/>
    </row>
    <row r="67" spans="1:35" s="178" customFormat="1" x14ac:dyDescent="0.25">
      <c r="A67" s="176">
        <v>4</v>
      </c>
      <c r="B67" s="176"/>
      <c r="C67" s="176">
        <f t="shared" si="6"/>
        <v>6</v>
      </c>
      <c r="D67" s="176">
        <f t="shared" si="7"/>
        <v>1</v>
      </c>
      <c r="E67" s="176">
        <f t="shared" si="8"/>
        <v>13</v>
      </c>
      <c r="F67" s="176" t="str">
        <f t="shared" si="9"/>
        <v>pm</v>
      </c>
      <c r="G67" s="176" t="s">
        <v>471</v>
      </c>
      <c r="H67" s="176" t="s">
        <v>412</v>
      </c>
      <c r="I67" s="176" t="s">
        <v>472</v>
      </c>
      <c r="J67" s="177" t="s">
        <v>22</v>
      </c>
      <c r="K67" s="178">
        <f t="shared" si="10"/>
        <v>2000</v>
      </c>
      <c r="L67" s="176"/>
      <c r="M67" s="178">
        <v>2000</v>
      </c>
      <c r="AH67" s="175"/>
      <c r="AI67" s="175"/>
    </row>
    <row r="68" spans="1:35" s="178" customFormat="1" x14ac:dyDescent="0.25">
      <c r="A68" s="176">
        <v>1</v>
      </c>
      <c r="B68" s="176"/>
      <c r="C68" s="176">
        <f t="shared" si="6"/>
        <v>7</v>
      </c>
      <c r="D68" s="176">
        <f t="shared" si="7"/>
        <v>1</v>
      </c>
      <c r="E68" s="176">
        <f t="shared" si="8"/>
        <v>13</v>
      </c>
      <c r="F68" s="176" t="str">
        <f t="shared" si="9"/>
        <v>pmx</v>
      </c>
      <c r="G68" s="176" t="s">
        <v>473</v>
      </c>
      <c r="H68" s="176" t="s">
        <v>387</v>
      </c>
      <c r="I68" s="176" t="s">
        <v>474</v>
      </c>
      <c r="J68" s="177" t="s">
        <v>22</v>
      </c>
      <c r="K68" s="178">
        <f t="shared" si="10"/>
        <v>2047.5215589916952</v>
      </c>
      <c r="L68" s="176"/>
      <c r="M68" s="178">
        <v>2000</v>
      </c>
      <c r="S68" s="178">
        <v>2047.5215589916952</v>
      </c>
      <c r="AH68" s="175"/>
      <c r="AI68" s="175"/>
    </row>
    <row r="69" spans="1:35" s="178" customFormat="1" x14ac:dyDescent="0.25">
      <c r="A69" s="176">
        <v>1</v>
      </c>
      <c r="B69" s="176"/>
      <c r="C69" s="176">
        <f t="shared" si="6"/>
        <v>8</v>
      </c>
      <c r="D69" s="176">
        <f t="shared" si="7"/>
        <v>1</v>
      </c>
      <c r="E69" s="176">
        <f t="shared" si="8"/>
        <v>13</v>
      </c>
      <c r="F69" s="176" t="str">
        <f t="shared" si="9"/>
        <v>pmx</v>
      </c>
      <c r="G69" s="176" t="s">
        <v>475</v>
      </c>
      <c r="H69" s="176" t="s">
        <v>352</v>
      </c>
      <c r="I69" s="176" t="s">
        <v>476</v>
      </c>
      <c r="J69" s="177" t="s">
        <v>22</v>
      </c>
      <c r="K69" s="178">
        <f t="shared" si="10"/>
        <v>2000</v>
      </c>
      <c r="L69" s="176"/>
      <c r="M69" s="178">
        <v>2000</v>
      </c>
      <c r="AH69" s="175"/>
      <c r="AI69" s="175"/>
    </row>
    <row r="70" spans="1:35" s="178" customFormat="1" x14ac:dyDescent="0.25">
      <c r="A70" s="176">
        <v>1</v>
      </c>
      <c r="B70" s="176"/>
      <c r="C70" s="176">
        <f t="shared" si="6"/>
        <v>9</v>
      </c>
      <c r="D70" s="176">
        <f t="shared" si="7"/>
        <v>1</v>
      </c>
      <c r="E70" s="176">
        <f t="shared" si="8"/>
        <v>13</v>
      </c>
      <c r="F70" s="176" t="str">
        <f t="shared" si="9"/>
        <v>pmx</v>
      </c>
      <c r="G70" s="176" t="s">
        <v>477</v>
      </c>
      <c r="H70" s="176" t="s">
        <v>352</v>
      </c>
      <c r="I70" s="176" t="s">
        <v>478</v>
      </c>
      <c r="J70" s="177" t="s">
        <v>22</v>
      </c>
      <c r="K70" s="178">
        <f t="shared" si="10"/>
        <v>2000</v>
      </c>
      <c r="L70" s="176"/>
      <c r="M70" s="178">
        <v>2000</v>
      </c>
      <c r="AH70" s="175"/>
      <c r="AI70" s="175"/>
    </row>
    <row r="71" spans="1:35" s="178" customFormat="1" x14ac:dyDescent="0.25">
      <c r="A71" s="176">
        <v>3</v>
      </c>
      <c r="B71" s="176"/>
      <c r="C71" s="176">
        <f t="shared" si="6"/>
        <v>10</v>
      </c>
      <c r="D71" s="176">
        <f t="shared" si="7"/>
        <v>1</v>
      </c>
      <c r="E71" s="176">
        <f t="shared" si="8"/>
        <v>13</v>
      </c>
      <c r="F71" s="176" t="str">
        <f t="shared" si="9"/>
        <v>pm</v>
      </c>
      <c r="G71" s="176" t="s">
        <v>479</v>
      </c>
      <c r="H71" s="176" t="s">
        <v>352</v>
      </c>
      <c r="I71" s="176" t="s">
        <v>480</v>
      </c>
      <c r="J71" s="177" t="s">
        <v>22</v>
      </c>
      <c r="K71" s="178">
        <f t="shared" si="10"/>
        <v>1821.6037506813182</v>
      </c>
      <c r="L71" s="176"/>
      <c r="M71" s="178">
        <v>2000</v>
      </c>
      <c r="O71" s="178">
        <v>1915.8645173769876</v>
      </c>
      <c r="S71" s="178">
        <v>1821.6037506813182</v>
      </c>
      <c r="AH71" s="175"/>
      <c r="AI71" s="175"/>
    </row>
    <row r="72" spans="1:35" s="178" customFormat="1" x14ac:dyDescent="0.25">
      <c r="A72" s="176">
        <v>3</v>
      </c>
      <c r="B72" s="176"/>
      <c r="C72" s="176">
        <f t="shared" si="6"/>
        <v>11</v>
      </c>
      <c r="D72" s="176">
        <f t="shared" si="7"/>
        <v>1</v>
      </c>
      <c r="E72" s="176">
        <f t="shared" si="8"/>
        <v>13</v>
      </c>
      <c r="F72" s="176" t="str">
        <f t="shared" si="9"/>
        <v>pm</v>
      </c>
      <c r="G72" s="176" t="s">
        <v>481</v>
      </c>
      <c r="H72" s="176" t="s">
        <v>378</v>
      </c>
      <c r="I72" s="176" t="s">
        <v>482</v>
      </c>
      <c r="J72" s="177" t="s">
        <v>22</v>
      </c>
      <c r="K72" s="178">
        <f t="shared" si="10"/>
        <v>2100.0545135197281</v>
      </c>
      <c r="L72" s="176"/>
      <c r="M72" s="178">
        <v>2000</v>
      </c>
      <c r="O72" s="178">
        <v>2039.0534480015622</v>
      </c>
      <c r="S72" s="178">
        <v>2100.0545135197281</v>
      </c>
      <c r="AH72" s="175"/>
      <c r="AI72" s="175"/>
    </row>
    <row r="73" spans="1:35" s="178" customFormat="1" x14ac:dyDescent="0.25">
      <c r="A73" s="176">
        <v>2</v>
      </c>
      <c r="B73" s="176"/>
      <c r="C73" s="176">
        <f t="shared" si="6"/>
        <v>12</v>
      </c>
      <c r="D73" s="176">
        <f t="shared" si="7"/>
        <v>1</v>
      </c>
      <c r="E73" s="176">
        <f t="shared" si="8"/>
        <v>13</v>
      </c>
      <c r="F73" s="176" t="str">
        <f t="shared" si="9"/>
        <v>pm</v>
      </c>
      <c r="G73" s="176" t="s">
        <v>483</v>
      </c>
      <c r="H73" s="176" t="s">
        <v>375</v>
      </c>
      <c r="I73" s="176" t="s">
        <v>484</v>
      </c>
      <c r="J73" s="177" t="s">
        <v>22</v>
      </c>
      <c r="K73" s="178">
        <f t="shared" si="10"/>
        <v>2033.2515181332528</v>
      </c>
      <c r="L73" s="176"/>
      <c r="M73" s="178">
        <v>2000</v>
      </c>
      <c r="S73" s="178">
        <v>2033.2515181332528</v>
      </c>
      <c r="AH73" s="175"/>
      <c r="AI73" s="175"/>
    </row>
    <row r="74" spans="1:35" s="178" customFormat="1" x14ac:dyDescent="0.25">
      <c r="A74" s="176">
        <v>7</v>
      </c>
      <c r="B74" s="176"/>
      <c r="C74" s="176">
        <f t="shared" si="6"/>
        <v>13</v>
      </c>
      <c r="D74" s="176">
        <f t="shared" si="7"/>
        <v>13</v>
      </c>
      <c r="E74" s="176">
        <f t="shared" si="8"/>
        <v>13</v>
      </c>
      <c r="F74" s="176" t="str">
        <f t="shared" si="9"/>
        <v>pm</v>
      </c>
      <c r="G74" s="176" t="s">
        <v>485</v>
      </c>
      <c r="H74" s="176" t="s">
        <v>392</v>
      </c>
      <c r="I74" s="176" t="s">
        <v>486</v>
      </c>
      <c r="J74" s="177" t="s">
        <v>22</v>
      </c>
      <c r="K74" s="178">
        <f t="shared" si="10"/>
        <v>1873.5532472996633</v>
      </c>
      <c r="L74" s="176"/>
      <c r="M74" s="178">
        <v>1942.8571428571429</v>
      </c>
      <c r="Q74" s="178">
        <v>1852.3713067755587</v>
      </c>
      <c r="S74" s="178">
        <v>1873.5532472996633</v>
      </c>
      <c r="AH74" s="175"/>
      <c r="AI74" s="175"/>
    </row>
    <row r="75" spans="1:35" s="178" customFormat="1" x14ac:dyDescent="0.25">
      <c r="A75" s="176">
        <v>4</v>
      </c>
      <c r="B75" s="176"/>
      <c r="C75" s="176">
        <f t="shared" si="6"/>
        <v>14</v>
      </c>
      <c r="D75" s="176">
        <f t="shared" si="7"/>
        <v>14</v>
      </c>
      <c r="E75" s="176">
        <f t="shared" si="8"/>
        <v>13</v>
      </c>
      <c r="F75" s="176" t="str">
        <f t="shared" si="9"/>
        <v>pm</v>
      </c>
      <c r="G75" s="176" t="s">
        <v>487</v>
      </c>
      <c r="H75" s="176" t="s">
        <v>378</v>
      </c>
      <c r="I75" s="176" t="s">
        <v>488</v>
      </c>
      <c r="J75" s="177" t="s">
        <v>22</v>
      </c>
      <c r="K75" s="178">
        <f t="shared" si="10"/>
        <v>1896.502812306353</v>
      </c>
      <c r="L75" s="176"/>
      <c r="M75" s="178">
        <v>1900</v>
      </c>
      <c r="O75" s="178">
        <v>1896.502812306353</v>
      </c>
      <c r="AH75" s="175"/>
      <c r="AI75" s="175"/>
    </row>
    <row r="76" spans="1:35" s="178" customFormat="1" x14ac:dyDescent="0.25">
      <c r="A76" s="176">
        <v>3</v>
      </c>
      <c r="B76" s="176"/>
      <c r="C76" s="176">
        <f t="shared" si="6"/>
        <v>15</v>
      </c>
      <c r="D76" s="176">
        <f t="shared" si="7"/>
        <v>15</v>
      </c>
      <c r="E76" s="176">
        <f t="shared" si="8"/>
        <v>13</v>
      </c>
      <c r="F76" s="176" t="str">
        <f t="shared" si="9"/>
        <v>pm</v>
      </c>
      <c r="G76" s="176" t="s">
        <v>489</v>
      </c>
      <c r="H76" s="176" t="s">
        <v>387</v>
      </c>
      <c r="I76" s="176" t="s">
        <v>490</v>
      </c>
      <c r="J76" s="177" t="s">
        <v>21</v>
      </c>
      <c r="K76" s="178">
        <f t="shared" si="10"/>
        <v>1581.2933664625068</v>
      </c>
      <c r="L76" s="176"/>
      <c r="M76" s="178">
        <v>1733.3333333333333</v>
      </c>
      <c r="R76" s="178">
        <v>1596.5625330002313</v>
      </c>
      <c r="S76" s="178">
        <v>1581.2933664625068</v>
      </c>
      <c r="AH76" s="175"/>
      <c r="AI76" s="175"/>
    </row>
    <row r="77" spans="1:35" s="178" customFormat="1" x14ac:dyDescent="0.25">
      <c r="A77" s="176">
        <v>3</v>
      </c>
      <c r="B77" s="176"/>
      <c r="C77" s="176">
        <f t="shared" si="6"/>
        <v>16</v>
      </c>
      <c r="D77" s="176">
        <f t="shared" si="7"/>
        <v>15</v>
      </c>
      <c r="E77" s="176">
        <f t="shared" si="8"/>
        <v>13</v>
      </c>
      <c r="F77" s="176" t="str">
        <f t="shared" si="9"/>
        <v>pm</v>
      </c>
      <c r="G77" s="176" t="s">
        <v>491</v>
      </c>
      <c r="H77" s="176" t="s">
        <v>375</v>
      </c>
      <c r="I77" s="176" t="s">
        <v>492</v>
      </c>
      <c r="J77" s="177" t="s">
        <v>21</v>
      </c>
      <c r="K77" s="178">
        <f t="shared" si="10"/>
        <v>1889.9786980074723</v>
      </c>
      <c r="L77" s="176"/>
      <c r="M77" s="178">
        <v>1733.3333333333333</v>
      </c>
      <c r="O77" s="178">
        <v>1854.2018399827273</v>
      </c>
      <c r="R77" s="178">
        <v>1889.9786980074723</v>
      </c>
      <c r="AH77" s="175"/>
      <c r="AI77" s="175"/>
    </row>
    <row r="78" spans="1:35" s="178" customFormat="1" x14ac:dyDescent="0.25">
      <c r="A78" s="176">
        <v>4</v>
      </c>
      <c r="B78" s="176"/>
      <c r="C78" s="176">
        <f t="shared" si="6"/>
        <v>17</v>
      </c>
      <c r="D78" s="176">
        <f t="shared" si="7"/>
        <v>17</v>
      </c>
      <c r="E78" s="176">
        <f t="shared" si="8"/>
        <v>13</v>
      </c>
      <c r="F78" s="176" t="str">
        <f t="shared" si="9"/>
        <v>pm</v>
      </c>
      <c r="G78" s="176" t="s">
        <v>493</v>
      </c>
      <c r="H78" s="176" t="s">
        <v>378</v>
      </c>
      <c r="I78" s="176" t="s">
        <v>494</v>
      </c>
      <c r="J78" s="177" t="s">
        <v>21</v>
      </c>
      <c r="K78" s="178">
        <f t="shared" si="10"/>
        <v>1669.2299346493558</v>
      </c>
      <c r="L78" s="176"/>
      <c r="M78" s="178">
        <v>1700</v>
      </c>
      <c r="O78" s="178">
        <v>1693.6375418300127</v>
      </c>
      <c r="R78" s="178">
        <v>1657.3872938785414</v>
      </c>
      <c r="T78" s="178">
        <v>1669.2299346493558</v>
      </c>
      <c r="AH78" s="175"/>
      <c r="AI78" s="175"/>
    </row>
    <row r="79" spans="1:35" s="178" customFormat="1" x14ac:dyDescent="0.25">
      <c r="A79" s="176">
        <v>6</v>
      </c>
      <c r="B79" s="176"/>
      <c r="C79" s="176">
        <f t="shared" si="6"/>
        <v>18</v>
      </c>
      <c r="D79" s="176">
        <f t="shared" si="7"/>
        <v>18</v>
      </c>
      <c r="E79" s="176">
        <f t="shared" si="8"/>
        <v>13</v>
      </c>
      <c r="F79" s="176" t="str">
        <f t="shared" si="9"/>
        <v>pm</v>
      </c>
      <c r="G79" s="176" t="s">
        <v>495</v>
      </c>
      <c r="H79" s="176" t="s">
        <v>461</v>
      </c>
      <c r="I79" s="176" t="s">
        <v>496</v>
      </c>
      <c r="J79" s="177" t="s">
        <v>21</v>
      </c>
      <c r="K79" s="178">
        <f t="shared" si="10"/>
        <v>1623.8204049929316</v>
      </c>
      <c r="L79" s="176"/>
      <c r="M79" s="178">
        <v>1666.6666666666667</v>
      </c>
      <c r="O79" s="178">
        <v>1693.5789788646412</v>
      </c>
      <c r="R79" s="178">
        <v>1641.6440767325234</v>
      </c>
      <c r="T79" s="178">
        <v>1623.8204049929316</v>
      </c>
      <c r="AH79" s="175"/>
      <c r="AI79" s="175"/>
    </row>
    <row r="80" spans="1:35" s="178" customFormat="1" x14ac:dyDescent="0.25">
      <c r="A80" s="176">
        <v>6</v>
      </c>
      <c r="B80" s="176"/>
      <c r="C80" s="176">
        <f t="shared" si="6"/>
        <v>19</v>
      </c>
      <c r="D80" s="176">
        <f t="shared" si="7"/>
        <v>18</v>
      </c>
      <c r="E80" s="176">
        <f t="shared" si="8"/>
        <v>13</v>
      </c>
      <c r="F80" s="176" t="str">
        <f t="shared" si="9"/>
        <v>pm</v>
      </c>
      <c r="G80" s="176" t="s">
        <v>497</v>
      </c>
      <c r="H80" s="176" t="s">
        <v>408</v>
      </c>
      <c r="I80" s="176" t="s">
        <v>498</v>
      </c>
      <c r="J80" s="177" t="s">
        <v>21</v>
      </c>
      <c r="K80" s="178">
        <f t="shared" si="10"/>
        <v>1804.7578750763826</v>
      </c>
      <c r="L80" s="176"/>
      <c r="M80" s="178">
        <v>1666.6666666666667</v>
      </c>
      <c r="P80" s="178">
        <v>1728.1310461413079</v>
      </c>
      <c r="T80" s="178">
        <v>1804.7578750763826</v>
      </c>
      <c r="AH80" s="175"/>
      <c r="AI80" s="175"/>
    </row>
    <row r="81" spans="1:35" s="178" customFormat="1" x14ac:dyDescent="0.25">
      <c r="A81" s="176">
        <v>3</v>
      </c>
      <c r="B81" s="176"/>
      <c r="C81" s="176">
        <f t="shared" si="6"/>
        <v>20</v>
      </c>
      <c r="D81" s="176">
        <f t="shared" si="7"/>
        <v>20</v>
      </c>
      <c r="E81" s="176">
        <f t="shared" si="8"/>
        <v>13</v>
      </c>
      <c r="F81" s="176" t="str">
        <f t="shared" si="9"/>
        <v>pm</v>
      </c>
      <c r="G81" s="176" t="s">
        <v>499</v>
      </c>
      <c r="H81" s="176" t="s">
        <v>355</v>
      </c>
      <c r="I81" s="176" t="s">
        <v>500</v>
      </c>
      <c r="J81" s="177" t="s">
        <v>21</v>
      </c>
      <c r="K81" s="178">
        <f t="shared" si="10"/>
        <v>1684.9021174510051</v>
      </c>
      <c r="L81" s="176"/>
      <c r="M81" s="178">
        <v>1600</v>
      </c>
      <c r="P81" s="178">
        <v>1559.7550744981997</v>
      </c>
      <c r="R81" s="178">
        <v>1684.9021174510051</v>
      </c>
      <c r="AH81" s="175"/>
      <c r="AI81" s="175"/>
    </row>
    <row r="82" spans="1:35" s="178" customFormat="1" x14ac:dyDescent="0.25">
      <c r="A82" s="176">
        <v>3</v>
      </c>
      <c r="B82" s="176"/>
      <c r="C82" s="176">
        <f t="shared" si="6"/>
        <v>21</v>
      </c>
      <c r="D82" s="176">
        <f t="shared" si="7"/>
        <v>20</v>
      </c>
      <c r="E82" s="176">
        <f t="shared" si="8"/>
        <v>13</v>
      </c>
      <c r="F82" s="176" t="str">
        <f t="shared" si="9"/>
        <v>pm</v>
      </c>
      <c r="G82" s="176" t="s">
        <v>501</v>
      </c>
      <c r="H82" s="176" t="s">
        <v>355</v>
      </c>
      <c r="I82" s="176" t="s">
        <v>502</v>
      </c>
      <c r="J82" s="177" t="s">
        <v>21</v>
      </c>
      <c r="K82" s="178">
        <f t="shared" si="10"/>
        <v>1663.7820960089477</v>
      </c>
      <c r="L82" s="176"/>
      <c r="M82" s="178">
        <v>1600</v>
      </c>
      <c r="P82" s="178">
        <v>1590.1315477575743</v>
      </c>
      <c r="R82" s="178">
        <v>1663.7820960089477</v>
      </c>
      <c r="AH82" s="175"/>
      <c r="AI82" s="175"/>
    </row>
    <row r="83" spans="1:35" s="178" customFormat="1" x14ac:dyDescent="0.25">
      <c r="A83" s="176">
        <v>3</v>
      </c>
      <c r="B83" s="176"/>
      <c r="C83" s="176">
        <f t="shared" si="6"/>
        <v>22</v>
      </c>
      <c r="D83" s="176">
        <f t="shared" si="7"/>
        <v>20</v>
      </c>
      <c r="E83" s="176">
        <f t="shared" si="8"/>
        <v>13</v>
      </c>
      <c r="F83" s="176" t="str">
        <f t="shared" si="9"/>
        <v>pm</v>
      </c>
      <c r="G83" s="176" t="s">
        <v>503</v>
      </c>
      <c r="H83" s="176" t="s">
        <v>355</v>
      </c>
      <c r="I83" s="176" t="s">
        <v>504</v>
      </c>
      <c r="J83" s="177" t="s">
        <v>21</v>
      </c>
      <c r="K83" s="178">
        <f t="shared" si="10"/>
        <v>1602.913856020094</v>
      </c>
      <c r="L83" s="176"/>
      <c r="M83" s="178">
        <v>1600</v>
      </c>
      <c r="R83" s="178">
        <v>1602.913856020094</v>
      </c>
      <c r="AH83" s="175"/>
      <c r="AI83" s="175"/>
    </row>
    <row r="84" spans="1:35" s="178" customFormat="1" x14ac:dyDescent="0.25">
      <c r="A84" s="176">
        <v>5</v>
      </c>
      <c r="B84" s="176"/>
      <c r="C84" s="176">
        <f t="shared" si="6"/>
        <v>23</v>
      </c>
      <c r="D84" s="176">
        <f t="shared" si="7"/>
        <v>20</v>
      </c>
      <c r="E84" s="176">
        <f t="shared" si="8"/>
        <v>13</v>
      </c>
      <c r="F84" s="176" t="str">
        <f t="shared" si="9"/>
        <v>pm</v>
      </c>
      <c r="G84" s="176" t="s">
        <v>505</v>
      </c>
      <c r="H84" s="176" t="s">
        <v>400</v>
      </c>
      <c r="I84" s="176" t="s">
        <v>506</v>
      </c>
      <c r="J84" s="177" t="s">
        <v>21</v>
      </c>
      <c r="K84" s="178">
        <f t="shared" si="10"/>
        <v>1640.1661561444348</v>
      </c>
      <c r="L84" s="176"/>
      <c r="M84" s="178">
        <v>1600</v>
      </c>
      <c r="P84" s="178">
        <v>1633.9324219018492</v>
      </c>
      <c r="R84" s="178">
        <v>1640.1661561444348</v>
      </c>
      <c r="AH84" s="175"/>
      <c r="AI84" s="175"/>
    </row>
    <row r="85" spans="1:35" s="178" customFormat="1" x14ac:dyDescent="0.25">
      <c r="A85" s="176">
        <v>6</v>
      </c>
      <c r="B85" s="176"/>
      <c r="C85" s="176">
        <f t="shared" si="6"/>
        <v>24</v>
      </c>
      <c r="D85" s="176">
        <f t="shared" si="7"/>
        <v>20</v>
      </c>
      <c r="E85" s="176">
        <f t="shared" si="8"/>
        <v>13</v>
      </c>
      <c r="F85" s="176" t="str">
        <f t="shared" si="9"/>
        <v>pm</v>
      </c>
      <c r="G85" s="176" t="s">
        <v>238</v>
      </c>
      <c r="H85" s="176" t="s">
        <v>401</v>
      </c>
      <c r="I85" s="176" t="s">
        <v>237</v>
      </c>
      <c r="J85" s="177" t="s">
        <v>21</v>
      </c>
      <c r="K85" s="178">
        <f t="shared" si="10"/>
        <v>1509.7586404382946</v>
      </c>
      <c r="L85" s="176"/>
      <c r="M85" s="178">
        <v>1600</v>
      </c>
      <c r="R85" s="178">
        <v>1568.2233091455873</v>
      </c>
      <c r="T85" s="178">
        <v>1509.7586404382946</v>
      </c>
      <c r="AH85" s="175"/>
      <c r="AI85" s="175"/>
    </row>
    <row r="86" spans="1:35" s="178" customFormat="1" x14ac:dyDescent="0.25">
      <c r="A86" s="176">
        <v>4</v>
      </c>
      <c r="B86" s="176"/>
      <c r="C86" s="176">
        <f t="shared" si="6"/>
        <v>25</v>
      </c>
      <c r="D86" s="176">
        <f t="shared" si="7"/>
        <v>20</v>
      </c>
      <c r="E86" s="176">
        <f t="shared" si="8"/>
        <v>13</v>
      </c>
      <c r="F86" s="176" t="str">
        <f t="shared" si="9"/>
        <v>pm</v>
      </c>
      <c r="G86" s="176" t="s">
        <v>507</v>
      </c>
      <c r="H86" s="176" t="s">
        <v>406</v>
      </c>
      <c r="I86" s="176" t="s">
        <v>508</v>
      </c>
      <c r="J86" s="177" t="s">
        <v>21</v>
      </c>
      <c r="K86" s="178">
        <f t="shared" si="10"/>
        <v>1638.9168688111979</v>
      </c>
      <c r="L86" s="176"/>
      <c r="M86" s="178">
        <v>1600</v>
      </c>
      <c r="P86" s="178">
        <v>1552.9187728513743</v>
      </c>
      <c r="R86" s="178">
        <v>1638.9168688111979</v>
      </c>
      <c r="AH86" s="175"/>
      <c r="AI86" s="175"/>
    </row>
    <row r="87" spans="1:35" s="178" customFormat="1" x14ac:dyDescent="0.25">
      <c r="A87" s="176">
        <v>5</v>
      </c>
      <c r="B87" s="176"/>
      <c r="C87" s="176">
        <f t="shared" si="6"/>
        <v>26</v>
      </c>
      <c r="D87" s="176">
        <f t="shared" si="7"/>
        <v>20</v>
      </c>
      <c r="E87" s="176">
        <f t="shared" si="8"/>
        <v>13</v>
      </c>
      <c r="F87" s="176" t="str">
        <f t="shared" si="9"/>
        <v>pm</v>
      </c>
      <c r="G87" s="176" t="s">
        <v>509</v>
      </c>
      <c r="H87" s="176" t="s">
        <v>408</v>
      </c>
      <c r="I87" s="176" t="s">
        <v>510</v>
      </c>
      <c r="J87" s="177" t="s">
        <v>21</v>
      </c>
      <c r="K87" s="178">
        <f t="shared" si="10"/>
        <v>1846.0824249958619</v>
      </c>
      <c r="L87" s="176"/>
      <c r="M87" s="178">
        <v>1600</v>
      </c>
      <c r="P87" s="178">
        <v>1715.7263580857598</v>
      </c>
      <c r="R87" s="178">
        <v>1789.2595678161492</v>
      </c>
      <c r="T87" s="178">
        <v>1846.0824249958619</v>
      </c>
      <c r="AH87" s="175"/>
      <c r="AI87" s="175"/>
    </row>
    <row r="88" spans="1:35" s="178" customFormat="1" x14ac:dyDescent="0.25">
      <c r="A88" s="176">
        <v>6</v>
      </c>
      <c r="B88" s="176"/>
      <c r="C88" s="176">
        <f t="shared" si="6"/>
        <v>27</v>
      </c>
      <c r="D88" s="176">
        <f t="shared" si="7"/>
        <v>20</v>
      </c>
      <c r="E88" s="176">
        <f t="shared" si="8"/>
        <v>13</v>
      </c>
      <c r="F88" s="176" t="str">
        <f t="shared" si="9"/>
        <v>pm</v>
      </c>
      <c r="G88" s="176" t="s">
        <v>236</v>
      </c>
      <c r="H88" s="176" t="s">
        <v>412</v>
      </c>
      <c r="I88" s="176" t="s">
        <v>235</v>
      </c>
      <c r="J88" s="177" t="s">
        <v>21</v>
      </c>
      <c r="K88" s="178">
        <f t="shared" si="10"/>
        <v>1616.1193355748426</v>
      </c>
      <c r="L88" s="176"/>
      <c r="M88" s="178">
        <v>1600</v>
      </c>
      <c r="R88" s="178">
        <v>1568.3090521625732</v>
      </c>
      <c r="T88" s="178">
        <v>1616.1193355748426</v>
      </c>
      <c r="AH88" s="175"/>
      <c r="AI88" s="175"/>
    </row>
    <row r="89" spans="1:35" s="178" customFormat="1" x14ac:dyDescent="0.25">
      <c r="A89" s="176">
        <v>6</v>
      </c>
      <c r="B89" s="176"/>
      <c r="C89" s="176">
        <f t="shared" si="6"/>
        <v>28</v>
      </c>
      <c r="D89" s="176">
        <f t="shared" si="7"/>
        <v>20</v>
      </c>
      <c r="E89" s="176">
        <f t="shared" si="8"/>
        <v>13</v>
      </c>
      <c r="F89" s="176" t="str">
        <f t="shared" si="9"/>
        <v>pm</v>
      </c>
      <c r="G89" s="176" t="s">
        <v>204</v>
      </c>
      <c r="H89" s="176" t="s">
        <v>412</v>
      </c>
      <c r="I89" s="176" t="s">
        <v>203</v>
      </c>
      <c r="J89" s="177" t="s">
        <v>21</v>
      </c>
      <c r="K89" s="178">
        <f t="shared" si="10"/>
        <v>1401.235994520837</v>
      </c>
      <c r="L89" s="176"/>
      <c r="M89" s="178">
        <v>1600</v>
      </c>
      <c r="R89" s="178">
        <v>1475.1822078119806</v>
      </c>
      <c r="T89" s="178">
        <v>1401.235994520837</v>
      </c>
      <c r="AH89" s="175"/>
      <c r="AI89" s="175"/>
    </row>
    <row r="90" spans="1:35" s="178" customFormat="1" x14ac:dyDescent="0.25">
      <c r="A90" s="176">
        <v>6</v>
      </c>
      <c r="B90" s="176"/>
      <c r="C90" s="176">
        <f t="shared" si="6"/>
        <v>29</v>
      </c>
      <c r="D90" s="176">
        <f t="shared" si="7"/>
        <v>20</v>
      </c>
      <c r="E90" s="176">
        <f t="shared" si="8"/>
        <v>13</v>
      </c>
      <c r="F90" s="176" t="str">
        <f t="shared" si="9"/>
        <v>pm</v>
      </c>
      <c r="G90" s="176" t="s">
        <v>511</v>
      </c>
      <c r="H90" s="176" t="s">
        <v>412</v>
      </c>
      <c r="I90" s="176" t="s">
        <v>512</v>
      </c>
      <c r="J90" s="177" t="s">
        <v>21</v>
      </c>
      <c r="K90" s="178">
        <f t="shared" si="10"/>
        <v>1520.7107114660023</v>
      </c>
      <c r="L90" s="176"/>
      <c r="M90" s="178">
        <v>1600</v>
      </c>
      <c r="R90" s="178">
        <v>1624.823853549269</v>
      </c>
      <c r="T90" s="178">
        <v>1520.7107114660023</v>
      </c>
      <c r="AH90" s="175"/>
      <c r="AI90" s="175"/>
    </row>
    <row r="91" spans="1:35" s="178" customFormat="1" x14ac:dyDescent="0.25">
      <c r="A91" s="176">
        <v>4</v>
      </c>
      <c r="B91" s="176"/>
      <c r="C91" s="176">
        <f t="shared" si="6"/>
        <v>30</v>
      </c>
      <c r="D91" s="176">
        <f t="shared" si="7"/>
        <v>20</v>
      </c>
      <c r="E91" s="176">
        <f t="shared" si="8"/>
        <v>13</v>
      </c>
      <c r="F91" s="176" t="str">
        <f t="shared" si="9"/>
        <v>pm</v>
      </c>
      <c r="G91" s="176" t="s">
        <v>513</v>
      </c>
      <c r="H91" s="176" t="s">
        <v>365</v>
      </c>
      <c r="I91" s="176" t="s">
        <v>514</v>
      </c>
      <c r="J91" s="177" t="s">
        <v>21</v>
      </c>
      <c r="K91" s="178">
        <f t="shared" si="10"/>
        <v>1611.1186992330199</v>
      </c>
      <c r="L91" s="176"/>
      <c r="M91" s="178">
        <v>1600</v>
      </c>
      <c r="T91" s="178">
        <v>1611.1186992330199</v>
      </c>
      <c r="AH91" s="175"/>
      <c r="AI91" s="175"/>
    </row>
    <row r="92" spans="1:35" s="178" customFormat="1" x14ac:dyDescent="0.25">
      <c r="A92" s="176">
        <v>5</v>
      </c>
      <c r="B92" s="176"/>
      <c r="C92" s="176">
        <f t="shared" si="6"/>
        <v>31</v>
      </c>
      <c r="D92" s="176">
        <f t="shared" si="7"/>
        <v>20</v>
      </c>
      <c r="E92" s="176">
        <f t="shared" si="8"/>
        <v>13</v>
      </c>
      <c r="F92" s="176" t="str">
        <f t="shared" si="9"/>
        <v>pm</v>
      </c>
      <c r="G92" s="176" t="s">
        <v>240</v>
      </c>
      <c r="H92" s="176" t="s">
        <v>515</v>
      </c>
      <c r="I92" s="176" t="s">
        <v>239</v>
      </c>
      <c r="J92" s="177" t="s">
        <v>21</v>
      </c>
      <c r="K92" s="178">
        <f t="shared" si="10"/>
        <v>1471.7276842658753</v>
      </c>
      <c r="L92" s="176"/>
      <c r="M92" s="178">
        <v>1600</v>
      </c>
      <c r="R92" s="178">
        <v>1540.9289312215133</v>
      </c>
      <c r="T92" s="178">
        <v>1471.7276842658753</v>
      </c>
      <c r="AH92" s="175"/>
      <c r="AI92" s="175"/>
    </row>
    <row r="93" spans="1:35" s="178" customFormat="1" x14ac:dyDescent="0.25">
      <c r="A93" s="176">
        <v>5</v>
      </c>
      <c r="B93" s="176"/>
      <c r="C93" s="176">
        <f t="shared" si="6"/>
        <v>32</v>
      </c>
      <c r="D93" s="176">
        <f t="shared" si="7"/>
        <v>20</v>
      </c>
      <c r="E93" s="176">
        <f t="shared" si="8"/>
        <v>13</v>
      </c>
      <c r="F93" s="176" t="str">
        <f t="shared" si="9"/>
        <v>pm</v>
      </c>
      <c r="G93" s="176" t="s">
        <v>516</v>
      </c>
      <c r="H93" s="176" t="s">
        <v>515</v>
      </c>
      <c r="I93" s="176" t="s">
        <v>517</v>
      </c>
      <c r="J93" s="177" t="s">
        <v>21</v>
      </c>
      <c r="K93" s="178">
        <f t="shared" si="10"/>
        <v>1624.3375045624421</v>
      </c>
      <c r="L93" s="176"/>
      <c r="M93" s="178">
        <v>1600</v>
      </c>
      <c r="R93" s="178">
        <v>1624.3375045624421</v>
      </c>
      <c r="AH93" s="175"/>
      <c r="AI93" s="175"/>
    </row>
    <row r="94" spans="1:35" s="178" customFormat="1" x14ac:dyDescent="0.25">
      <c r="A94" s="176">
        <v>7</v>
      </c>
      <c r="B94" s="176"/>
      <c r="C94" s="176">
        <f t="shared" si="6"/>
        <v>33</v>
      </c>
      <c r="D94" s="176">
        <f t="shared" si="7"/>
        <v>20</v>
      </c>
      <c r="E94" s="176">
        <f t="shared" si="8"/>
        <v>13</v>
      </c>
      <c r="F94" s="176" t="str">
        <f t="shared" si="9"/>
        <v>pm</v>
      </c>
      <c r="G94" s="176" t="s">
        <v>234</v>
      </c>
      <c r="H94" s="176" t="s">
        <v>518</v>
      </c>
      <c r="I94" s="176" t="s">
        <v>233</v>
      </c>
      <c r="J94" s="177" t="s">
        <v>21</v>
      </c>
      <c r="K94" s="178">
        <f t="shared" si="10"/>
        <v>1622.9329591490934</v>
      </c>
      <c r="L94" s="176"/>
      <c r="M94" s="178">
        <v>1600</v>
      </c>
      <c r="P94" s="178">
        <v>1540.0355769325172</v>
      </c>
      <c r="R94" s="178">
        <v>1576.7047718940707</v>
      </c>
      <c r="T94" s="178">
        <v>1622.9329591490934</v>
      </c>
      <c r="AH94" s="175"/>
      <c r="AI94" s="175"/>
    </row>
    <row r="95" spans="1:35" s="178" customFormat="1" x14ac:dyDescent="0.25">
      <c r="A95" s="176">
        <v>3</v>
      </c>
      <c r="B95" s="176"/>
      <c r="C95" s="176">
        <f t="shared" si="6"/>
        <v>34</v>
      </c>
      <c r="D95" s="176">
        <f t="shared" si="7"/>
        <v>20</v>
      </c>
      <c r="E95" s="176">
        <f t="shared" si="8"/>
        <v>13</v>
      </c>
      <c r="F95" s="176" t="str">
        <f t="shared" si="9"/>
        <v>pm</v>
      </c>
      <c r="G95" s="176" t="s">
        <v>519</v>
      </c>
      <c r="H95" s="176" t="s">
        <v>454</v>
      </c>
      <c r="I95" s="176" t="s">
        <v>520</v>
      </c>
      <c r="J95" s="177" t="s">
        <v>21</v>
      </c>
      <c r="K95" s="178">
        <f t="shared" si="10"/>
        <v>1590.7069587238871</v>
      </c>
      <c r="L95" s="176"/>
      <c r="M95" s="178">
        <v>1600</v>
      </c>
      <c r="R95" s="178">
        <v>1590.7069587238871</v>
      </c>
      <c r="AH95" s="175"/>
      <c r="AI95" s="175"/>
    </row>
    <row r="96" spans="1:35" s="178" customFormat="1" x14ac:dyDescent="0.25">
      <c r="A96" s="176">
        <v>4</v>
      </c>
      <c r="B96" s="176"/>
      <c r="C96" s="176">
        <f t="shared" si="6"/>
        <v>35</v>
      </c>
      <c r="D96" s="176">
        <f t="shared" si="7"/>
        <v>20</v>
      </c>
      <c r="E96" s="176">
        <f t="shared" si="8"/>
        <v>13</v>
      </c>
      <c r="F96" s="176" t="str">
        <f t="shared" si="9"/>
        <v>pm</v>
      </c>
      <c r="G96" s="176" t="s">
        <v>521</v>
      </c>
      <c r="H96" s="176" t="s">
        <v>522</v>
      </c>
      <c r="I96" s="176" t="s">
        <v>229</v>
      </c>
      <c r="J96" s="177" t="s">
        <v>21</v>
      </c>
      <c r="K96" s="178">
        <f t="shared" si="10"/>
        <v>1543.1249027046999</v>
      </c>
      <c r="L96" s="176"/>
      <c r="M96" s="178">
        <v>1600</v>
      </c>
      <c r="P96" s="178">
        <v>1546.0358684980845</v>
      </c>
      <c r="T96" s="178">
        <v>1543.1249027046999</v>
      </c>
      <c r="AH96" s="175"/>
      <c r="AI96" s="175"/>
    </row>
    <row r="97" spans="1:35" s="178" customFormat="1" x14ac:dyDescent="0.25">
      <c r="A97" s="176">
        <v>6</v>
      </c>
      <c r="B97" s="176"/>
      <c r="C97" s="176">
        <f t="shared" si="6"/>
        <v>36</v>
      </c>
      <c r="D97" s="176">
        <f t="shared" si="7"/>
        <v>20</v>
      </c>
      <c r="E97" s="176">
        <f t="shared" si="8"/>
        <v>13</v>
      </c>
      <c r="F97" s="176" t="str">
        <f t="shared" si="9"/>
        <v>pm</v>
      </c>
      <c r="G97" s="176" t="s">
        <v>523</v>
      </c>
      <c r="H97" s="176" t="s">
        <v>392</v>
      </c>
      <c r="I97" s="176" t="s">
        <v>524</v>
      </c>
      <c r="J97" s="177" t="s">
        <v>21</v>
      </c>
      <c r="K97" s="178">
        <f t="shared" si="10"/>
        <v>1595.6889931925523</v>
      </c>
      <c r="L97" s="176"/>
      <c r="M97" s="178">
        <v>1600</v>
      </c>
      <c r="R97" s="178">
        <v>1616.8234096527883</v>
      </c>
      <c r="T97" s="178">
        <v>1595.6889931925523</v>
      </c>
      <c r="AH97" s="175"/>
      <c r="AI97" s="175"/>
    </row>
    <row r="98" spans="1:35" s="178" customFormat="1" x14ac:dyDescent="0.25">
      <c r="A98" s="176">
        <v>6</v>
      </c>
      <c r="B98" s="176"/>
      <c r="C98" s="176">
        <f t="shared" si="6"/>
        <v>37</v>
      </c>
      <c r="D98" s="176">
        <f t="shared" si="7"/>
        <v>20</v>
      </c>
      <c r="E98" s="176">
        <f t="shared" si="8"/>
        <v>13</v>
      </c>
      <c r="F98" s="176" t="str">
        <f t="shared" si="9"/>
        <v>pm</v>
      </c>
      <c r="G98" s="176" t="s">
        <v>242</v>
      </c>
      <c r="H98" s="176" t="s">
        <v>392</v>
      </c>
      <c r="I98" s="176" t="s">
        <v>241</v>
      </c>
      <c r="J98" s="177" t="s">
        <v>21</v>
      </c>
      <c r="K98" s="178">
        <f t="shared" si="10"/>
        <v>1466.8482393616123</v>
      </c>
      <c r="L98" s="176"/>
      <c r="M98" s="178">
        <v>1600</v>
      </c>
      <c r="R98" s="178">
        <v>1511.9591340892896</v>
      </c>
      <c r="T98" s="178">
        <v>1466.8482393616123</v>
      </c>
      <c r="AH98" s="175"/>
      <c r="AI98" s="175"/>
    </row>
    <row r="99" spans="1:35" s="178" customFormat="1" x14ac:dyDescent="0.25">
      <c r="A99" s="176">
        <v>5</v>
      </c>
      <c r="B99" s="176"/>
      <c r="C99" s="176">
        <f t="shared" si="6"/>
        <v>38</v>
      </c>
      <c r="D99" s="176">
        <f t="shared" si="7"/>
        <v>20</v>
      </c>
      <c r="E99" s="176">
        <f t="shared" si="8"/>
        <v>13</v>
      </c>
      <c r="F99" s="176" t="str">
        <f t="shared" si="9"/>
        <v>pm</v>
      </c>
      <c r="G99" s="176" t="s">
        <v>525</v>
      </c>
      <c r="H99" s="176" t="s">
        <v>421</v>
      </c>
      <c r="I99" s="176" t="s">
        <v>526</v>
      </c>
      <c r="J99" s="177" t="s">
        <v>21</v>
      </c>
      <c r="K99" s="178">
        <f t="shared" si="10"/>
        <v>1726.3713626144149</v>
      </c>
      <c r="L99" s="176"/>
      <c r="M99" s="178">
        <v>1600</v>
      </c>
      <c r="R99" s="178">
        <v>1647.4740230165003</v>
      </c>
      <c r="T99" s="178">
        <v>1726.3713626144149</v>
      </c>
      <c r="AH99" s="175"/>
      <c r="AI99" s="175"/>
    </row>
    <row r="100" spans="1:35" s="178" customFormat="1" x14ac:dyDescent="0.25">
      <c r="A100" s="176">
        <v>5</v>
      </c>
      <c r="B100" s="176"/>
      <c r="C100" s="176">
        <f t="shared" si="6"/>
        <v>39</v>
      </c>
      <c r="D100" s="176">
        <f t="shared" si="7"/>
        <v>20</v>
      </c>
      <c r="E100" s="176">
        <f t="shared" si="8"/>
        <v>13</v>
      </c>
      <c r="F100" s="176" t="str">
        <f t="shared" si="9"/>
        <v>pm</v>
      </c>
      <c r="G100" s="176" t="s">
        <v>527</v>
      </c>
      <c r="H100" s="176" t="s">
        <v>528</v>
      </c>
      <c r="I100" s="176" t="s">
        <v>529</v>
      </c>
      <c r="J100" s="177" t="s">
        <v>21</v>
      </c>
      <c r="K100" s="178">
        <f t="shared" si="10"/>
        <v>1613.0329052350071</v>
      </c>
      <c r="L100" s="176"/>
      <c r="M100" s="178">
        <v>1600</v>
      </c>
      <c r="R100" s="178">
        <v>1639.4730821157075</v>
      </c>
      <c r="T100" s="178">
        <v>1613.0329052350071</v>
      </c>
      <c r="AH100" s="175"/>
      <c r="AI100" s="175"/>
    </row>
    <row r="101" spans="1:35" s="178" customFormat="1" x14ac:dyDescent="0.25">
      <c r="A101" s="176">
        <v>3</v>
      </c>
      <c r="B101" s="176"/>
      <c r="C101" s="176">
        <f t="shared" si="6"/>
        <v>40</v>
      </c>
      <c r="D101" s="176">
        <f t="shared" si="7"/>
        <v>20</v>
      </c>
      <c r="E101" s="176">
        <f t="shared" si="8"/>
        <v>13</v>
      </c>
      <c r="F101" s="176" t="str">
        <f t="shared" si="9"/>
        <v>pm</v>
      </c>
      <c r="G101" s="176" t="s">
        <v>530</v>
      </c>
      <c r="H101" s="176" t="s">
        <v>390</v>
      </c>
      <c r="I101" s="176" t="s">
        <v>531</v>
      </c>
      <c r="J101" s="177" t="s">
        <v>21</v>
      </c>
      <c r="K101" s="178">
        <f t="shared" si="10"/>
        <v>1600</v>
      </c>
      <c r="L101" s="176"/>
      <c r="M101" s="178">
        <v>1600</v>
      </c>
      <c r="AH101" s="175"/>
      <c r="AI101" s="175"/>
    </row>
    <row r="102" spans="1:35" s="178" customFormat="1" x14ac:dyDescent="0.25">
      <c r="A102" s="176">
        <v>3</v>
      </c>
      <c r="B102" s="176"/>
      <c r="C102" s="176">
        <f t="shared" si="6"/>
        <v>41</v>
      </c>
      <c r="D102" s="176">
        <f t="shared" si="7"/>
        <v>41</v>
      </c>
      <c r="E102" s="176">
        <f t="shared" si="8"/>
        <v>13</v>
      </c>
      <c r="F102" s="176" t="str">
        <f t="shared" si="9"/>
        <v>pm</v>
      </c>
      <c r="G102" s="176" t="s">
        <v>532</v>
      </c>
      <c r="H102" s="176" t="s">
        <v>406</v>
      </c>
      <c r="I102" s="176" t="s">
        <v>533</v>
      </c>
      <c r="J102" s="177" t="s">
        <v>360</v>
      </c>
      <c r="K102" s="178">
        <f t="shared" si="10"/>
        <v>1278.4897521966338</v>
      </c>
      <c r="L102" s="176"/>
      <c r="M102" s="178">
        <v>1200</v>
      </c>
      <c r="R102" s="178">
        <v>1251.7655011857189</v>
      </c>
      <c r="T102" s="178">
        <v>1278.4897521966338</v>
      </c>
      <c r="AH102" s="175"/>
      <c r="AI102" s="175"/>
    </row>
    <row r="103" spans="1:35" s="178" customFormat="1" x14ac:dyDescent="0.25">
      <c r="A103" s="176">
        <v>2</v>
      </c>
      <c r="B103" s="176"/>
      <c r="C103" s="176">
        <f t="shared" si="6"/>
        <v>1</v>
      </c>
      <c r="D103" s="176">
        <f t="shared" si="7"/>
        <v>1</v>
      </c>
      <c r="E103" s="176">
        <f t="shared" si="8"/>
        <v>14</v>
      </c>
      <c r="F103" s="176" t="str">
        <f t="shared" si="9"/>
        <v>pm</v>
      </c>
      <c r="G103" s="176" t="s">
        <v>534</v>
      </c>
      <c r="H103" s="176" t="s">
        <v>362</v>
      </c>
      <c r="I103" s="176" t="s">
        <v>535</v>
      </c>
      <c r="J103" s="177" t="s">
        <v>22</v>
      </c>
      <c r="K103" s="178">
        <f t="shared" si="10"/>
        <v>2311.0807161779258</v>
      </c>
      <c r="L103" s="176"/>
      <c r="M103" s="178">
        <v>2200</v>
      </c>
      <c r="S103" s="178">
        <v>2311.0807161779258</v>
      </c>
      <c r="AH103" s="175"/>
      <c r="AI103" s="175"/>
    </row>
    <row r="104" spans="1:35" s="178" customFormat="1" x14ac:dyDescent="0.25">
      <c r="A104" s="176">
        <v>3</v>
      </c>
      <c r="B104" s="176"/>
      <c r="C104" s="176">
        <f t="shared" si="6"/>
        <v>2</v>
      </c>
      <c r="D104" s="176">
        <f t="shared" si="7"/>
        <v>1</v>
      </c>
      <c r="E104" s="176">
        <f t="shared" si="8"/>
        <v>14</v>
      </c>
      <c r="F104" s="176" t="str">
        <f t="shared" si="9"/>
        <v>pm</v>
      </c>
      <c r="G104" s="176" t="s">
        <v>536</v>
      </c>
      <c r="H104" s="176" t="s">
        <v>362</v>
      </c>
      <c r="I104" s="176" t="s">
        <v>537</v>
      </c>
      <c r="J104" s="177" t="s">
        <v>22</v>
      </c>
      <c r="K104" s="178">
        <f t="shared" si="10"/>
        <v>2092.2750042388857</v>
      </c>
      <c r="L104" s="176"/>
      <c r="M104" s="178">
        <v>2200</v>
      </c>
      <c r="S104" s="178">
        <v>2092.2750042388857</v>
      </c>
      <c r="AH104" s="175"/>
      <c r="AI104" s="175"/>
    </row>
    <row r="105" spans="1:35" s="178" customFormat="1" x14ac:dyDescent="0.25">
      <c r="A105" s="176">
        <v>2</v>
      </c>
      <c r="B105" s="176"/>
      <c r="C105" s="176">
        <f t="shared" si="6"/>
        <v>3</v>
      </c>
      <c r="D105" s="176">
        <f t="shared" si="7"/>
        <v>1</v>
      </c>
      <c r="E105" s="176">
        <f t="shared" si="8"/>
        <v>14</v>
      </c>
      <c r="F105" s="176" t="str">
        <f t="shared" si="9"/>
        <v>pm</v>
      </c>
      <c r="G105" s="176" t="s">
        <v>538</v>
      </c>
      <c r="H105" s="176" t="s">
        <v>461</v>
      </c>
      <c r="I105" s="176" t="s">
        <v>539</v>
      </c>
      <c r="J105" s="177" t="s">
        <v>22</v>
      </c>
      <c r="K105" s="178">
        <f t="shared" si="10"/>
        <v>2120.4974639095253</v>
      </c>
      <c r="L105" s="176"/>
      <c r="M105" s="178">
        <v>2200</v>
      </c>
      <c r="O105" s="178">
        <v>2120.4974639095253</v>
      </c>
      <c r="AH105" s="175"/>
      <c r="AI105" s="175"/>
    </row>
    <row r="106" spans="1:35" s="178" customFormat="1" x14ac:dyDescent="0.25">
      <c r="A106" s="176">
        <v>3</v>
      </c>
      <c r="B106" s="176"/>
      <c r="C106" s="176">
        <f t="shared" si="6"/>
        <v>4</v>
      </c>
      <c r="D106" s="176">
        <f t="shared" si="7"/>
        <v>1</v>
      </c>
      <c r="E106" s="176">
        <f t="shared" si="8"/>
        <v>14</v>
      </c>
      <c r="F106" s="176" t="str">
        <f t="shared" si="9"/>
        <v>pm</v>
      </c>
      <c r="G106" s="176" t="s">
        <v>540</v>
      </c>
      <c r="H106" s="176" t="s">
        <v>355</v>
      </c>
      <c r="I106" s="176" t="s">
        <v>541</v>
      </c>
      <c r="J106" s="177" t="s">
        <v>22</v>
      </c>
      <c r="K106" s="178">
        <f t="shared" si="10"/>
        <v>2257.1292784787197</v>
      </c>
      <c r="L106" s="176"/>
      <c r="M106" s="178">
        <v>2200</v>
      </c>
      <c r="O106" s="178">
        <v>2257.1292784787197</v>
      </c>
      <c r="AH106" s="175"/>
      <c r="AI106" s="175"/>
    </row>
    <row r="107" spans="1:35" s="178" customFormat="1" x14ac:dyDescent="0.25">
      <c r="A107" s="176">
        <v>4</v>
      </c>
      <c r="B107" s="176"/>
      <c r="C107" s="176">
        <f t="shared" si="6"/>
        <v>5</v>
      </c>
      <c r="D107" s="176">
        <f t="shared" si="7"/>
        <v>1</v>
      </c>
      <c r="E107" s="176">
        <f t="shared" si="8"/>
        <v>14</v>
      </c>
      <c r="F107" s="176" t="str">
        <f t="shared" si="9"/>
        <v>pm</v>
      </c>
      <c r="G107" s="176" t="s">
        <v>542</v>
      </c>
      <c r="H107" s="176" t="s">
        <v>355</v>
      </c>
      <c r="I107" s="176" t="s">
        <v>543</v>
      </c>
      <c r="J107" s="177" t="s">
        <v>22</v>
      </c>
      <c r="K107" s="178">
        <f t="shared" si="10"/>
        <v>2175.0809426337946</v>
      </c>
      <c r="L107" s="176"/>
      <c r="M107" s="178">
        <v>2200</v>
      </c>
      <c r="O107" s="178">
        <v>2175.0809426337946</v>
      </c>
      <c r="AH107" s="175"/>
      <c r="AI107" s="175"/>
    </row>
    <row r="108" spans="1:35" s="178" customFormat="1" x14ac:dyDescent="0.25">
      <c r="A108" s="176">
        <v>5</v>
      </c>
      <c r="B108" s="176"/>
      <c r="C108" s="176">
        <f t="shared" si="6"/>
        <v>6</v>
      </c>
      <c r="D108" s="176">
        <f t="shared" si="7"/>
        <v>1</v>
      </c>
      <c r="E108" s="176">
        <f t="shared" si="8"/>
        <v>14</v>
      </c>
      <c r="F108" s="176" t="str">
        <f t="shared" si="9"/>
        <v>pm</v>
      </c>
      <c r="G108" s="176" t="s">
        <v>544</v>
      </c>
      <c r="H108" s="176" t="s">
        <v>400</v>
      </c>
      <c r="I108" s="176" t="s">
        <v>545</v>
      </c>
      <c r="J108" s="177" t="s">
        <v>22</v>
      </c>
      <c r="K108" s="178">
        <f t="shared" si="10"/>
        <v>2166.7823153530389</v>
      </c>
      <c r="L108" s="176"/>
      <c r="M108" s="178">
        <v>2200</v>
      </c>
      <c r="O108" s="178">
        <v>2166.7823153530389</v>
      </c>
      <c r="AH108" s="175"/>
      <c r="AI108" s="175"/>
    </row>
    <row r="109" spans="1:35" s="178" customFormat="1" x14ac:dyDescent="0.25">
      <c r="A109" s="176">
        <v>5</v>
      </c>
      <c r="B109" s="176"/>
      <c r="C109" s="176">
        <f t="shared" si="6"/>
        <v>7</v>
      </c>
      <c r="D109" s="176">
        <f t="shared" si="7"/>
        <v>1</v>
      </c>
      <c r="E109" s="176">
        <f t="shared" si="8"/>
        <v>14</v>
      </c>
      <c r="F109" s="176" t="str">
        <f t="shared" si="9"/>
        <v>pm</v>
      </c>
      <c r="G109" s="176" t="s">
        <v>546</v>
      </c>
      <c r="H109" s="176" t="s">
        <v>401</v>
      </c>
      <c r="I109" s="176" t="s">
        <v>547</v>
      </c>
      <c r="J109" s="177" t="s">
        <v>22</v>
      </c>
      <c r="K109" s="178">
        <f t="shared" si="10"/>
        <v>2250.3476060341486</v>
      </c>
      <c r="L109" s="176"/>
      <c r="M109" s="178">
        <v>2200</v>
      </c>
      <c r="O109" s="178">
        <v>2180.5987194531212</v>
      </c>
      <c r="S109" s="178">
        <v>2250.3476060341486</v>
      </c>
      <c r="AH109" s="175"/>
      <c r="AI109" s="175"/>
    </row>
    <row r="110" spans="1:35" s="178" customFormat="1" x14ac:dyDescent="0.25">
      <c r="A110" s="176">
        <v>6</v>
      </c>
      <c r="B110" s="176"/>
      <c r="C110" s="176">
        <f t="shared" si="6"/>
        <v>8</v>
      </c>
      <c r="D110" s="176">
        <f t="shared" si="7"/>
        <v>1</v>
      </c>
      <c r="E110" s="176">
        <f t="shared" si="8"/>
        <v>14</v>
      </c>
      <c r="F110" s="176" t="str">
        <f t="shared" si="9"/>
        <v>pm</v>
      </c>
      <c r="G110" s="176" t="s">
        <v>548</v>
      </c>
      <c r="H110" s="176" t="s">
        <v>401</v>
      </c>
      <c r="I110" s="176" t="s">
        <v>549</v>
      </c>
      <c r="J110" s="177" t="s">
        <v>22</v>
      </c>
      <c r="K110" s="178">
        <f t="shared" si="10"/>
        <v>2195.9003251665326</v>
      </c>
      <c r="L110" s="176"/>
      <c r="M110" s="178">
        <v>2200</v>
      </c>
      <c r="O110" s="178">
        <v>2136.9547286873108</v>
      </c>
      <c r="Q110" s="178">
        <v>2208.3131101752324</v>
      </c>
      <c r="S110" s="178">
        <v>2195.9003251665326</v>
      </c>
      <c r="AH110" s="175"/>
      <c r="AI110" s="175"/>
    </row>
    <row r="111" spans="1:35" s="178" customFormat="1" x14ac:dyDescent="0.25">
      <c r="A111" s="176">
        <v>1</v>
      </c>
      <c r="B111" s="176"/>
      <c r="C111" s="176">
        <f t="shared" si="6"/>
        <v>9</v>
      </c>
      <c r="D111" s="176">
        <f t="shared" si="7"/>
        <v>1</v>
      </c>
      <c r="E111" s="176">
        <f t="shared" si="8"/>
        <v>14</v>
      </c>
      <c r="F111" s="176" t="str">
        <f t="shared" si="9"/>
        <v>pmx</v>
      </c>
      <c r="G111" s="176" t="s">
        <v>550</v>
      </c>
      <c r="H111" s="176" t="s">
        <v>410</v>
      </c>
      <c r="I111" s="176" t="s">
        <v>551</v>
      </c>
      <c r="J111" s="177" t="s">
        <v>22</v>
      </c>
      <c r="K111" s="178">
        <f t="shared" si="10"/>
        <v>2200</v>
      </c>
      <c r="L111" s="176"/>
      <c r="M111" s="178">
        <v>2200</v>
      </c>
      <c r="AH111" s="175"/>
      <c r="AI111" s="175"/>
    </row>
    <row r="112" spans="1:35" s="178" customFormat="1" x14ac:dyDescent="0.25">
      <c r="A112" s="176">
        <v>2</v>
      </c>
      <c r="B112" s="176"/>
      <c r="C112" s="176">
        <f t="shared" si="6"/>
        <v>10</v>
      </c>
      <c r="D112" s="176">
        <f t="shared" si="7"/>
        <v>1</v>
      </c>
      <c r="E112" s="176">
        <f t="shared" si="8"/>
        <v>14</v>
      </c>
      <c r="F112" s="176" t="str">
        <f t="shared" si="9"/>
        <v>pm</v>
      </c>
      <c r="G112" s="176" t="s">
        <v>552</v>
      </c>
      <c r="H112" s="176" t="s">
        <v>410</v>
      </c>
      <c r="I112" s="176" t="s">
        <v>553</v>
      </c>
      <c r="J112" s="177" t="s">
        <v>22</v>
      </c>
      <c r="K112" s="178">
        <f t="shared" si="10"/>
        <v>2104.8159469865618</v>
      </c>
      <c r="L112" s="176"/>
      <c r="M112" s="178">
        <v>2200</v>
      </c>
      <c r="O112" s="178">
        <v>2104.8159469865618</v>
      </c>
      <c r="AH112" s="175"/>
      <c r="AI112" s="175"/>
    </row>
    <row r="113" spans="1:35" s="178" customFormat="1" x14ac:dyDescent="0.25">
      <c r="A113" s="176">
        <v>5</v>
      </c>
      <c r="B113" s="176"/>
      <c r="C113" s="176">
        <f t="shared" si="6"/>
        <v>11</v>
      </c>
      <c r="D113" s="176">
        <f t="shared" si="7"/>
        <v>1</v>
      </c>
      <c r="E113" s="176">
        <f t="shared" si="8"/>
        <v>14</v>
      </c>
      <c r="F113" s="176" t="str">
        <f t="shared" si="9"/>
        <v>pm</v>
      </c>
      <c r="G113" s="176" t="s">
        <v>554</v>
      </c>
      <c r="H113" s="176" t="s">
        <v>412</v>
      </c>
      <c r="I113" s="176" t="s">
        <v>555</v>
      </c>
      <c r="J113" s="177" t="s">
        <v>22</v>
      </c>
      <c r="K113" s="178">
        <f t="shared" si="10"/>
        <v>2192.5369343564885</v>
      </c>
      <c r="L113" s="176"/>
      <c r="M113" s="178">
        <v>2200</v>
      </c>
      <c r="O113" s="178">
        <v>2192.5369343564885</v>
      </c>
      <c r="AH113" s="175"/>
      <c r="AI113" s="175"/>
    </row>
    <row r="114" spans="1:35" s="178" customFormat="1" x14ac:dyDescent="0.25">
      <c r="A114" s="176">
        <v>4</v>
      </c>
      <c r="B114" s="176"/>
      <c r="C114" s="176">
        <f t="shared" si="6"/>
        <v>12</v>
      </c>
      <c r="D114" s="176">
        <f t="shared" si="7"/>
        <v>1</v>
      </c>
      <c r="E114" s="176">
        <f t="shared" si="8"/>
        <v>14</v>
      </c>
      <c r="F114" s="176" t="str">
        <f t="shared" si="9"/>
        <v>pm</v>
      </c>
      <c r="G114" s="176" t="s">
        <v>556</v>
      </c>
      <c r="H114" s="176" t="s">
        <v>412</v>
      </c>
      <c r="I114" s="176" t="s">
        <v>557</v>
      </c>
      <c r="J114" s="177" t="s">
        <v>22</v>
      </c>
      <c r="K114" s="178">
        <f t="shared" si="10"/>
        <v>2200</v>
      </c>
      <c r="L114" s="176"/>
      <c r="M114" s="178">
        <v>2200</v>
      </c>
      <c r="AH114" s="175"/>
      <c r="AI114" s="175"/>
    </row>
    <row r="115" spans="1:35" s="178" customFormat="1" x14ac:dyDescent="0.25">
      <c r="A115" s="176">
        <v>6</v>
      </c>
      <c r="B115" s="176"/>
      <c r="C115" s="176">
        <f t="shared" si="6"/>
        <v>13</v>
      </c>
      <c r="D115" s="176">
        <f t="shared" si="7"/>
        <v>1</v>
      </c>
      <c r="E115" s="176">
        <f t="shared" si="8"/>
        <v>14</v>
      </c>
      <c r="F115" s="176" t="str">
        <f t="shared" si="9"/>
        <v>pm</v>
      </c>
      <c r="G115" s="176" t="s">
        <v>558</v>
      </c>
      <c r="H115" s="176" t="s">
        <v>412</v>
      </c>
      <c r="I115" s="176" t="s">
        <v>559</v>
      </c>
      <c r="J115" s="177" t="s">
        <v>22</v>
      </c>
      <c r="K115" s="178">
        <f t="shared" si="10"/>
        <v>2076.1154229393692</v>
      </c>
      <c r="L115" s="176"/>
      <c r="M115" s="178">
        <v>2200</v>
      </c>
      <c r="Q115" s="178">
        <v>2163.7344821514484</v>
      </c>
      <c r="S115" s="178">
        <v>2076.1154229393692</v>
      </c>
      <c r="AH115" s="175"/>
      <c r="AI115" s="175"/>
    </row>
    <row r="116" spans="1:35" s="178" customFormat="1" x14ac:dyDescent="0.25">
      <c r="A116" s="176">
        <v>6</v>
      </c>
      <c r="B116" s="176"/>
      <c r="C116" s="176">
        <f t="shared" si="6"/>
        <v>14</v>
      </c>
      <c r="D116" s="176">
        <f t="shared" si="7"/>
        <v>1</v>
      </c>
      <c r="E116" s="176">
        <f t="shared" si="8"/>
        <v>14</v>
      </c>
      <c r="F116" s="176" t="str">
        <f t="shared" si="9"/>
        <v>pm</v>
      </c>
      <c r="G116" s="176" t="s">
        <v>560</v>
      </c>
      <c r="H116" s="176" t="s">
        <v>412</v>
      </c>
      <c r="I116" s="176" t="s">
        <v>561</v>
      </c>
      <c r="J116" s="177" t="s">
        <v>22</v>
      </c>
      <c r="K116" s="178">
        <f t="shared" si="10"/>
        <v>1955.6661733617088</v>
      </c>
      <c r="L116" s="176"/>
      <c r="M116" s="178">
        <v>2200</v>
      </c>
      <c r="Q116" s="178">
        <v>2088.3530041259473</v>
      </c>
      <c r="S116" s="178">
        <v>1955.6661733617088</v>
      </c>
      <c r="AH116" s="175"/>
      <c r="AI116" s="175"/>
    </row>
    <row r="117" spans="1:35" s="178" customFormat="1" x14ac:dyDescent="0.25">
      <c r="A117" s="176">
        <v>4</v>
      </c>
      <c r="B117" s="176"/>
      <c r="C117" s="176">
        <f t="shared" si="6"/>
        <v>15</v>
      </c>
      <c r="D117" s="176">
        <f t="shared" si="7"/>
        <v>1</v>
      </c>
      <c r="E117" s="176">
        <f t="shared" si="8"/>
        <v>14</v>
      </c>
      <c r="F117" s="176" t="str">
        <f t="shared" si="9"/>
        <v>pm</v>
      </c>
      <c r="G117" s="176" t="s">
        <v>562</v>
      </c>
      <c r="H117" s="176" t="s">
        <v>412</v>
      </c>
      <c r="I117" s="176" t="s">
        <v>563</v>
      </c>
      <c r="J117" s="177" t="s">
        <v>22</v>
      </c>
      <c r="K117" s="178">
        <f t="shared" si="10"/>
        <v>2200</v>
      </c>
      <c r="L117" s="176"/>
      <c r="M117" s="178">
        <v>2200</v>
      </c>
      <c r="AH117" s="175"/>
      <c r="AI117" s="175"/>
    </row>
    <row r="118" spans="1:35" s="178" customFormat="1" x14ac:dyDescent="0.25">
      <c r="A118" s="176">
        <v>4</v>
      </c>
      <c r="B118" s="176"/>
      <c r="C118" s="176">
        <f t="shared" si="6"/>
        <v>16</v>
      </c>
      <c r="D118" s="176">
        <f t="shared" si="7"/>
        <v>1</v>
      </c>
      <c r="E118" s="176">
        <f t="shared" si="8"/>
        <v>14</v>
      </c>
      <c r="F118" s="176" t="str">
        <f t="shared" si="9"/>
        <v>pm</v>
      </c>
      <c r="G118" s="176" t="s">
        <v>564</v>
      </c>
      <c r="H118" s="176" t="s">
        <v>365</v>
      </c>
      <c r="I118" s="176" t="s">
        <v>565</v>
      </c>
      <c r="J118" s="177" t="s">
        <v>22</v>
      </c>
      <c r="K118" s="178">
        <f t="shared" si="10"/>
        <v>2200</v>
      </c>
      <c r="L118" s="176"/>
      <c r="M118" s="178">
        <v>2200</v>
      </c>
      <c r="AH118" s="175"/>
      <c r="AI118" s="175"/>
    </row>
    <row r="119" spans="1:35" s="178" customFormat="1" x14ac:dyDescent="0.25">
      <c r="A119" s="176">
        <v>3</v>
      </c>
      <c r="B119" s="176"/>
      <c r="C119" s="176">
        <f t="shared" si="6"/>
        <v>17</v>
      </c>
      <c r="D119" s="176">
        <f t="shared" si="7"/>
        <v>1</v>
      </c>
      <c r="E119" s="176">
        <f t="shared" si="8"/>
        <v>14</v>
      </c>
      <c r="F119" s="176" t="str">
        <f t="shared" si="9"/>
        <v>pm</v>
      </c>
      <c r="G119" s="176" t="s">
        <v>566</v>
      </c>
      <c r="H119" s="176" t="s">
        <v>567</v>
      </c>
      <c r="I119" s="176" t="s">
        <v>568</v>
      </c>
      <c r="J119" s="177" t="s">
        <v>22</v>
      </c>
      <c r="K119" s="178">
        <f t="shared" si="10"/>
        <v>2156.2324864205407</v>
      </c>
      <c r="L119" s="176"/>
      <c r="M119" s="178">
        <v>2200</v>
      </c>
      <c r="O119" s="178">
        <v>2156.2324864205407</v>
      </c>
      <c r="AH119" s="175"/>
      <c r="AI119" s="175"/>
    </row>
    <row r="120" spans="1:35" s="178" customFormat="1" x14ac:dyDescent="0.25">
      <c r="A120" s="176">
        <v>3</v>
      </c>
      <c r="B120" s="176"/>
      <c r="C120" s="176">
        <f t="shared" si="6"/>
        <v>18</v>
      </c>
      <c r="D120" s="176">
        <f t="shared" si="7"/>
        <v>1</v>
      </c>
      <c r="E120" s="176">
        <f t="shared" si="8"/>
        <v>14</v>
      </c>
      <c r="F120" s="176" t="str">
        <f t="shared" si="9"/>
        <v>pm</v>
      </c>
      <c r="G120" s="176" t="s">
        <v>569</v>
      </c>
      <c r="H120" s="176" t="s">
        <v>567</v>
      </c>
      <c r="I120" s="176" t="s">
        <v>570</v>
      </c>
      <c r="J120" s="177" t="s">
        <v>22</v>
      </c>
      <c r="K120" s="178">
        <f t="shared" si="10"/>
        <v>2202.1728034434786</v>
      </c>
      <c r="L120" s="176"/>
      <c r="M120" s="178">
        <v>2200</v>
      </c>
      <c r="O120" s="178">
        <v>2202.1728034434786</v>
      </c>
      <c r="AH120" s="175"/>
      <c r="AI120" s="175"/>
    </row>
    <row r="121" spans="1:35" s="178" customFormat="1" x14ac:dyDescent="0.25">
      <c r="A121" s="176">
        <v>1</v>
      </c>
      <c r="B121" s="176"/>
      <c r="C121" s="176">
        <f t="shared" si="6"/>
        <v>19</v>
      </c>
      <c r="D121" s="176">
        <f t="shared" si="7"/>
        <v>1</v>
      </c>
      <c r="E121" s="176">
        <f t="shared" si="8"/>
        <v>14</v>
      </c>
      <c r="F121" s="176" t="str">
        <f t="shared" si="9"/>
        <v>pmx</v>
      </c>
      <c r="G121" s="176" t="s">
        <v>571</v>
      </c>
      <c r="H121" s="176" t="s">
        <v>387</v>
      </c>
      <c r="I121" s="176" t="s">
        <v>572</v>
      </c>
      <c r="J121" s="177" t="s">
        <v>22</v>
      </c>
      <c r="K121" s="178">
        <f t="shared" si="10"/>
        <v>2306.8327545238444</v>
      </c>
      <c r="L121" s="176"/>
      <c r="M121" s="178">
        <v>2200</v>
      </c>
      <c r="S121" s="178">
        <v>2306.8327545238444</v>
      </c>
      <c r="AH121" s="175"/>
      <c r="AI121" s="175"/>
    </row>
    <row r="122" spans="1:35" s="178" customFormat="1" x14ac:dyDescent="0.25">
      <c r="A122" s="176">
        <v>2</v>
      </c>
      <c r="B122" s="176"/>
      <c r="C122" s="176">
        <f t="shared" si="6"/>
        <v>20</v>
      </c>
      <c r="D122" s="176">
        <f t="shared" si="7"/>
        <v>1</v>
      </c>
      <c r="E122" s="176">
        <f t="shared" si="8"/>
        <v>14</v>
      </c>
      <c r="F122" s="176" t="str">
        <f t="shared" si="9"/>
        <v>pm</v>
      </c>
      <c r="G122" s="176" t="s">
        <v>573</v>
      </c>
      <c r="H122" s="176" t="s">
        <v>387</v>
      </c>
      <c r="I122" s="176" t="s">
        <v>574</v>
      </c>
      <c r="J122" s="177" t="s">
        <v>22</v>
      </c>
      <c r="K122" s="178">
        <f t="shared" si="10"/>
        <v>2267.1704673081986</v>
      </c>
      <c r="L122" s="176"/>
      <c r="M122" s="178">
        <v>2200</v>
      </c>
      <c r="S122" s="178">
        <v>2267.1704673081986</v>
      </c>
      <c r="AH122" s="175"/>
      <c r="AI122" s="175"/>
    </row>
    <row r="123" spans="1:35" s="178" customFormat="1" x14ac:dyDescent="0.25">
      <c r="A123" s="176">
        <v>3</v>
      </c>
      <c r="B123" s="176"/>
      <c r="C123" s="176">
        <f t="shared" si="6"/>
        <v>21</v>
      </c>
      <c r="D123" s="176">
        <f t="shared" si="7"/>
        <v>1</v>
      </c>
      <c r="E123" s="176">
        <f t="shared" si="8"/>
        <v>14</v>
      </c>
      <c r="F123" s="176" t="str">
        <f t="shared" si="9"/>
        <v>pm</v>
      </c>
      <c r="G123" s="176" t="s">
        <v>575</v>
      </c>
      <c r="H123" s="176" t="s">
        <v>387</v>
      </c>
      <c r="I123" s="176" t="s">
        <v>576</v>
      </c>
      <c r="J123" s="177" t="s">
        <v>22</v>
      </c>
      <c r="K123" s="178">
        <f t="shared" si="10"/>
        <v>2229.3799913634903</v>
      </c>
      <c r="L123" s="176"/>
      <c r="M123" s="178">
        <v>2200</v>
      </c>
      <c r="S123" s="178">
        <v>2229.3799913634903</v>
      </c>
      <c r="AH123" s="175"/>
      <c r="AI123" s="175"/>
    </row>
    <row r="124" spans="1:35" s="178" customFormat="1" x14ac:dyDescent="0.25">
      <c r="A124" s="176">
        <v>1</v>
      </c>
      <c r="B124" s="176"/>
      <c r="C124" s="176">
        <f t="shared" si="6"/>
        <v>22</v>
      </c>
      <c r="D124" s="176">
        <f t="shared" si="7"/>
        <v>1</v>
      </c>
      <c r="E124" s="176">
        <f t="shared" si="8"/>
        <v>14</v>
      </c>
      <c r="F124" s="176" t="str">
        <f t="shared" si="9"/>
        <v>pmx</v>
      </c>
      <c r="G124" s="176" t="s">
        <v>577</v>
      </c>
      <c r="H124" s="176" t="s">
        <v>352</v>
      </c>
      <c r="I124" s="176" t="s">
        <v>578</v>
      </c>
      <c r="J124" s="177" t="s">
        <v>22</v>
      </c>
      <c r="K124" s="178">
        <f t="shared" si="10"/>
        <v>2200</v>
      </c>
      <c r="L124" s="176"/>
      <c r="M124" s="178">
        <v>2200</v>
      </c>
      <c r="AH124" s="175"/>
      <c r="AI124" s="175"/>
    </row>
    <row r="125" spans="1:35" s="178" customFormat="1" x14ac:dyDescent="0.25">
      <c r="A125" s="176">
        <v>4</v>
      </c>
      <c r="B125" s="176"/>
      <c r="C125" s="176">
        <f t="shared" si="6"/>
        <v>23</v>
      </c>
      <c r="D125" s="176">
        <f t="shared" si="7"/>
        <v>1</v>
      </c>
      <c r="E125" s="176">
        <f t="shared" si="8"/>
        <v>14</v>
      </c>
      <c r="F125" s="176" t="str">
        <f t="shared" si="9"/>
        <v>pm</v>
      </c>
      <c r="G125" s="176" t="s">
        <v>579</v>
      </c>
      <c r="H125" s="176" t="s">
        <v>378</v>
      </c>
      <c r="I125" s="176" t="s">
        <v>580</v>
      </c>
      <c r="J125" s="177" t="s">
        <v>22</v>
      </c>
      <c r="K125" s="178">
        <f t="shared" si="10"/>
        <v>2234.6390291425291</v>
      </c>
      <c r="L125" s="176"/>
      <c r="M125" s="178">
        <v>2200</v>
      </c>
      <c r="O125" s="178">
        <v>2237.4859062594396</v>
      </c>
      <c r="S125" s="178">
        <v>2234.6390291425291</v>
      </c>
      <c r="AH125" s="175"/>
      <c r="AI125" s="175"/>
    </row>
    <row r="126" spans="1:35" s="178" customFormat="1" x14ac:dyDescent="0.25">
      <c r="A126" s="176">
        <v>4</v>
      </c>
      <c r="B126" s="176"/>
      <c r="C126" s="176">
        <f t="shared" si="6"/>
        <v>24</v>
      </c>
      <c r="D126" s="176">
        <f t="shared" si="7"/>
        <v>1</v>
      </c>
      <c r="E126" s="176">
        <f t="shared" si="8"/>
        <v>14</v>
      </c>
      <c r="F126" s="176" t="str">
        <f t="shared" si="9"/>
        <v>pm</v>
      </c>
      <c r="G126" s="176" t="s">
        <v>581</v>
      </c>
      <c r="H126" s="176" t="s">
        <v>378</v>
      </c>
      <c r="I126" s="176" t="s">
        <v>582</v>
      </c>
      <c r="J126" s="177" t="s">
        <v>22</v>
      </c>
      <c r="K126" s="178">
        <f t="shared" si="10"/>
        <v>2180.5396784301838</v>
      </c>
      <c r="L126" s="176"/>
      <c r="M126" s="178">
        <v>2200</v>
      </c>
      <c r="O126" s="178">
        <v>2210.6639227494029</v>
      </c>
      <c r="S126" s="178">
        <v>2180.5396784301838</v>
      </c>
      <c r="AH126" s="175"/>
      <c r="AI126" s="175"/>
    </row>
    <row r="127" spans="1:35" s="178" customFormat="1" x14ac:dyDescent="0.25">
      <c r="A127" s="176">
        <v>5</v>
      </c>
      <c r="B127" s="176"/>
      <c r="C127" s="176">
        <f t="shared" si="6"/>
        <v>25</v>
      </c>
      <c r="D127" s="176">
        <f t="shared" si="7"/>
        <v>1</v>
      </c>
      <c r="E127" s="176">
        <f t="shared" si="8"/>
        <v>14</v>
      </c>
      <c r="F127" s="176" t="str">
        <f t="shared" si="9"/>
        <v>pm</v>
      </c>
      <c r="G127" s="176" t="s">
        <v>583</v>
      </c>
      <c r="H127" s="176" t="s">
        <v>392</v>
      </c>
      <c r="I127" s="176" t="s">
        <v>584</v>
      </c>
      <c r="J127" s="177" t="s">
        <v>22</v>
      </c>
      <c r="K127" s="178">
        <f t="shared" si="10"/>
        <v>2214.1140087089798</v>
      </c>
      <c r="L127" s="176"/>
      <c r="M127" s="178">
        <v>2200</v>
      </c>
      <c r="S127" s="178">
        <v>2214.1140087089798</v>
      </c>
      <c r="AH127" s="175"/>
      <c r="AI127" s="175"/>
    </row>
    <row r="128" spans="1:35" s="178" customFormat="1" x14ac:dyDescent="0.25">
      <c r="A128" s="176">
        <v>5</v>
      </c>
      <c r="B128" s="176"/>
      <c r="C128" s="176">
        <f t="shared" si="6"/>
        <v>26</v>
      </c>
      <c r="D128" s="176">
        <f t="shared" si="7"/>
        <v>1</v>
      </c>
      <c r="E128" s="176">
        <f t="shared" si="8"/>
        <v>14</v>
      </c>
      <c r="F128" s="176" t="str">
        <f t="shared" si="9"/>
        <v>pm</v>
      </c>
      <c r="G128" s="176" t="s">
        <v>585</v>
      </c>
      <c r="H128" s="176" t="s">
        <v>392</v>
      </c>
      <c r="I128" s="176" t="s">
        <v>586</v>
      </c>
      <c r="J128" s="177" t="s">
        <v>22</v>
      </c>
      <c r="K128" s="178">
        <f t="shared" si="10"/>
        <v>2101.7123322867064</v>
      </c>
      <c r="L128" s="176"/>
      <c r="M128" s="178">
        <v>2200</v>
      </c>
      <c r="S128" s="178">
        <v>2101.7123322867064</v>
      </c>
      <c r="AH128" s="175"/>
      <c r="AI128" s="175"/>
    </row>
    <row r="129" spans="1:35" s="178" customFormat="1" x14ac:dyDescent="0.25">
      <c r="A129" s="176">
        <v>2</v>
      </c>
      <c r="B129" s="176"/>
      <c r="C129" s="176">
        <f t="shared" si="6"/>
        <v>27</v>
      </c>
      <c r="D129" s="176">
        <f t="shared" si="7"/>
        <v>1</v>
      </c>
      <c r="E129" s="176">
        <f t="shared" si="8"/>
        <v>14</v>
      </c>
      <c r="F129" s="176" t="str">
        <f t="shared" si="9"/>
        <v>pm</v>
      </c>
      <c r="G129" s="176" t="s">
        <v>587</v>
      </c>
      <c r="H129" s="176" t="s">
        <v>375</v>
      </c>
      <c r="I129" s="176" t="s">
        <v>588</v>
      </c>
      <c r="J129" s="177" t="s">
        <v>22</v>
      </c>
      <c r="K129" s="178">
        <f t="shared" si="10"/>
        <v>2257.5203872558918</v>
      </c>
      <c r="L129" s="176"/>
      <c r="M129" s="178">
        <v>2200</v>
      </c>
      <c r="O129" s="178">
        <v>2257.5203872558918</v>
      </c>
      <c r="AH129" s="175"/>
      <c r="AI129" s="175"/>
    </row>
    <row r="130" spans="1:35" s="178" customFormat="1" x14ac:dyDescent="0.25">
      <c r="A130" s="176">
        <v>2</v>
      </c>
      <c r="B130" s="176"/>
      <c r="C130" s="176">
        <f t="shared" ref="C130:C193" si="11">IF(E130=E129,C129+1,1)</f>
        <v>28</v>
      </c>
      <c r="D130" s="176">
        <f t="shared" ref="D130:D193" si="12">IF(M130=M129,D129,C130)</f>
        <v>1</v>
      </c>
      <c r="E130" s="176">
        <f t="shared" ref="E130:E193" si="13">10+VALUE(RIGHT(LEFT(G130,3),1))</f>
        <v>14</v>
      </c>
      <c r="F130" s="176" t="str">
        <f t="shared" ref="F130:F193" si="14">RIGHT(G130,2) &amp; IF(A130&lt;2,"x","")</f>
        <v>pm</v>
      </c>
      <c r="G130" s="176" t="s">
        <v>589</v>
      </c>
      <c r="H130" s="176" t="s">
        <v>390</v>
      </c>
      <c r="I130" s="176" t="s">
        <v>590</v>
      </c>
      <c r="J130" s="177" t="s">
        <v>22</v>
      </c>
      <c r="K130" s="178">
        <f t="shared" ref="K130:K193" si="15">LOOKUP(1E+100,M130:AC130)</f>
        <v>2312.9812528642774</v>
      </c>
      <c r="L130" s="176"/>
      <c r="M130" s="178">
        <v>2200</v>
      </c>
      <c r="O130" s="178">
        <v>2312.9812528642774</v>
      </c>
      <c r="AH130" s="175"/>
      <c r="AI130" s="175"/>
    </row>
    <row r="131" spans="1:35" s="178" customFormat="1" x14ac:dyDescent="0.25">
      <c r="A131" s="176">
        <v>2</v>
      </c>
      <c r="B131" s="176"/>
      <c r="C131" s="176">
        <f t="shared" si="11"/>
        <v>29</v>
      </c>
      <c r="D131" s="176">
        <f t="shared" si="12"/>
        <v>1</v>
      </c>
      <c r="E131" s="176">
        <f t="shared" si="13"/>
        <v>14</v>
      </c>
      <c r="F131" s="176" t="str">
        <f t="shared" si="14"/>
        <v>pm</v>
      </c>
      <c r="G131" s="176" t="s">
        <v>591</v>
      </c>
      <c r="H131" s="176" t="s">
        <v>362</v>
      </c>
      <c r="I131" s="176" t="s">
        <v>592</v>
      </c>
      <c r="J131" s="177" t="s">
        <v>22</v>
      </c>
      <c r="K131" s="178">
        <f t="shared" si="15"/>
        <v>2175.4488963954454</v>
      </c>
      <c r="L131" s="176"/>
      <c r="M131" s="178">
        <v>2200</v>
      </c>
      <c r="O131" s="178">
        <v>2175.4488963954454</v>
      </c>
      <c r="AH131" s="175"/>
      <c r="AI131" s="175"/>
    </row>
    <row r="132" spans="1:35" s="178" customFormat="1" x14ac:dyDescent="0.25">
      <c r="A132" s="176"/>
      <c r="B132" s="176"/>
      <c r="C132" s="176">
        <f t="shared" si="11"/>
        <v>30</v>
      </c>
      <c r="D132" s="176">
        <f t="shared" si="12"/>
        <v>1</v>
      </c>
      <c r="E132" s="176">
        <f t="shared" si="13"/>
        <v>14</v>
      </c>
      <c r="F132" s="176" t="str">
        <f t="shared" si="14"/>
        <v>pmx</v>
      </c>
      <c r="G132" s="176" t="s">
        <v>591</v>
      </c>
      <c r="H132" s="176"/>
      <c r="I132" s="176" t="s">
        <v>593</v>
      </c>
      <c r="J132" s="177" t="s">
        <v>22</v>
      </c>
      <c r="K132" s="178">
        <f t="shared" si="15"/>
        <v>2200</v>
      </c>
      <c r="L132" s="176"/>
      <c r="M132" s="178">
        <v>2200</v>
      </c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</row>
    <row r="133" spans="1:35" s="178" customFormat="1" x14ac:dyDescent="0.25">
      <c r="A133" s="176">
        <v>4</v>
      </c>
      <c r="B133" s="176"/>
      <c r="C133" s="176">
        <f t="shared" si="11"/>
        <v>31</v>
      </c>
      <c r="D133" s="176">
        <f t="shared" si="12"/>
        <v>31</v>
      </c>
      <c r="E133" s="176">
        <f t="shared" si="13"/>
        <v>14</v>
      </c>
      <c r="F133" s="176" t="str">
        <f t="shared" si="14"/>
        <v>pm</v>
      </c>
      <c r="G133" s="176" t="s">
        <v>594</v>
      </c>
      <c r="H133" s="176" t="s">
        <v>390</v>
      </c>
      <c r="I133" s="176" t="s">
        <v>595</v>
      </c>
      <c r="J133" s="177" t="s">
        <v>22</v>
      </c>
      <c r="K133" s="178">
        <f t="shared" si="15"/>
        <v>2111.5716033290137</v>
      </c>
      <c r="L133" s="176"/>
      <c r="M133" s="178">
        <v>2150</v>
      </c>
      <c r="S133" s="178">
        <v>2111.5716033290137</v>
      </c>
      <c r="AH133" s="175"/>
      <c r="AI133" s="175"/>
    </row>
    <row r="134" spans="1:35" s="178" customFormat="1" x14ac:dyDescent="0.25">
      <c r="A134" s="176">
        <v>4</v>
      </c>
      <c r="B134" s="176"/>
      <c r="C134" s="176">
        <f t="shared" si="11"/>
        <v>32</v>
      </c>
      <c r="D134" s="176">
        <f t="shared" si="12"/>
        <v>32</v>
      </c>
      <c r="E134" s="176">
        <f t="shared" si="13"/>
        <v>14</v>
      </c>
      <c r="F134" s="176" t="str">
        <f t="shared" si="14"/>
        <v>pm</v>
      </c>
      <c r="G134" s="176" t="s">
        <v>596</v>
      </c>
      <c r="H134" s="176" t="s">
        <v>597</v>
      </c>
      <c r="I134" s="176" t="s">
        <v>598</v>
      </c>
      <c r="J134" s="177" t="s">
        <v>22</v>
      </c>
      <c r="K134" s="178">
        <f t="shared" si="15"/>
        <v>2100</v>
      </c>
      <c r="L134" s="176"/>
      <c r="M134" s="178">
        <v>2100</v>
      </c>
      <c r="AH134" s="175"/>
      <c r="AI134" s="175"/>
    </row>
    <row r="135" spans="1:35" s="178" customFormat="1" x14ac:dyDescent="0.25">
      <c r="A135" s="176">
        <v>2</v>
      </c>
      <c r="B135" s="176"/>
      <c r="C135" s="176">
        <f t="shared" si="11"/>
        <v>33</v>
      </c>
      <c r="D135" s="176">
        <f t="shared" si="12"/>
        <v>32</v>
      </c>
      <c r="E135" s="176">
        <f t="shared" si="13"/>
        <v>14</v>
      </c>
      <c r="F135" s="176" t="str">
        <f t="shared" si="14"/>
        <v>pm</v>
      </c>
      <c r="G135" s="176" t="s">
        <v>599</v>
      </c>
      <c r="H135" s="176" t="s">
        <v>454</v>
      </c>
      <c r="I135" s="176" t="s">
        <v>600</v>
      </c>
      <c r="J135" s="177" t="s">
        <v>22</v>
      </c>
      <c r="K135" s="178">
        <f t="shared" si="15"/>
        <v>2113.396842419188</v>
      </c>
      <c r="L135" s="176"/>
      <c r="M135" s="178">
        <v>2100</v>
      </c>
      <c r="O135" s="178">
        <v>2113.396842419188</v>
      </c>
      <c r="AH135" s="175"/>
      <c r="AI135" s="175"/>
    </row>
    <row r="136" spans="1:35" s="178" customFormat="1" x14ac:dyDescent="0.25">
      <c r="A136" s="176">
        <v>3</v>
      </c>
      <c r="B136" s="176"/>
      <c r="C136" s="176">
        <f t="shared" si="11"/>
        <v>34</v>
      </c>
      <c r="D136" s="176">
        <f t="shared" si="12"/>
        <v>34</v>
      </c>
      <c r="E136" s="176">
        <f t="shared" si="13"/>
        <v>14</v>
      </c>
      <c r="F136" s="176" t="str">
        <f t="shared" si="14"/>
        <v>pm</v>
      </c>
      <c r="G136" s="176" t="s">
        <v>601</v>
      </c>
      <c r="H136" s="176" t="s">
        <v>375</v>
      </c>
      <c r="I136" s="176" t="s">
        <v>602</v>
      </c>
      <c r="J136" s="177" t="s">
        <v>22</v>
      </c>
      <c r="K136" s="178">
        <f t="shared" si="15"/>
        <v>2201.9753930179209</v>
      </c>
      <c r="L136" s="176"/>
      <c r="M136" s="178">
        <v>2066.6666666666665</v>
      </c>
      <c r="O136" s="178">
        <v>2201.9753930179209</v>
      </c>
      <c r="AH136" s="175"/>
      <c r="AI136" s="175"/>
    </row>
    <row r="137" spans="1:35" s="178" customFormat="1" x14ac:dyDescent="0.25">
      <c r="A137" s="176">
        <v>5</v>
      </c>
      <c r="B137" s="176"/>
      <c r="C137" s="176">
        <f t="shared" si="11"/>
        <v>35</v>
      </c>
      <c r="D137" s="176">
        <f t="shared" si="12"/>
        <v>35</v>
      </c>
      <c r="E137" s="176">
        <f t="shared" si="13"/>
        <v>14</v>
      </c>
      <c r="F137" s="176" t="str">
        <f t="shared" si="14"/>
        <v>pm</v>
      </c>
      <c r="G137" s="176" t="s">
        <v>603</v>
      </c>
      <c r="H137" s="176" t="s">
        <v>384</v>
      </c>
      <c r="I137" s="176" t="s">
        <v>604</v>
      </c>
      <c r="J137" s="177" t="s">
        <v>22</v>
      </c>
      <c r="K137" s="178">
        <f t="shared" si="15"/>
        <v>2065.5934655640858</v>
      </c>
      <c r="L137" s="176"/>
      <c r="M137" s="178">
        <v>2040</v>
      </c>
      <c r="O137" s="178">
        <v>2039.2796529523846</v>
      </c>
      <c r="S137" s="178">
        <v>2065.5934655640858</v>
      </c>
      <c r="AH137" s="175"/>
      <c r="AI137" s="175"/>
    </row>
    <row r="138" spans="1:35" s="178" customFormat="1" x14ac:dyDescent="0.25">
      <c r="A138" s="176">
        <v>5</v>
      </c>
      <c r="B138" s="176"/>
      <c r="C138" s="176">
        <f t="shared" si="11"/>
        <v>36</v>
      </c>
      <c r="D138" s="176">
        <f t="shared" si="12"/>
        <v>35</v>
      </c>
      <c r="E138" s="176">
        <f t="shared" si="13"/>
        <v>14</v>
      </c>
      <c r="F138" s="176" t="str">
        <f t="shared" si="14"/>
        <v>pm</v>
      </c>
      <c r="G138" s="176" t="s">
        <v>605</v>
      </c>
      <c r="H138" s="176" t="s">
        <v>384</v>
      </c>
      <c r="I138" s="176" t="s">
        <v>606</v>
      </c>
      <c r="J138" s="177" t="s">
        <v>22</v>
      </c>
      <c r="K138" s="178">
        <f t="shared" si="15"/>
        <v>1894.2272816119016</v>
      </c>
      <c r="L138" s="176"/>
      <c r="M138" s="178">
        <v>2040</v>
      </c>
      <c r="O138" s="178">
        <v>1896.3415220391612</v>
      </c>
      <c r="S138" s="178">
        <v>1894.2272816119016</v>
      </c>
      <c r="AH138" s="175"/>
      <c r="AI138" s="175"/>
    </row>
    <row r="139" spans="1:35" s="178" customFormat="1" x14ac:dyDescent="0.25">
      <c r="A139" s="176">
        <v>6</v>
      </c>
      <c r="B139" s="176"/>
      <c r="C139" s="176">
        <f t="shared" si="11"/>
        <v>37</v>
      </c>
      <c r="D139" s="176">
        <f t="shared" si="12"/>
        <v>37</v>
      </c>
      <c r="E139" s="176">
        <f t="shared" si="13"/>
        <v>14</v>
      </c>
      <c r="F139" s="176" t="str">
        <f t="shared" si="14"/>
        <v>pm</v>
      </c>
      <c r="G139" s="176" t="s">
        <v>607</v>
      </c>
      <c r="H139" s="176" t="s">
        <v>422</v>
      </c>
      <c r="I139" s="176" t="s">
        <v>608</v>
      </c>
      <c r="J139" s="177" t="s">
        <v>21</v>
      </c>
      <c r="K139" s="178">
        <f t="shared" si="15"/>
        <v>1878.2752759660921</v>
      </c>
      <c r="L139" s="176"/>
      <c r="M139" s="178">
        <v>2000</v>
      </c>
      <c r="P139" s="178">
        <v>1895.6498384460454</v>
      </c>
      <c r="S139" s="178">
        <v>1878.2752759660921</v>
      </c>
      <c r="AH139" s="175"/>
      <c r="AI139" s="175"/>
    </row>
    <row r="140" spans="1:35" s="178" customFormat="1" x14ac:dyDescent="0.25">
      <c r="A140" s="176">
        <v>6</v>
      </c>
      <c r="B140" s="176"/>
      <c r="C140" s="176">
        <f t="shared" si="11"/>
        <v>38</v>
      </c>
      <c r="D140" s="176">
        <f t="shared" si="12"/>
        <v>37</v>
      </c>
      <c r="E140" s="176">
        <f t="shared" si="13"/>
        <v>14</v>
      </c>
      <c r="F140" s="176" t="str">
        <f t="shared" si="14"/>
        <v>pm</v>
      </c>
      <c r="G140" s="176" t="s">
        <v>246</v>
      </c>
      <c r="H140" s="176" t="s">
        <v>408</v>
      </c>
      <c r="I140" s="176" t="s">
        <v>245</v>
      </c>
      <c r="J140" s="177" t="s">
        <v>21</v>
      </c>
      <c r="K140" s="178">
        <f t="shared" si="15"/>
        <v>2125.9014593645511</v>
      </c>
      <c r="L140" s="176"/>
      <c r="M140" s="178">
        <v>2000</v>
      </c>
      <c r="P140" s="178">
        <v>2046.5213833507919</v>
      </c>
      <c r="R140" s="178">
        <v>2056.3147376237139</v>
      </c>
      <c r="T140" s="178">
        <v>2125.9014593645511</v>
      </c>
      <c r="AH140" s="175"/>
      <c r="AI140" s="175"/>
    </row>
    <row r="141" spans="1:35" s="178" customFormat="1" x14ac:dyDescent="0.25">
      <c r="A141" s="176">
        <v>4</v>
      </c>
      <c r="B141" s="176"/>
      <c r="C141" s="176">
        <f t="shared" si="11"/>
        <v>39</v>
      </c>
      <c r="D141" s="176">
        <f t="shared" si="12"/>
        <v>37</v>
      </c>
      <c r="E141" s="176">
        <f t="shared" si="13"/>
        <v>14</v>
      </c>
      <c r="F141" s="176" t="str">
        <f t="shared" si="14"/>
        <v>pm</v>
      </c>
      <c r="G141" s="176" t="s">
        <v>609</v>
      </c>
      <c r="H141" s="176" t="s">
        <v>378</v>
      </c>
      <c r="I141" s="176" t="s">
        <v>610</v>
      </c>
      <c r="J141" s="177" t="s">
        <v>21</v>
      </c>
      <c r="K141" s="178">
        <f t="shared" si="15"/>
        <v>1890.3332168465452</v>
      </c>
      <c r="L141" s="176"/>
      <c r="M141" s="178">
        <v>2000</v>
      </c>
      <c r="O141" s="178">
        <v>1987.3948411288115</v>
      </c>
      <c r="R141" s="178">
        <v>1890.3332168465452</v>
      </c>
      <c r="AH141" s="175"/>
      <c r="AI141" s="175"/>
    </row>
    <row r="142" spans="1:35" s="178" customFormat="1" x14ac:dyDescent="0.25">
      <c r="A142" s="176">
        <v>3</v>
      </c>
      <c r="B142" s="176"/>
      <c r="C142" s="176">
        <f t="shared" si="11"/>
        <v>40</v>
      </c>
      <c r="D142" s="176">
        <f t="shared" si="12"/>
        <v>40</v>
      </c>
      <c r="E142" s="176">
        <f t="shared" si="13"/>
        <v>14</v>
      </c>
      <c r="F142" s="176" t="str">
        <f t="shared" si="14"/>
        <v>pm</v>
      </c>
      <c r="G142" s="176" t="s">
        <v>611</v>
      </c>
      <c r="H142" s="176" t="s">
        <v>612</v>
      </c>
      <c r="I142" s="176" t="s">
        <v>613</v>
      </c>
      <c r="J142" s="177" t="s">
        <v>21</v>
      </c>
      <c r="K142" s="178">
        <f t="shared" si="15"/>
        <v>1916.9532749111102</v>
      </c>
      <c r="L142" s="176"/>
      <c r="M142" s="178">
        <v>1933.3333333333333</v>
      </c>
      <c r="O142" s="175"/>
      <c r="P142" s="175"/>
      <c r="Q142" s="175">
        <v>1916.9532749111102</v>
      </c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</row>
    <row r="143" spans="1:35" s="178" customFormat="1" x14ac:dyDescent="0.25">
      <c r="A143" s="176">
        <v>3</v>
      </c>
      <c r="B143" s="176"/>
      <c r="C143" s="176">
        <f t="shared" si="11"/>
        <v>41</v>
      </c>
      <c r="D143" s="176">
        <f t="shared" si="12"/>
        <v>40</v>
      </c>
      <c r="E143" s="176">
        <f t="shared" si="13"/>
        <v>14</v>
      </c>
      <c r="F143" s="176" t="str">
        <f t="shared" si="14"/>
        <v>pm</v>
      </c>
      <c r="G143" s="176" t="s">
        <v>252</v>
      </c>
      <c r="H143" s="176" t="s">
        <v>461</v>
      </c>
      <c r="I143" s="176" t="s">
        <v>251</v>
      </c>
      <c r="J143" s="177" t="s">
        <v>21</v>
      </c>
      <c r="K143" s="178">
        <f t="shared" si="15"/>
        <v>1819.6878315091337</v>
      </c>
      <c r="L143" s="176"/>
      <c r="M143" s="178">
        <v>1933.3333333333333</v>
      </c>
      <c r="O143" s="178">
        <v>1895.4654161275282</v>
      </c>
      <c r="T143" s="178">
        <v>1819.6878315091337</v>
      </c>
      <c r="AH143" s="175"/>
      <c r="AI143" s="175"/>
    </row>
    <row r="144" spans="1:35" s="178" customFormat="1" x14ac:dyDescent="0.25">
      <c r="A144" s="176">
        <v>3</v>
      </c>
      <c r="B144" s="176"/>
      <c r="C144" s="176">
        <f t="shared" si="11"/>
        <v>42</v>
      </c>
      <c r="D144" s="176">
        <f t="shared" si="12"/>
        <v>40</v>
      </c>
      <c r="E144" s="176">
        <f t="shared" si="13"/>
        <v>14</v>
      </c>
      <c r="F144" s="176" t="str">
        <f t="shared" si="14"/>
        <v>pm</v>
      </c>
      <c r="G144" s="176" t="s">
        <v>250</v>
      </c>
      <c r="H144" s="176" t="s">
        <v>614</v>
      </c>
      <c r="I144" s="176" t="s">
        <v>249</v>
      </c>
      <c r="J144" s="177" t="s">
        <v>21</v>
      </c>
      <c r="K144" s="178">
        <f t="shared" si="15"/>
        <v>1929.3910828969913</v>
      </c>
      <c r="L144" s="176"/>
      <c r="M144" s="178">
        <v>1933.3333333333333</v>
      </c>
      <c r="P144" s="178">
        <v>1921.8901473006756</v>
      </c>
      <c r="T144" s="178">
        <v>1929.3910828969913</v>
      </c>
      <c r="AH144" s="175"/>
      <c r="AI144" s="175"/>
    </row>
    <row r="145" spans="1:35" s="178" customFormat="1" x14ac:dyDescent="0.25">
      <c r="A145" s="176">
        <v>4</v>
      </c>
      <c r="B145" s="176"/>
      <c r="C145" s="176">
        <f t="shared" si="11"/>
        <v>43</v>
      </c>
      <c r="D145" s="176">
        <f t="shared" si="12"/>
        <v>43</v>
      </c>
      <c r="E145" s="176">
        <f t="shared" si="13"/>
        <v>14</v>
      </c>
      <c r="F145" s="176" t="str">
        <f t="shared" si="14"/>
        <v>pm</v>
      </c>
      <c r="G145" s="176" t="s">
        <v>256</v>
      </c>
      <c r="H145" s="176" t="s">
        <v>393</v>
      </c>
      <c r="I145" s="176" t="s">
        <v>255</v>
      </c>
      <c r="J145" s="177" t="s">
        <v>21</v>
      </c>
      <c r="K145" s="178">
        <f t="shared" si="15"/>
        <v>1780.8711874278245</v>
      </c>
      <c r="L145" s="176"/>
      <c r="M145" s="178">
        <v>1900</v>
      </c>
      <c r="Q145" s="178">
        <v>1885.2929818149187</v>
      </c>
      <c r="T145" s="178">
        <v>1780.8711874278245</v>
      </c>
      <c r="AH145" s="175"/>
      <c r="AI145" s="175"/>
    </row>
    <row r="146" spans="1:35" s="178" customFormat="1" x14ac:dyDescent="0.25">
      <c r="A146" s="176">
        <v>5</v>
      </c>
      <c r="B146" s="176"/>
      <c r="C146" s="176">
        <f t="shared" si="11"/>
        <v>44</v>
      </c>
      <c r="D146" s="176">
        <f t="shared" si="12"/>
        <v>44</v>
      </c>
      <c r="E146" s="176">
        <f t="shared" si="13"/>
        <v>14</v>
      </c>
      <c r="F146" s="176" t="str">
        <f t="shared" si="14"/>
        <v>pm</v>
      </c>
      <c r="G146" s="176" t="s">
        <v>258</v>
      </c>
      <c r="H146" s="176" t="s">
        <v>515</v>
      </c>
      <c r="I146" s="176" t="s">
        <v>257</v>
      </c>
      <c r="J146" s="177" t="s">
        <v>21</v>
      </c>
      <c r="K146" s="178">
        <f t="shared" si="15"/>
        <v>1928.6532904156654</v>
      </c>
      <c r="L146" s="176"/>
      <c r="M146" s="178">
        <v>1880</v>
      </c>
      <c r="S146" s="178">
        <v>1918.746719402327</v>
      </c>
      <c r="T146" s="178">
        <v>1928.6532904156654</v>
      </c>
      <c r="AH146" s="175"/>
      <c r="AI146" s="175"/>
    </row>
    <row r="147" spans="1:35" s="178" customFormat="1" x14ac:dyDescent="0.25">
      <c r="A147" s="176">
        <v>6</v>
      </c>
      <c r="B147" s="176"/>
      <c r="C147" s="176">
        <f t="shared" si="11"/>
        <v>45</v>
      </c>
      <c r="D147" s="176">
        <f t="shared" si="12"/>
        <v>45</v>
      </c>
      <c r="E147" s="176">
        <f t="shared" si="13"/>
        <v>14</v>
      </c>
      <c r="F147" s="176" t="str">
        <f t="shared" si="14"/>
        <v>pm</v>
      </c>
      <c r="G147" s="176" t="s">
        <v>173</v>
      </c>
      <c r="H147" s="176" t="s">
        <v>518</v>
      </c>
      <c r="I147" s="176" t="s">
        <v>172</v>
      </c>
      <c r="J147" s="177" t="s">
        <v>21</v>
      </c>
      <c r="K147" s="178">
        <f t="shared" si="15"/>
        <v>2259.1775396240569</v>
      </c>
      <c r="L147" s="178">
        <v>1866.6666666666667</v>
      </c>
      <c r="M147" s="178">
        <v>2200</v>
      </c>
      <c r="P147" s="178">
        <v>2232.5282669272556</v>
      </c>
      <c r="T147" s="178">
        <v>2259.1775396240569</v>
      </c>
      <c r="AH147" s="175"/>
      <c r="AI147" s="175"/>
    </row>
    <row r="148" spans="1:35" s="178" customFormat="1" x14ac:dyDescent="0.25">
      <c r="A148" s="176">
        <v>4</v>
      </c>
      <c r="B148" s="176"/>
      <c r="C148" s="176">
        <f t="shared" si="11"/>
        <v>46</v>
      </c>
      <c r="D148" s="176">
        <f t="shared" si="12"/>
        <v>46</v>
      </c>
      <c r="E148" s="176">
        <f t="shared" si="13"/>
        <v>14</v>
      </c>
      <c r="F148" s="176" t="str">
        <f t="shared" si="14"/>
        <v>pm</v>
      </c>
      <c r="G148" s="176" t="s">
        <v>280</v>
      </c>
      <c r="H148" s="176" t="s">
        <v>422</v>
      </c>
      <c r="I148" s="176" t="s">
        <v>279</v>
      </c>
      <c r="J148" s="177" t="s">
        <v>21</v>
      </c>
      <c r="K148" s="178">
        <f t="shared" si="15"/>
        <v>1654.9795718834444</v>
      </c>
      <c r="L148" s="176"/>
      <c r="M148" s="178">
        <v>1800</v>
      </c>
      <c r="P148" s="178">
        <v>1733.1802264513806</v>
      </c>
      <c r="T148" s="178">
        <v>1654.9795718834444</v>
      </c>
      <c r="AH148" s="175"/>
      <c r="AI148" s="175"/>
    </row>
    <row r="149" spans="1:35" s="178" customFormat="1" x14ac:dyDescent="0.25">
      <c r="A149" s="176">
        <v>6</v>
      </c>
      <c r="B149" s="176"/>
      <c r="C149" s="176">
        <f t="shared" si="11"/>
        <v>47</v>
      </c>
      <c r="D149" s="176">
        <f t="shared" si="12"/>
        <v>46</v>
      </c>
      <c r="E149" s="176">
        <f t="shared" si="13"/>
        <v>14</v>
      </c>
      <c r="F149" s="176" t="str">
        <f t="shared" si="14"/>
        <v>pm</v>
      </c>
      <c r="G149" s="176" t="s">
        <v>262</v>
      </c>
      <c r="H149" s="176" t="s">
        <v>615</v>
      </c>
      <c r="I149" s="176" t="s">
        <v>261</v>
      </c>
      <c r="J149" s="177" t="s">
        <v>21</v>
      </c>
      <c r="K149" s="178">
        <f t="shared" si="15"/>
        <v>1780.5921122747741</v>
      </c>
      <c r="L149" s="176"/>
      <c r="M149" s="178">
        <v>1800</v>
      </c>
      <c r="P149" s="178">
        <v>1729.4670159274219</v>
      </c>
      <c r="R149" s="178">
        <v>1809.1480647862352</v>
      </c>
      <c r="T149" s="178">
        <v>1780.5921122747741</v>
      </c>
      <c r="AH149" s="175"/>
      <c r="AI149" s="175"/>
    </row>
    <row r="150" spans="1:35" s="178" customFormat="1" x14ac:dyDescent="0.25">
      <c r="A150" s="176">
        <v>3</v>
      </c>
      <c r="B150" s="176"/>
      <c r="C150" s="176">
        <f t="shared" si="11"/>
        <v>48</v>
      </c>
      <c r="D150" s="176">
        <f t="shared" si="12"/>
        <v>46</v>
      </c>
      <c r="E150" s="176">
        <f t="shared" si="13"/>
        <v>14</v>
      </c>
      <c r="F150" s="176" t="str">
        <f t="shared" si="14"/>
        <v>pm</v>
      </c>
      <c r="G150" s="176" t="s">
        <v>616</v>
      </c>
      <c r="H150" s="176" t="s">
        <v>355</v>
      </c>
      <c r="I150" s="176" t="s">
        <v>617</v>
      </c>
      <c r="J150" s="177" t="s">
        <v>21</v>
      </c>
      <c r="K150" s="178">
        <f t="shared" si="15"/>
        <v>1862.9777228164949</v>
      </c>
      <c r="L150" s="176"/>
      <c r="M150" s="178">
        <v>1800</v>
      </c>
      <c r="P150" s="178">
        <v>1841.8890710091171</v>
      </c>
      <c r="R150" s="178">
        <v>1862.9777228164949</v>
      </c>
      <c r="AH150" s="175"/>
      <c r="AI150" s="175"/>
    </row>
    <row r="151" spans="1:35" s="178" customFormat="1" x14ac:dyDescent="0.25">
      <c r="A151" s="176">
        <v>3</v>
      </c>
      <c r="B151" s="176"/>
      <c r="C151" s="176">
        <f t="shared" si="11"/>
        <v>49</v>
      </c>
      <c r="D151" s="176">
        <f t="shared" si="12"/>
        <v>46</v>
      </c>
      <c r="E151" s="176">
        <f t="shared" si="13"/>
        <v>14</v>
      </c>
      <c r="F151" s="176" t="str">
        <f t="shared" si="14"/>
        <v>pm</v>
      </c>
      <c r="G151" s="176" t="s">
        <v>618</v>
      </c>
      <c r="H151" s="176" t="s">
        <v>355</v>
      </c>
      <c r="I151" s="176" t="s">
        <v>619</v>
      </c>
      <c r="J151" s="177" t="s">
        <v>21</v>
      </c>
      <c r="K151" s="178">
        <f t="shared" si="15"/>
        <v>1787.9889007294696</v>
      </c>
      <c r="L151" s="176"/>
      <c r="M151" s="178">
        <v>1800</v>
      </c>
      <c r="P151" s="178">
        <v>1836.7243012650156</v>
      </c>
      <c r="R151" s="178">
        <v>1787.9889007294696</v>
      </c>
      <c r="AH151" s="175"/>
      <c r="AI151" s="175"/>
    </row>
    <row r="152" spans="1:35" s="178" customFormat="1" x14ac:dyDescent="0.25">
      <c r="A152" s="176">
        <v>3</v>
      </c>
      <c r="B152" s="176"/>
      <c r="C152" s="176">
        <f t="shared" si="11"/>
        <v>50</v>
      </c>
      <c r="D152" s="176">
        <f t="shared" si="12"/>
        <v>46</v>
      </c>
      <c r="E152" s="176">
        <f t="shared" si="13"/>
        <v>14</v>
      </c>
      <c r="F152" s="176" t="str">
        <f t="shared" si="14"/>
        <v>pm</v>
      </c>
      <c r="G152" s="176" t="s">
        <v>620</v>
      </c>
      <c r="H152" s="176" t="s">
        <v>355</v>
      </c>
      <c r="I152" s="176" t="s">
        <v>621</v>
      </c>
      <c r="J152" s="177" t="s">
        <v>21</v>
      </c>
      <c r="K152" s="178">
        <f t="shared" si="15"/>
        <v>1890.6902473066109</v>
      </c>
      <c r="L152" s="176"/>
      <c r="M152" s="178">
        <v>1800</v>
      </c>
      <c r="R152" s="178">
        <v>1890.6902473066109</v>
      </c>
      <c r="AH152" s="175"/>
      <c r="AI152" s="175"/>
    </row>
    <row r="153" spans="1:35" s="178" customFormat="1" x14ac:dyDescent="0.25">
      <c r="A153" s="176">
        <v>5</v>
      </c>
      <c r="B153" s="176"/>
      <c r="C153" s="176">
        <f t="shared" si="11"/>
        <v>51</v>
      </c>
      <c r="D153" s="176">
        <f t="shared" si="12"/>
        <v>46</v>
      </c>
      <c r="E153" s="176">
        <f t="shared" si="13"/>
        <v>14</v>
      </c>
      <c r="F153" s="176" t="str">
        <f t="shared" si="14"/>
        <v>pm</v>
      </c>
      <c r="G153" s="176" t="s">
        <v>622</v>
      </c>
      <c r="H153" s="176" t="s">
        <v>400</v>
      </c>
      <c r="I153" s="176" t="s">
        <v>623</v>
      </c>
      <c r="J153" s="177" t="s">
        <v>21</v>
      </c>
      <c r="K153" s="178">
        <f t="shared" si="15"/>
        <v>1866.2716900036432</v>
      </c>
      <c r="L153" s="176"/>
      <c r="M153" s="178">
        <v>1800</v>
      </c>
      <c r="P153" s="178">
        <v>1853.5993664092457</v>
      </c>
      <c r="R153" s="178">
        <v>1866.2716900036432</v>
      </c>
      <c r="AH153" s="175"/>
      <c r="AI153" s="175"/>
    </row>
    <row r="154" spans="1:35" s="178" customFormat="1" x14ac:dyDescent="0.25">
      <c r="A154" s="176">
        <v>7</v>
      </c>
      <c r="B154" s="176"/>
      <c r="C154" s="176">
        <f t="shared" si="11"/>
        <v>52</v>
      </c>
      <c r="D154" s="176">
        <f t="shared" si="12"/>
        <v>46</v>
      </c>
      <c r="E154" s="176">
        <f t="shared" si="13"/>
        <v>14</v>
      </c>
      <c r="F154" s="176" t="str">
        <f t="shared" si="14"/>
        <v>pm</v>
      </c>
      <c r="G154" s="176" t="s">
        <v>254</v>
      </c>
      <c r="H154" s="176" t="s">
        <v>401</v>
      </c>
      <c r="I154" s="176" t="s">
        <v>253</v>
      </c>
      <c r="J154" s="177" t="s">
        <v>21</v>
      </c>
      <c r="K154" s="178">
        <f t="shared" si="15"/>
        <v>1852.5892192097544</v>
      </c>
      <c r="L154" s="176"/>
      <c r="M154" s="178">
        <v>1800</v>
      </c>
      <c r="P154" s="178">
        <v>1835.2847547112133</v>
      </c>
      <c r="R154" s="178">
        <v>1889.110814092702</v>
      </c>
      <c r="T154" s="178">
        <v>1852.5892192097544</v>
      </c>
      <c r="AH154" s="175"/>
      <c r="AI154" s="175"/>
    </row>
    <row r="155" spans="1:35" s="178" customFormat="1" x14ac:dyDescent="0.25">
      <c r="A155" s="176">
        <v>7</v>
      </c>
      <c r="B155" s="176"/>
      <c r="C155" s="176">
        <f t="shared" si="11"/>
        <v>53</v>
      </c>
      <c r="D155" s="176">
        <f t="shared" si="12"/>
        <v>46</v>
      </c>
      <c r="E155" s="176">
        <f t="shared" si="13"/>
        <v>14</v>
      </c>
      <c r="F155" s="176" t="str">
        <f t="shared" si="14"/>
        <v>pm</v>
      </c>
      <c r="G155" s="176" t="s">
        <v>228</v>
      </c>
      <c r="H155" s="176" t="s">
        <v>401</v>
      </c>
      <c r="I155" s="176" t="s">
        <v>227</v>
      </c>
      <c r="J155" s="177" t="s">
        <v>21</v>
      </c>
      <c r="K155" s="178">
        <f t="shared" si="15"/>
        <v>1515.9353141743402</v>
      </c>
      <c r="L155" s="176"/>
      <c r="M155" s="178">
        <v>1800</v>
      </c>
      <c r="P155" s="178">
        <v>1729.2404985207163</v>
      </c>
      <c r="R155" s="178">
        <v>1648.5261762534274</v>
      </c>
      <c r="T155" s="178">
        <v>1515.9353141743402</v>
      </c>
      <c r="AH155" s="175"/>
      <c r="AI155" s="175"/>
    </row>
    <row r="156" spans="1:35" s="178" customFormat="1" x14ac:dyDescent="0.25">
      <c r="A156" s="176">
        <v>4</v>
      </c>
      <c r="B156" s="176"/>
      <c r="C156" s="176">
        <f t="shared" si="11"/>
        <v>54</v>
      </c>
      <c r="D156" s="176">
        <f t="shared" si="12"/>
        <v>46</v>
      </c>
      <c r="E156" s="176">
        <f t="shared" si="13"/>
        <v>14</v>
      </c>
      <c r="F156" s="176" t="str">
        <f t="shared" si="14"/>
        <v>pm</v>
      </c>
      <c r="G156" s="176" t="s">
        <v>276</v>
      </c>
      <c r="H156" s="176" t="s">
        <v>401</v>
      </c>
      <c r="I156" s="176" t="s">
        <v>275</v>
      </c>
      <c r="J156" s="177" t="s">
        <v>21</v>
      </c>
      <c r="K156" s="178">
        <f t="shared" si="15"/>
        <v>1685.4617602962937</v>
      </c>
      <c r="L156" s="176"/>
      <c r="M156" s="178">
        <v>1800</v>
      </c>
      <c r="R156" s="178">
        <v>1748.8001298774316</v>
      </c>
      <c r="T156" s="178">
        <v>1685.4617602962937</v>
      </c>
      <c r="AH156" s="175"/>
      <c r="AI156" s="175"/>
    </row>
    <row r="157" spans="1:35" s="178" customFormat="1" x14ac:dyDescent="0.25">
      <c r="A157" s="176">
        <v>6</v>
      </c>
      <c r="B157" s="176"/>
      <c r="C157" s="176">
        <f t="shared" si="11"/>
        <v>55</v>
      </c>
      <c r="D157" s="176">
        <f t="shared" si="12"/>
        <v>46</v>
      </c>
      <c r="E157" s="176">
        <f t="shared" si="13"/>
        <v>14</v>
      </c>
      <c r="F157" s="176" t="str">
        <f t="shared" si="14"/>
        <v>pm</v>
      </c>
      <c r="G157" s="176" t="s">
        <v>282</v>
      </c>
      <c r="H157" s="176" t="s">
        <v>402</v>
      </c>
      <c r="I157" s="176" t="s">
        <v>281</v>
      </c>
      <c r="J157" s="177" t="s">
        <v>21</v>
      </c>
      <c r="K157" s="178">
        <f t="shared" si="15"/>
        <v>1791.8211586686618</v>
      </c>
      <c r="L157" s="176"/>
      <c r="M157" s="178">
        <v>1800</v>
      </c>
      <c r="R157" s="178">
        <v>1729.7293688033053</v>
      </c>
      <c r="T157" s="178">
        <v>1791.8211586686618</v>
      </c>
      <c r="AH157" s="175"/>
      <c r="AI157" s="175"/>
    </row>
    <row r="158" spans="1:35" s="178" customFormat="1" x14ac:dyDescent="0.25">
      <c r="A158" s="176">
        <v>6</v>
      </c>
      <c r="B158" s="176"/>
      <c r="C158" s="176">
        <f t="shared" si="11"/>
        <v>56</v>
      </c>
      <c r="D158" s="176">
        <f t="shared" si="12"/>
        <v>46</v>
      </c>
      <c r="E158" s="176">
        <f t="shared" si="13"/>
        <v>14</v>
      </c>
      <c r="F158" s="176" t="str">
        <f t="shared" si="14"/>
        <v>pm</v>
      </c>
      <c r="G158" s="176" t="s">
        <v>272</v>
      </c>
      <c r="H158" s="176" t="s">
        <v>402</v>
      </c>
      <c r="I158" s="176" t="s">
        <v>271</v>
      </c>
      <c r="J158" s="177" t="s">
        <v>21</v>
      </c>
      <c r="K158" s="178">
        <f t="shared" si="15"/>
        <v>1696.7559274545094</v>
      </c>
      <c r="L158" s="176"/>
      <c r="M158" s="178">
        <v>1800</v>
      </c>
      <c r="R158" s="178">
        <v>1773.2758988569869</v>
      </c>
      <c r="T158" s="178">
        <v>1696.7559274545094</v>
      </c>
      <c r="AH158" s="175"/>
      <c r="AI158" s="175"/>
    </row>
    <row r="159" spans="1:35" s="178" customFormat="1" x14ac:dyDescent="0.25">
      <c r="A159" s="176">
        <v>4</v>
      </c>
      <c r="B159" s="176"/>
      <c r="C159" s="176">
        <f t="shared" si="11"/>
        <v>57</v>
      </c>
      <c r="D159" s="176">
        <f t="shared" si="12"/>
        <v>46</v>
      </c>
      <c r="E159" s="176">
        <f t="shared" si="13"/>
        <v>14</v>
      </c>
      <c r="F159" s="176" t="str">
        <f t="shared" si="14"/>
        <v>pm</v>
      </c>
      <c r="G159" s="176" t="s">
        <v>624</v>
      </c>
      <c r="H159" s="176" t="s">
        <v>406</v>
      </c>
      <c r="I159" s="176" t="s">
        <v>625</v>
      </c>
      <c r="J159" s="177" t="s">
        <v>21</v>
      </c>
      <c r="K159" s="178">
        <f t="shared" si="15"/>
        <v>1851.9753031841728</v>
      </c>
      <c r="L159" s="176"/>
      <c r="M159" s="178">
        <v>1800</v>
      </c>
      <c r="P159" s="178">
        <v>1819.9309139814898</v>
      </c>
      <c r="R159" s="178">
        <v>1851.9753031841728</v>
      </c>
      <c r="AH159" s="175"/>
      <c r="AI159" s="175"/>
    </row>
    <row r="160" spans="1:35" s="178" customFormat="1" x14ac:dyDescent="0.25">
      <c r="A160" s="176">
        <v>6</v>
      </c>
      <c r="B160" s="176"/>
      <c r="C160" s="176">
        <f t="shared" si="11"/>
        <v>58</v>
      </c>
      <c r="D160" s="176">
        <f t="shared" si="12"/>
        <v>46</v>
      </c>
      <c r="E160" s="176">
        <f t="shared" si="13"/>
        <v>14</v>
      </c>
      <c r="F160" s="176" t="str">
        <f t="shared" si="14"/>
        <v>pm</v>
      </c>
      <c r="G160" s="176" t="s">
        <v>278</v>
      </c>
      <c r="H160" s="176" t="s">
        <v>412</v>
      </c>
      <c r="I160" s="176" t="s">
        <v>277</v>
      </c>
      <c r="J160" s="177" t="s">
        <v>21</v>
      </c>
      <c r="K160" s="178">
        <f t="shared" si="15"/>
        <v>1746.2697448355425</v>
      </c>
      <c r="L160" s="176"/>
      <c r="M160" s="178">
        <v>1800</v>
      </c>
      <c r="R160" s="178">
        <v>1746.3122871137466</v>
      </c>
      <c r="T160" s="178">
        <v>1746.2697448355425</v>
      </c>
      <c r="AH160" s="175"/>
      <c r="AI160" s="175"/>
    </row>
    <row r="161" spans="1:35" s="178" customFormat="1" x14ac:dyDescent="0.25">
      <c r="A161" s="176">
        <v>2</v>
      </c>
      <c r="B161" s="176"/>
      <c r="C161" s="176">
        <f t="shared" si="11"/>
        <v>59</v>
      </c>
      <c r="D161" s="176">
        <f t="shared" si="12"/>
        <v>46</v>
      </c>
      <c r="E161" s="176">
        <f t="shared" si="13"/>
        <v>14</v>
      </c>
      <c r="F161" s="176" t="str">
        <f t="shared" si="14"/>
        <v>pm</v>
      </c>
      <c r="G161" s="176" t="s">
        <v>626</v>
      </c>
      <c r="H161" s="176" t="s">
        <v>449</v>
      </c>
      <c r="I161" s="176" t="s">
        <v>627</v>
      </c>
      <c r="J161" s="177" t="s">
        <v>21</v>
      </c>
      <c r="K161" s="178">
        <f t="shared" si="15"/>
        <v>1800</v>
      </c>
      <c r="L161" s="176"/>
      <c r="M161" s="178">
        <v>1800</v>
      </c>
      <c r="AH161" s="175"/>
      <c r="AI161" s="175"/>
    </row>
    <row r="162" spans="1:35" s="178" customFormat="1" x14ac:dyDescent="0.25">
      <c r="A162" s="176">
        <v>6</v>
      </c>
      <c r="B162" s="176"/>
      <c r="C162" s="176">
        <f t="shared" si="11"/>
        <v>60</v>
      </c>
      <c r="D162" s="176">
        <f t="shared" si="12"/>
        <v>46</v>
      </c>
      <c r="E162" s="176">
        <f t="shared" si="13"/>
        <v>14</v>
      </c>
      <c r="F162" s="176" t="str">
        <f t="shared" si="14"/>
        <v>pm</v>
      </c>
      <c r="G162" s="176" t="s">
        <v>248</v>
      </c>
      <c r="H162" s="176" t="s">
        <v>368</v>
      </c>
      <c r="I162" s="176" t="s">
        <v>247</v>
      </c>
      <c r="J162" s="177" t="s">
        <v>21</v>
      </c>
      <c r="K162" s="178">
        <f t="shared" si="15"/>
        <v>2033.1069131537579</v>
      </c>
      <c r="L162" s="176"/>
      <c r="M162" s="178">
        <v>1800</v>
      </c>
      <c r="P162" s="178">
        <v>1884.515075674077</v>
      </c>
      <c r="R162" s="178">
        <v>1952.1722411424284</v>
      </c>
      <c r="T162" s="178">
        <v>2033.1069131537579</v>
      </c>
      <c r="AH162" s="175"/>
      <c r="AI162" s="175"/>
    </row>
    <row r="163" spans="1:35" s="178" customFormat="1" x14ac:dyDescent="0.25">
      <c r="A163" s="176">
        <v>2</v>
      </c>
      <c r="B163" s="176"/>
      <c r="C163" s="176">
        <f t="shared" si="11"/>
        <v>61</v>
      </c>
      <c r="D163" s="176">
        <f t="shared" si="12"/>
        <v>46</v>
      </c>
      <c r="E163" s="176">
        <f t="shared" si="13"/>
        <v>14</v>
      </c>
      <c r="F163" s="176" t="str">
        <f t="shared" si="14"/>
        <v>pm</v>
      </c>
      <c r="G163" s="176" t="s">
        <v>628</v>
      </c>
      <c r="H163" s="176" t="s">
        <v>387</v>
      </c>
      <c r="I163" s="176" t="s">
        <v>629</v>
      </c>
      <c r="J163" s="177" t="s">
        <v>21</v>
      </c>
      <c r="K163" s="178">
        <f t="shared" si="15"/>
        <v>1772.6800095339315</v>
      </c>
      <c r="L163" s="176"/>
      <c r="M163" s="178">
        <v>1800</v>
      </c>
      <c r="R163" s="178">
        <v>1763.399773723718</v>
      </c>
      <c r="S163" s="178">
        <v>1772.6800095339315</v>
      </c>
      <c r="AH163" s="175"/>
      <c r="AI163" s="175"/>
    </row>
    <row r="164" spans="1:35" s="178" customFormat="1" x14ac:dyDescent="0.25">
      <c r="A164" s="176">
        <v>3</v>
      </c>
      <c r="B164" s="176"/>
      <c r="C164" s="176">
        <f t="shared" si="11"/>
        <v>62</v>
      </c>
      <c r="D164" s="176">
        <f t="shared" si="12"/>
        <v>46</v>
      </c>
      <c r="E164" s="176">
        <f t="shared" si="13"/>
        <v>14</v>
      </c>
      <c r="F164" s="176" t="str">
        <f t="shared" si="14"/>
        <v>pm</v>
      </c>
      <c r="G164" s="176" t="s">
        <v>630</v>
      </c>
      <c r="H164" s="176" t="s">
        <v>387</v>
      </c>
      <c r="I164" s="176" t="s">
        <v>631</v>
      </c>
      <c r="J164" s="177" t="s">
        <v>21</v>
      </c>
      <c r="K164" s="178">
        <f t="shared" si="15"/>
        <v>1828.715389683282</v>
      </c>
      <c r="L164" s="176"/>
      <c r="M164" s="178">
        <v>1800</v>
      </c>
      <c r="R164" s="178">
        <v>1828.715389683282</v>
      </c>
      <c r="AH164" s="175"/>
      <c r="AI164" s="175"/>
    </row>
    <row r="165" spans="1:35" s="178" customFormat="1" x14ac:dyDescent="0.25">
      <c r="A165" s="176">
        <v>2</v>
      </c>
      <c r="B165" s="176"/>
      <c r="C165" s="176">
        <f t="shared" si="11"/>
        <v>63</v>
      </c>
      <c r="D165" s="176">
        <f t="shared" si="12"/>
        <v>46</v>
      </c>
      <c r="E165" s="176">
        <f t="shared" si="13"/>
        <v>14</v>
      </c>
      <c r="F165" s="176" t="str">
        <f t="shared" si="14"/>
        <v>pm</v>
      </c>
      <c r="G165" s="176" t="s">
        <v>632</v>
      </c>
      <c r="H165" s="176" t="s">
        <v>387</v>
      </c>
      <c r="I165" s="176" t="s">
        <v>633</v>
      </c>
      <c r="J165" s="177" t="s">
        <v>21</v>
      </c>
      <c r="K165" s="178">
        <f t="shared" si="15"/>
        <v>1883.6554537840855</v>
      </c>
      <c r="L165" s="176"/>
      <c r="M165" s="178">
        <v>1800</v>
      </c>
      <c r="R165" s="178">
        <v>1883.6554537840855</v>
      </c>
      <c r="AH165" s="175"/>
      <c r="AI165" s="175"/>
    </row>
    <row r="166" spans="1:35" s="178" customFormat="1" x14ac:dyDescent="0.25">
      <c r="A166" s="176">
        <v>5</v>
      </c>
      <c r="B166" s="176"/>
      <c r="C166" s="176">
        <f t="shared" si="11"/>
        <v>64</v>
      </c>
      <c r="D166" s="176">
        <f t="shared" si="12"/>
        <v>46</v>
      </c>
      <c r="E166" s="176">
        <f t="shared" si="13"/>
        <v>14</v>
      </c>
      <c r="F166" s="176" t="str">
        <f t="shared" si="14"/>
        <v>pm</v>
      </c>
      <c r="G166" s="176" t="s">
        <v>634</v>
      </c>
      <c r="H166" s="176" t="s">
        <v>522</v>
      </c>
      <c r="I166" s="176" t="s">
        <v>635</v>
      </c>
      <c r="J166" s="177" t="s">
        <v>21</v>
      </c>
      <c r="K166" s="178">
        <f t="shared" si="15"/>
        <v>1792.2971263265672</v>
      </c>
      <c r="L166" s="176"/>
      <c r="M166" s="178">
        <v>1800</v>
      </c>
      <c r="P166" s="178">
        <v>1772.9124733588862</v>
      </c>
      <c r="R166" s="178">
        <v>1792.2971263265672</v>
      </c>
      <c r="AH166" s="175"/>
      <c r="AI166" s="175"/>
    </row>
    <row r="167" spans="1:35" s="178" customFormat="1" x14ac:dyDescent="0.25">
      <c r="A167" s="176">
        <v>6</v>
      </c>
      <c r="B167" s="176"/>
      <c r="C167" s="176">
        <f t="shared" si="11"/>
        <v>65</v>
      </c>
      <c r="D167" s="176">
        <f t="shared" si="12"/>
        <v>46</v>
      </c>
      <c r="E167" s="176">
        <f t="shared" si="13"/>
        <v>14</v>
      </c>
      <c r="F167" s="176" t="str">
        <f t="shared" si="14"/>
        <v>pm</v>
      </c>
      <c r="G167" s="176" t="s">
        <v>264</v>
      </c>
      <c r="H167" s="176" t="s">
        <v>392</v>
      </c>
      <c r="I167" s="176" t="s">
        <v>263</v>
      </c>
      <c r="J167" s="177" t="s">
        <v>21</v>
      </c>
      <c r="K167" s="178">
        <f t="shared" si="15"/>
        <v>1811.9546724182255</v>
      </c>
      <c r="L167" s="176"/>
      <c r="M167" s="178">
        <v>1800</v>
      </c>
      <c r="R167" s="178">
        <v>1805.8700188425732</v>
      </c>
      <c r="T167" s="178">
        <v>1811.9546724182255</v>
      </c>
      <c r="AH167" s="175"/>
      <c r="AI167" s="175"/>
    </row>
    <row r="168" spans="1:35" s="178" customFormat="1" x14ac:dyDescent="0.25">
      <c r="A168" s="176">
        <v>6</v>
      </c>
      <c r="B168" s="176"/>
      <c r="C168" s="176">
        <f t="shared" si="11"/>
        <v>66</v>
      </c>
      <c r="D168" s="176">
        <f t="shared" si="12"/>
        <v>46</v>
      </c>
      <c r="E168" s="176">
        <f t="shared" si="13"/>
        <v>14</v>
      </c>
      <c r="F168" s="176" t="str">
        <f t="shared" si="14"/>
        <v>pm</v>
      </c>
      <c r="G168" s="176" t="s">
        <v>286</v>
      </c>
      <c r="H168" s="176" t="s">
        <v>392</v>
      </c>
      <c r="I168" s="176" t="s">
        <v>285</v>
      </c>
      <c r="J168" s="177" t="s">
        <v>21</v>
      </c>
      <c r="K168" s="178">
        <f t="shared" si="15"/>
        <v>1737.4411214731022</v>
      </c>
      <c r="L168" s="176"/>
      <c r="M168" s="178">
        <v>1800</v>
      </c>
      <c r="R168" s="178">
        <v>1694.4816920998894</v>
      </c>
      <c r="T168" s="178">
        <v>1737.4411214731022</v>
      </c>
      <c r="AH168" s="175"/>
      <c r="AI168" s="175"/>
    </row>
    <row r="169" spans="1:35" s="178" customFormat="1" x14ac:dyDescent="0.25">
      <c r="A169" s="176">
        <v>5</v>
      </c>
      <c r="B169" s="176"/>
      <c r="C169" s="176">
        <f t="shared" si="11"/>
        <v>67</v>
      </c>
      <c r="D169" s="176">
        <f t="shared" si="12"/>
        <v>46</v>
      </c>
      <c r="E169" s="176">
        <f t="shared" si="13"/>
        <v>14</v>
      </c>
      <c r="F169" s="176" t="str">
        <f t="shared" si="14"/>
        <v>pm</v>
      </c>
      <c r="G169" s="176" t="s">
        <v>260</v>
      </c>
      <c r="H169" s="176" t="s">
        <v>421</v>
      </c>
      <c r="I169" s="176" t="s">
        <v>259</v>
      </c>
      <c r="J169" s="177" t="s">
        <v>21</v>
      </c>
      <c r="K169" s="178">
        <f t="shared" si="15"/>
        <v>1947.5770451023341</v>
      </c>
      <c r="L169" s="176"/>
      <c r="M169" s="178">
        <v>1800</v>
      </c>
      <c r="R169" s="178">
        <v>1876.31367263991</v>
      </c>
      <c r="T169" s="178">
        <v>1947.5770451023341</v>
      </c>
      <c r="AH169" s="175"/>
      <c r="AI169" s="175"/>
    </row>
    <row r="170" spans="1:35" s="178" customFormat="1" x14ac:dyDescent="0.25">
      <c r="A170" s="176">
        <v>5</v>
      </c>
      <c r="B170" s="176"/>
      <c r="C170" s="176">
        <f t="shared" si="11"/>
        <v>68</v>
      </c>
      <c r="D170" s="176">
        <f t="shared" si="12"/>
        <v>46</v>
      </c>
      <c r="E170" s="176">
        <f t="shared" si="13"/>
        <v>14</v>
      </c>
      <c r="F170" s="176" t="str">
        <f t="shared" si="14"/>
        <v>pm</v>
      </c>
      <c r="G170" s="176" t="s">
        <v>268</v>
      </c>
      <c r="H170" s="176" t="s">
        <v>421</v>
      </c>
      <c r="I170" s="176" t="s">
        <v>267</v>
      </c>
      <c r="J170" s="177" t="s">
        <v>21</v>
      </c>
      <c r="K170" s="178">
        <f t="shared" si="15"/>
        <v>1842.3261282509975</v>
      </c>
      <c r="L170" s="176"/>
      <c r="M170" s="178">
        <v>1800</v>
      </c>
      <c r="O170" s="175"/>
      <c r="P170" s="175"/>
      <c r="Q170" s="175"/>
      <c r="R170" s="175">
        <v>1809.8475028761886</v>
      </c>
      <c r="S170" s="175"/>
      <c r="T170" s="175">
        <v>1842.3261282509975</v>
      </c>
      <c r="U170" s="175"/>
      <c r="V170" s="175"/>
      <c r="W170" s="175"/>
      <c r="X170" s="175"/>
      <c r="Y170" s="175"/>
      <c r="Z170" s="175"/>
      <c r="AA170" s="175"/>
      <c r="AB170" s="175"/>
      <c r="AC170" s="175"/>
      <c r="AH170" s="175"/>
      <c r="AI170" s="175"/>
    </row>
    <row r="171" spans="1:35" s="178" customFormat="1" x14ac:dyDescent="0.25">
      <c r="A171" s="176">
        <v>5</v>
      </c>
      <c r="B171" s="176"/>
      <c r="C171" s="176">
        <f t="shared" si="11"/>
        <v>69</v>
      </c>
      <c r="D171" s="176">
        <f t="shared" si="12"/>
        <v>46</v>
      </c>
      <c r="E171" s="176">
        <f t="shared" si="13"/>
        <v>14</v>
      </c>
      <c r="F171" s="176" t="str">
        <f t="shared" si="14"/>
        <v>pm</v>
      </c>
      <c r="G171" s="176" t="s">
        <v>284</v>
      </c>
      <c r="H171" s="176" t="s">
        <v>528</v>
      </c>
      <c r="I171" s="176" t="s">
        <v>283</v>
      </c>
      <c r="J171" s="177" t="s">
        <v>21</v>
      </c>
      <c r="K171" s="178">
        <f t="shared" si="15"/>
        <v>1614.0203729802658</v>
      </c>
      <c r="L171" s="176"/>
      <c r="M171" s="178">
        <v>1800</v>
      </c>
      <c r="R171" s="178">
        <v>1705.4420103544176</v>
      </c>
      <c r="T171" s="178">
        <v>1614.0203729802658</v>
      </c>
      <c r="AH171" s="175"/>
      <c r="AI171" s="175"/>
    </row>
    <row r="172" spans="1:35" s="178" customFormat="1" x14ac:dyDescent="0.25">
      <c r="A172" s="176">
        <v>6</v>
      </c>
      <c r="B172" s="176"/>
      <c r="C172" s="176">
        <f t="shared" si="11"/>
        <v>1</v>
      </c>
      <c r="D172" s="176">
        <f t="shared" si="12"/>
        <v>1</v>
      </c>
      <c r="E172" s="176">
        <f t="shared" si="13"/>
        <v>15</v>
      </c>
      <c r="F172" s="176" t="str">
        <f t="shared" si="14"/>
        <v>pm</v>
      </c>
      <c r="G172" s="176" t="s">
        <v>636</v>
      </c>
      <c r="H172" s="176" t="s">
        <v>637</v>
      </c>
      <c r="I172" s="176" t="s">
        <v>638</v>
      </c>
      <c r="J172" s="177" t="s">
        <v>22</v>
      </c>
      <c r="K172" s="178">
        <f t="shared" si="15"/>
        <v>2352.5527648259167</v>
      </c>
      <c r="L172" s="176"/>
      <c r="M172" s="178">
        <v>2400</v>
      </c>
      <c r="O172" s="175"/>
      <c r="P172" s="175">
        <v>2387.4256160710393</v>
      </c>
      <c r="Q172" s="175"/>
      <c r="R172" s="175"/>
      <c r="S172" s="175">
        <v>2352.5527648259167</v>
      </c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  <c r="AG172" s="175"/>
      <c r="AH172" s="175"/>
      <c r="AI172" s="175"/>
    </row>
    <row r="173" spans="1:35" s="178" customFormat="1" x14ac:dyDescent="0.25">
      <c r="A173" s="176">
        <v>6</v>
      </c>
      <c r="B173" s="176"/>
      <c r="C173" s="176">
        <f t="shared" si="11"/>
        <v>2</v>
      </c>
      <c r="D173" s="176">
        <f t="shared" si="12"/>
        <v>1</v>
      </c>
      <c r="E173" s="176">
        <f t="shared" si="13"/>
        <v>15</v>
      </c>
      <c r="F173" s="176" t="str">
        <f t="shared" si="14"/>
        <v>pm</v>
      </c>
      <c r="G173" s="176" t="s">
        <v>639</v>
      </c>
      <c r="H173" s="176" t="s">
        <v>637</v>
      </c>
      <c r="I173" s="176" t="s">
        <v>640</v>
      </c>
      <c r="J173" s="177" t="s">
        <v>22</v>
      </c>
      <c r="K173" s="178">
        <f t="shared" si="15"/>
        <v>2299.6632275953884</v>
      </c>
      <c r="L173" s="176"/>
      <c r="M173" s="178">
        <v>2400</v>
      </c>
      <c r="O173" s="175"/>
      <c r="P173" s="175">
        <v>2419.8355804183434</v>
      </c>
      <c r="Q173" s="175"/>
      <c r="R173" s="175"/>
      <c r="S173" s="175">
        <v>2299.6632275953884</v>
      </c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  <c r="AG173" s="175"/>
      <c r="AH173" s="175"/>
      <c r="AI173" s="175"/>
    </row>
    <row r="174" spans="1:35" s="178" customFormat="1" x14ac:dyDescent="0.25">
      <c r="A174" s="176">
        <v>2</v>
      </c>
      <c r="B174" s="176"/>
      <c r="C174" s="176">
        <f t="shared" si="11"/>
        <v>3</v>
      </c>
      <c r="D174" s="176">
        <f t="shared" si="12"/>
        <v>1</v>
      </c>
      <c r="E174" s="176">
        <f t="shared" si="13"/>
        <v>15</v>
      </c>
      <c r="F174" s="176" t="str">
        <f t="shared" si="14"/>
        <v>pm</v>
      </c>
      <c r="G174" s="176" t="s">
        <v>641</v>
      </c>
      <c r="H174" s="176" t="s">
        <v>362</v>
      </c>
      <c r="I174" s="176" t="s">
        <v>642</v>
      </c>
      <c r="J174" s="177" t="s">
        <v>22</v>
      </c>
      <c r="K174" s="178">
        <f t="shared" si="15"/>
        <v>2517.9197773041974</v>
      </c>
      <c r="L174" s="176"/>
      <c r="M174" s="178">
        <v>2400</v>
      </c>
      <c r="S174" s="178">
        <v>2517.9197773041974</v>
      </c>
      <c r="AH174" s="175"/>
      <c r="AI174" s="175"/>
    </row>
    <row r="175" spans="1:35" s="178" customFormat="1" x14ac:dyDescent="0.25">
      <c r="A175" s="176">
        <v>3</v>
      </c>
      <c r="B175" s="176"/>
      <c r="C175" s="176">
        <f t="shared" si="11"/>
        <v>4</v>
      </c>
      <c r="D175" s="176">
        <f t="shared" si="12"/>
        <v>1</v>
      </c>
      <c r="E175" s="176">
        <f t="shared" si="13"/>
        <v>15</v>
      </c>
      <c r="F175" s="176" t="str">
        <f t="shared" si="14"/>
        <v>pm</v>
      </c>
      <c r="G175" s="176" t="s">
        <v>643</v>
      </c>
      <c r="H175" s="176" t="s">
        <v>362</v>
      </c>
      <c r="I175" s="176" t="s">
        <v>644</v>
      </c>
      <c r="J175" s="177" t="s">
        <v>22</v>
      </c>
      <c r="K175" s="178">
        <f t="shared" si="15"/>
        <v>2295.1033399345392</v>
      </c>
      <c r="L175" s="176"/>
      <c r="M175" s="178">
        <v>2400</v>
      </c>
      <c r="S175" s="178">
        <v>2295.1033399345392</v>
      </c>
      <c r="AH175" s="175"/>
      <c r="AI175" s="175"/>
    </row>
    <row r="176" spans="1:35" s="178" customFormat="1" x14ac:dyDescent="0.25">
      <c r="A176" s="176">
        <v>1</v>
      </c>
      <c r="B176" s="176"/>
      <c r="C176" s="176">
        <f t="shared" si="11"/>
        <v>5</v>
      </c>
      <c r="D176" s="176">
        <f t="shared" si="12"/>
        <v>1</v>
      </c>
      <c r="E176" s="176">
        <f t="shared" si="13"/>
        <v>15</v>
      </c>
      <c r="F176" s="176" t="str">
        <f t="shared" si="14"/>
        <v>pmx</v>
      </c>
      <c r="G176" s="176" t="s">
        <v>645</v>
      </c>
      <c r="H176" s="176" t="s">
        <v>461</v>
      </c>
      <c r="I176" s="176" t="s">
        <v>646</v>
      </c>
      <c r="J176" s="177" t="s">
        <v>22</v>
      </c>
      <c r="K176" s="178">
        <f t="shared" si="15"/>
        <v>2580.6479326604422</v>
      </c>
      <c r="L176" s="176"/>
      <c r="M176" s="178">
        <v>2400</v>
      </c>
      <c r="P176" s="178">
        <v>2580.6479326604422</v>
      </c>
      <c r="AH176" s="175"/>
      <c r="AI176" s="175"/>
    </row>
    <row r="177" spans="1:35" s="178" customFormat="1" x14ac:dyDescent="0.25">
      <c r="A177" s="176">
        <v>3</v>
      </c>
      <c r="B177" s="176"/>
      <c r="C177" s="176">
        <f t="shared" si="11"/>
        <v>6</v>
      </c>
      <c r="D177" s="176">
        <f t="shared" si="12"/>
        <v>1</v>
      </c>
      <c r="E177" s="176">
        <f t="shared" si="13"/>
        <v>15</v>
      </c>
      <c r="F177" s="176" t="str">
        <f t="shared" si="14"/>
        <v>pm</v>
      </c>
      <c r="G177" s="176" t="s">
        <v>647</v>
      </c>
      <c r="H177" s="176" t="s">
        <v>461</v>
      </c>
      <c r="I177" s="176" t="s">
        <v>648</v>
      </c>
      <c r="J177" s="177" t="s">
        <v>22</v>
      </c>
      <c r="K177" s="178">
        <f t="shared" si="15"/>
        <v>2411.3980889405284</v>
      </c>
      <c r="L177" s="176"/>
      <c r="M177" s="178">
        <v>2400</v>
      </c>
      <c r="P177" s="178">
        <v>2411.3980889405284</v>
      </c>
      <c r="AH177" s="175"/>
      <c r="AI177" s="175"/>
    </row>
    <row r="178" spans="1:35" s="178" customFormat="1" x14ac:dyDescent="0.25">
      <c r="A178" s="176"/>
      <c r="B178" s="176"/>
      <c r="C178" s="176">
        <f t="shared" si="11"/>
        <v>7</v>
      </c>
      <c r="D178" s="176">
        <f t="shared" si="12"/>
        <v>1</v>
      </c>
      <c r="E178" s="176">
        <f t="shared" si="13"/>
        <v>15</v>
      </c>
      <c r="F178" s="176" t="str">
        <f t="shared" si="14"/>
        <v>crx</v>
      </c>
      <c r="G178" s="176" t="s">
        <v>649</v>
      </c>
      <c r="H178" s="176"/>
      <c r="I178" s="176" t="s">
        <v>650</v>
      </c>
      <c r="J178" s="177" t="s">
        <v>22</v>
      </c>
      <c r="K178" s="178">
        <f t="shared" si="15"/>
        <v>2414.995302339873</v>
      </c>
      <c r="L178" s="176"/>
      <c r="M178" s="178">
        <v>2400</v>
      </c>
      <c r="O178" s="175"/>
      <c r="P178" s="175">
        <v>2414.995302339873</v>
      </c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H178" s="175"/>
      <c r="AI178" s="175"/>
    </row>
    <row r="179" spans="1:35" s="178" customFormat="1" x14ac:dyDescent="0.25">
      <c r="A179" s="176"/>
      <c r="B179" s="176"/>
      <c r="C179" s="176">
        <f t="shared" si="11"/>
        <v>8</v>
      </c>
      <c r="D179" s="176">
        <f t="shared" si="12"/>
        <v>1</v>
      </c>
      <c r="E179" s="176">
        <f t="shared" si="13"/>
        <v>15</v>
      </c>
      <c r="F179" s="176" t="str">
        <f t="shared" si="14"/>
        <v>crx</v>
      </c>
      <c r="G179" s="176" t="s">
        <v>651</v>
      </c>
      <c r="H179" s="176"/>
      <c r="I179" s="176" t="s">
        <v>652</v>
      </c>
      <c r="J179" s="177" t="s">
        <v>22</v>
      </c>
      <c r="K179" s="178">
        <f t="shared" si="15"/>
        <v>2364.2186562525962</v>
      </c>
      <c r="L179" s="176"/>
      <c r="M179" s="178">
        <v>2400</v>
      </c>
      <c r="O179" s="175"/>
      <c r="P179" s="175">
        <v>2364.2186562525962</v>
      </c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H179" s="175"/>
      <c r="AI179" s="175"/>
    </row>
    <row r="180" spans="1:35" s="178" customFormat="1" x14ac:dyDescent="0.25">
      <c r="A180" s="176">
        <v>3</v>
      </c>
      <c r="B180" s="176"/>
      <c r="C180" s="176">
        <f t="shared" si="11"/>
        <v>9</v>
      </c>
      <c r="D180" s="176">
        <f t="shared" si="12"/>
        <v>1</v>
      </c>
      <c r="E180" s="176">
        <f t="shared" si="13"/>
        <v>15</v>
      </c>
      <c r="F180" s="176" t="str">
        <f t="shared" si="14"/>
        <v>pm</v>
      </c>
      <c r="G180" s="176" t="s">
        <v>653</v>
      </c>
      <c r="H180" s="176" t="s">
        <v>355</v>
      </c>
      <c r="I180" s="176" t="s">
        <v>654</v>
      </c>
      <c r="J180" s="177" t="s">
        <v>22</v>
      </c>
      <c r="K180" s="178">
        <f t="shared" si="15"/>
        <v>2602.4800707292979</v>
      </c>
      <c r="L180" s="176"/>
      <c r="M180" s="178">
        <v>2400</v>
      </c>
      <c r="P180" s="178">
        <v>2529.806341942141</v>
      </c>
      <c r="S180" s="178">
        <v>2602.4800707292979</v>
      </c>
      <c r="AH180" s="175"/>
      <c r="AI180" s="175"/>
    </row>
    <row r="181" spans="1:35" s="178" customFormat="1" x14ac:dyDescent="0.25">
      <c r="A181" s="176">
        <v>4</v>
      </c>
      <c r="B181" s="176"/>
      <c r="C181" s="176">
        <f t="shared" si="11"/>
        <v>10</v>
      </c>
      <c r="D181" s="176">
        <f t="shared" si="12"/>
        <v>1</v>
      </c>
      <c r="E181" s="176">
        <f t="shared" si="13"/>
        <v>15</v>
      </c>
      <c r="F181" s="176" t="str">
        <f t="shared" si="14"/>
        <v>pm</v>
      </c>
      <c r="G181" s="176" t="s">
        <v>655</v>
      </c>
      <c r="H181" s="176" t="s">
        <v>355</v>
      </c>
      <c r="I181" s="176" t="s">
        <v>656</v>
      </c>
      <c r="J181" s="177" t="s">
        <v>22</v>
      </c>
      <c r="K181" s="178">
        <f t="shared" si="15"/>
        <v>2495.8609490903345</v>
      </c>
      <c r="L181" s="176"/>
      <c r="M181" s="178">
        <v>2400</v>
      </c>
      <c r="P181" s="178">
        <v>2495.8609490903345</v>
      </c>
      <c r="AH181" s="175"/>
      <c r="AI181" s="175"/>
    </row>
    <row r="182" spans="1:35" s="178" customFormat="1" x14ac:dyDescent="0.25">
      <c r="A182" s="176">
        <v>4</v>
      </c>
      <c r="B182" s="176"/>
      <c r="C182" s="176">
        <f t="shared" si="11"/>
        <v>11</v>
      </c>
      <c r="D182" s="176">
        <f t="shared" si="12"/>
        <v>1</v>
      </c>
      <c r="E182" s="176">
        <f t="shared" si="13"/>
        <v>15</v>
      </c>
      <c r="F182" s="176" t="str">
        <f t="shared" si="14"/>
        <v>pm</v>
      </c>
      <c r="G182" s="176" t="s">
        <v>657</v>
      </c>
      <c r="H182" s="176" t="s">
        <v>355</v>
      </c>
      <c r="I182" s="176" t="s">
        <v>658</v>
      </c>
      <c r="J182" s="177" t="s">
        <v>22</v>
      </c>
      <c r="K182" s="178">
        <f t="shared" si="15"/>
        <v>2419.8800474739714</v>
      </c>
      <c r="L182" s="176"/>
      <c r="M182" s="178">
        <v>2400</v>
      </c>
      <c r="P182" s="178">
        <v>2419.8800474739714</v>
      </c>
      <c r="AH182" s="175"/>
      <c r="AI182" s="175"/>
    </row>
    <row r="183" spans="1:35" s="178" customFormat="1" x14ac:dyDescent="0.25">
      <c r="A183" s="176">
        <v>3</v>
      </c>
      <c r="B183" s="176"/>
      <c r="C183" s="176">
        <f t="shared" si="11"/>
        <v>12</v>
      </c>
      <c r="D183" s="176">
        <f t="shared" si="12"/>
        <v>1</v>
      </c>
      <c r="E183" s="176">
        <f t="shared" si="13"/>
        <v>15</v>
      </c>
      <c r="F183" s="176" t="str">
        <f t="shared" si="14"/>
        <v>pm</v>
      </c>
      <c r="G183" s="176" t="s">
        <v>659</v>
      </c>
      <c r="H183" s="176" t="s">
        <v>355</v>
      </c>
      <c r="I183" s="176" t="s">
        <v>660</v>
      </c>
      <c r="J183" s="177" t="s">
        <v>22</v>
      </c>
      <c r="K183" s="178">
        <f t="shared" si="15"/>
        <v>2400</v>
      </c>
      <c r="L183" s="176"/>
      <c r="M183" s="178">
        <v>2400</v>
      </c>
      <c r="AH183" s="175"/>
      <c r="AI183" s="175"/>
    </row>
    <row r="184" spans="1:35" s="178" customFormat="1" x14ac:dyDescent="0.25">
      <c r="A184" s="176">
        <v>5</v>
      </c>
      <c r="B184" s="176"/>
      <c r="C184" s="176">
        <f t="shared" si="11"/>
        <v>13</v>
      </c>
      <c r="D184" s="176">
        <f t="shared" si="12"/>
        <v>1</v>
      </c>
      <c r="E184" s="176">
        <f t="shared" si="13"/>
        <v>15</v>
      </c>
      <c r="F184" s="176" t="str">
        <f t="shared" si="14"/>
        <v>pm</v>
      </c>
      <c r="G184" s="176" t="s">
        <v>661</v>
      </c>
      <c r="H184" s="176" t="s">
        <v>401</v>
      </c>
      <c r="I184" s="176" t="s">
        <v>662</v>
      </c>
      <c r="J184" s="177" t="s">
        <v>22</v>
      </c>
      <c r="K184" s="178">
        <f t="shared" si="15"/>
        <v>2537.3268804369459</v>
      </c>
      <c r="L184" s="176"/>
      <c r="M184" s="178">
        <v>2400</v>
      </c>
      <c r="P184" s="178">
        <v>2490.4866358168492</v>
      </c>
      <c r="S184" s="178">
        <v>2537.3268804369459</v>
      </c>
      <c r="AH184" s="175"/>
      <c r="AI184" s="175"/>
    </row>
    <row r="185" spans="1:35" s="178" customFormat="1" x14ac:dyDescent="0.25">
      <c r="A185" s="176">
        <v>6</v>
      </c>
      <c r="B185" s="176"/>
      <c r="C185" s="176">
        <f t="shared" si="11"/>
        <v>14</v>
      </c>
      <c r="D185" s="176">
        <f t="shared" si="12"/>
        <v>1</v>
      </c>
      <c r="E185" s="176">
        <f t="shared" si="13"/>
        <v>15</v>
      </c>
      <c r="F185" s="176" t="str">
        <f t="shared" si="14"/>
        <v>pm</v>
      </c>
      <c r="G185" s="176" t="s">
        <v>663</v>
      </c>
      <c r="H185" s="176" t="s">
        <v>402</v>
      </c>
      <c r="I185" s="176" t="s">
        <v>664</v>
      </c>
      <c r="J185" s="177" t="s">
        <v>22</v>
      </c>
      <c r="K185" s="178">
        <f t="shared" si="15"/>
        <v>2360.1998147700406</v>
      </c>
      <c r="L185" s="176"/>
      <c r="M185" s="178">
        <v>2400</v>
      </c>
      <c r="Q185" s="178">
        <v>2298.3524972797049</v>
      </c>
      <c r="S185" s="178">
        <v>2360.1998147700406</v>
      </c>
      <c r="AH185" s="175"/>
      <c r="AI185" s="175"/>
    </row>
    <row r="186" spans="1:35" s="178" customFormat="1" x14ac:dyDescent="0.25">
      <c r="A186" s="176">
        <v>2</v>
      </c>
      <c r="B186" s="176"/>
      <c r="C186" s="176">
        <f t="shared" si="11"/>
        <v>15</v>
      </c>
      <c r="D186" s="176">
        <f t="shared" si="12"/>
        <v>1</v>
      </c>
      <c r="E186" s="176">
        <f t="shared" si="13"/>
        <v>15</v>
      </c>
      <c r="F186" s="176" t="str">
        <f t="shared" si="14"/>
        <v>pm</v>
      </c>
      <c r="G186" s="176" t="s">
        <v>665</v>
      </c>
      <c r="H186" s="176" t="s">
        <v>358</v>
      </c>
      <c r="I186" s="176" t="s">
        <v>666</v>
      </c>
      <c r="J186" s="177" t="s">
        <v>22</v>
      </c>
      <c r="K186" s="178">
        <f t="shared" si="15"/>
        <v>2505.020862099786</v>
      </c>
      <c r="L186" s="176"/>
      <c r="M186" s="178">
        <v>2400</v>
      </c>
      <c r="P186" s="178">
        <v>2505.020862099786</v>
      </c>
      <c r="AH186" s="175"/>
      <c r="AI186" s="175"/>
    </row>
    <row r="187" spans="1:35" s="178" customFormat="1" x14ac:dyDescent="0.25">
      <c r="A187" s="176">
        <v>1</v>
      </c>
      <c r="B187" s="176"/>
      <c r="C187" s="176">
        <f t="shared" si="11"/>
        <v>16</v>
      </c>
      <c r="D187" s="176">
        <f t="shared" si="12"/>
        <v>1</v>
      </c>
      <c r="E187" s="176">
        <f t="shared" si="13"/>
        <v>15</v>
      </c>
      <c r="F187" s="176" t="str">
        <f t="shared" si="14"/>
        <v>pmx</v>
      </c>
      <c r="G187" s="176" t="s">
        <v>667</v>
      </c>
      <c r="H187" s="176" t="s">
        <v>410</v>
      </c>
      <c r="I187" s="176" t="s">
        <v>668</v>
      </c>
      <c r="J187" s="177" t="s">
        <v>22</v>
      </c>
      <c r="K187" s="178">
        <f t="shared" si="15"/>
        <v>2400</v>
      </c>
      <c r="L187" s="176"/>
      <c r="M187" s="178">
        <v>2400</v>
      </c>
      <c r="AH187" s="175"/>
      <c r="AI187" s="175"/>
    </row>
    <row r="188" spans="1:35" s="178" customFormat="1" x14ac:dyDescent="0.25">
      <c r="A188" s="176">
        <v>5</v>
      </c>
      <c r="B188" s="176"/>
      <c r="C188" s="176">
        <f t="shared" si="11"/>
        <v>17</v>
      </c>
      <c r="D188" s="176">
        <f t="shared" si="12"/>
        <v>1</v>
      </c>
      <c r="E188" s="176">
        <f t="shared" si="13"/>
        <v>15</v>
      </c>
      <c r="F188" s="176" t="str">
        <f t="shared" si="14"/>
        <v>pm</v>
      </c>
      <c r="G188" s="176" t="s">
        <v>669</v>
      </c>
      <c r="H188" s="176" t="s">
        <v>412</v>
      </c>
      <c r="I188" s="176" t="s">
        <v>670</v>
      </c>
      <c r="J188" s="177" t="s">
        <v>22</v>
      </c>
      <c r="K188" s="178">
        <f t="shared" si="15"/>
        <v>2532.8046893748628</v>
      </c>
      <c r="L188" s="176"/>
      <c r="M188" s="178">
        <v>2400</v>
      </c>
      <c r="P188" s="178">
        <v>2532.8046893748628</v>
      </c>
      <c r="AH188" s="175"/>
      <c r="AI188" s="175"/>
    </row>
    <row r="189" spans="1:35" s="178" customFormat="1" x14ac:dyDescent="0.25">
      <c r="A189" s="176">
        <v>4</v>
      </c>
      <c r="B189" s="176"/>
      <c r="C189" s="176">
        <f t="shared" si="11"/>
        <v>18</v>
      </c>
      <c r="D189" s="176">
        <f t="shared" si="12"/>
        <v>1</v>
      </c>
      <c r="E189" s="176">
        <f t="shared" si="13"/>
        <v>15</v>
      </c>
      <c r="F189" s="176" t="str">
        <f t="shared" si="14"/>
        <v>pm</v>
      </c>
      <c r="G189" s="176" t="s">
        <v>671</v>
      </c>
      <c r="H189" s="176" t="s">
        <v>412</v>
      </c>
      <c r="I189" s="176" t="s">
        <v>672</v>
      </c>
      <c r="J189" s="177" t="s">
        <v>22</v>
      </c>
      <c r="K189" s="178">
        <f t="shared" si="15"/>
        <v>2400</v>
      </c>
      <c r="L189" s="176"/>
      <c r="M189" s="178">
        <v>2400</v>
      </c>
      <c r="AH189" s="175"/>
      <c r="AI189" s="175"/>
    </row>
    <row r="190" spans="1:35" s="178" customFormat="1" x14ac:dyDescent="0.25">
      <c r="A190" s="176">
        <v>4</v>
      </c>
      <c r="B190" s="176"/>
      <c r="C190" s="176">
        <f t="shared" si="11"/>
        <v>19</v>
      </c>
      <c r="D190" s="176">
        <f t="shared" si="12"/>
        <v>1</v>
      </c>
      <c r="E190" s="176">
        <f t="shared" si="13"/>
        <v>15</v>
      </c>
      <c r="F190" s="176" t="str">
        <f t="shared" si="14"/>
        <v>pm</v>
      </c>
      <c r="G190" s="176" t="s">
        <v>673</v>
      </c>
      <c r="H190" s="176" t="s">
        <v>412</v>
      </c>
      <c r="I190" s="176" t="s">
        <v>674</v>
      </c>
      <c r="J190" s="177" t="s">
        <v>22</v>
      </c>
      <c r="K190" s="178">
        <f t="shared" si="15"/>
        <v>2400</v>
      </c>
      <c r="L190" s="176"/>
      <c r="M190" s="178">
        <v>2400</v>
      </c>
      <c r="AH190" s="175"/>
      <c r="AI190" s="175"/>
    </row>
    <row r="191" spans="1:35" s="178" customFormat="1" x14ac:dyDescent="0.25">
      <c r="A191" s="176">
        <v>4</v>
      </c>
      <c r="B191" s="176"/>
      <c r="C191" s="176">
        <f t="shared" si="11"/>
        <v>20</v>
      </c>
      <c r="D191" s="176">
        <f t="shared" si="12"/>
        <v>1</v>
      </c>
      <c r="E191" s="176">
        <f t="shared" si="13"/>
        <v>15</v>
      </c>
      <c r="F191" s="176" t="str">
        <f t="shared" si="14"/>
        <v>pm</v>
      </c>
      <c r="G191" s="176" t="s">
        <v>675</v>
      </c>
      <c r="H191" s="176" t="s">
        <v>365</v>
      </c>
      <c r="I191" s="176" t="s">
        <v>676</v>
      </c>
      <c r="J191" s="177" t="s">
        <v>22</v>
      </c>
      <c r="K191" s="178">
        <f t="shared" si="15"/>
        <v>2400</v>
      </c>
      <c r="L191" s="176"/>
      <c r="M191" s="178">
        <v>2400</v>
      </c>
      <c r="AH191" s="175"/>
      <c r="AI191" s="175"/>
    </row>
    <row r="192" spans="1:35" s="178" customFormat="1" x14ac:dyDescent="0.25">
      <c r="A192" s="176">
        <v>7</v>
      </c>
      <c r="B192" s="176"/>
      <c r="C192" s="176">
        <f t="shared" si="11"/>
        <v>21</v>
      </c>
      <c r="D192" s="176">
        <f t="shared" si="12"/>
        <v>1</v>
      </c>
      <c r="E192" s="176">
        <f t="shared" si="13"/>
        <v>15</v>
      </c>
      <c r="F192" s="176" t="str">
        <f t="shared" si="14"/>
        <v>pm</v>
      </c>
      <c r="G192" s="176" t="s">
        <v>677</v>
      </c>
      <c r="H192" s="176" t="s">
        <v>368</v>
      </c>
      <c r="I192" s="176" t="s">
        <v>678</v>
      </c>
      <c r="J192" s="177" t="s">
        <v>22</v>
      </c>
      <c r="K192" s="178">
        <f t="shared" si="15"/>
        <v>2390.4386500342198</v>
      </c>
      <c r="L192" s="176"/>
      <c r="M192" s="178">
        <v>2400</v>
      </c>
      <c r="P192" s="178">
        <v>2433.8983579853784</v>
      </c>
      <c r="Q192" s="178">
        <v>2431.8105354897539</v>
      </c>
      <c r="S192" s="178">
        <v>2390.4386500342198</v>
      </c>
      <c r="AH192" s="175"/>
      <c r="AI192" s="175"/>
    </row>
    <row r="193" spans="1:35" s="178" customFormat="1" x14ac:dyDescent="0.25">
      <c r="A193" s="176">
        <v>2</v>
      </c>
      <c r="B193" s="176"/>
      <c r="C193" s="176">
        <f t="shared" si="11"/>
        <v>22</v>
      </c>
      <c r="D193" s="176">
        <f t="shared" si="12"/>
        <v>1</v>
      </c>
      <c r="E193" s="176">
        <f t="shared" si="13"/>
        <v>15</v>
      </c>
      <c r="F193" s="176" t="str">
        <f t="shared" si="14"/>
        <v>pm</v>
      </c>
      <c r="G193" s="176" t="s">
        <v>679</v>
      </c>
      <c r="H193" s="176" t="s">
        <v>387</v>
      </c>
      <c r="I193" s="176" t="s">
        <v>680</v>
      </c>
      <c r="J193" s="177" t="s">
        <v>22</v>
      </c>
      <c r="K193" s="178">
        <f t="shared" si="15"/>
        <v>2510.3988721585351</v>
      </c>
      <c r="L193" s="176"/>
      <c r="M193" s="178">
        <v>2400</v>
      </c>
      <c r="S193" s="178">
        <v>2510.3988721585351</v>
      </c>
      <c r="AH193" s="175"/>
      <c r="AI193" s="175"/>
    </row>
    <row r="194" spans="1:35" s="178" customFormat="1" x14ac:dyDescent="0.25">
      <c r="A194" s="176">
        <v>2</v>
      </c>
      <c r="B194" s="176"/>
      <c r="C194" s="176">
        <f t="shared" ref="C194:C257" si="16">IF(E194=E193,C193+1,1)</f>
        <v>23</v>
      </c>
      <c r="D194" s="176">
        <f t="shared" ref="D194:D257" si="17">IF(M194=M193,D193,C194)</f>
        <v>1</v>
      </c>
      <c r="E194" s="176">
        <f t="shared" ref="E194:E257" si="18">10+VALUE(RIGHT(LEFT(G194,3),1))</f>
        <v>15</v>
      </c>
      <c r="F194" s="176" t="str">
        <f t="shared" ref="F194:F257" si="19">RIGHT(G194,2) &amp; IF(A194&lt;2,"x","")</f>
        <v>pm</v>
      </c>
      <c r="G194" s="176" t="s">
        <v>681</v>
      </c>
      <c r="H194" s="176" t="s">
        <v>387</v>
      </c>
      <c r="I194" s="176" t="s">
        <v>682</v>
      </c>
      <c r="J194" s="177" t="s">
        <v>22</v>
      </c>
      <c r="K194" s="178">
        <f t="shared" ref="K194:K257" si="20">LOOKUP(1E+100,M194:AC194)</f>
        <v>2373.4548553972368</v>
      </c>
      <c r="L194" s="176"/>
      <c r="M194" s="178">
        <v>2400</v>
      </c>
      <c r="S194" s="178">
        <v>2373.4548553972368</v>
      </c>
      <c r="AH194" s="175"/>
      <c r="AI194" s="175"/>
    </row>
    <row r="195" spans="1:35" s="178" customFormat="1" x14ac:dyDescent="0.25">
      <c r="A195" s="176">
        <v>2</v>
      </c>
      <c r="B195" s="176"/>
      <c r="C195" s="176">
        <f t="shared" si="16"/>
        <v>24</v>
      </c>
      <c r="D195" s="176">
        <f t="shared" si="17"/>
        <v>1</v>
      </c>
      <c r="E195" s="176">
        <f t="shared" si="18"/>
        <v>15</v>
      </c>
      <c r="F195" s="176" t="str">
        <f t="shared" si="19"/>
        <v>pm</v>
      </c>
      <c r="G195" s="176" t="s">
        <v>683</v>
      </c>
      <c r="H195" s="176" t="s">
        <v>454</v>
      </c>
      <c r="I195" s="176" t="s">
        <v>684</v>
      </c>
      <c r="J195" s="177" t="s">
        <v>22</v>
      </c>
      <c r="K195" s="178">
        <f t="shared" si="20"/>
        <v>2358.6895672074957</v>
      </c>
      <c r="L195" s="176"/>
      <c r="M195" s="178">
        <v>2400</v>
      </c>
      <c r="P195" s="178">
        <v>2358.6895672074957</v>
      </c>
      <c r="AH195" s="175"/>
      <c r="AI195" s="175"/>
    </row>
    <row r="196" spans="1:35" s="178" customFormat="1" x14ac:dyDescent="0.25">
      <c r="A196" s="176">
        <v>4</v>
      </c>
      <c r="B196" s="176"/>
      <c r="C196" s="176">
        <f t="shared" si="16"/>
        <v>25</v>
      </c>
      <c r="D196" s="176">
        <f t="shared" si="17"/>
        <v>1</v>
      </c>
      <c r="E196" s="176">
        <f t="shared" si="18"/>
        <v>15</v>
      </c>
      <c r="F196" s="176" t="str">
        <f t="shared" si="19"/>
        <v>pm</v>
      </c>
      <c r="G196" s="176" t="s">
        <v>685</v>
      </c>
      <c r="H196" s="176" t="s">
        <v>378</v>
      </c>
      <c r="I196" s="176" t="s">
        <v>686</v>
      </c>
      <c r="J196" s="177" t="s">
        <v>22</v>
      </c>
      <c r="K196" s="178">
        <f t="shared" si="20"/>
        <v>2478.3685552215939</v>
      </c>
      <c r="L196" s="176"/>
      <c r="M196" s="178">
        <v>2400</v>
      </c>
      <c r="P196" s="178">
        <v>2433.9655474743449</v>
      </c>
      <c r="S196" s="178">
        <v>2478.3685552215939</v>
      </c>
      <c r="AH196" s="175"/>
      <c r="AI196" s="175"/>
    </row>
    <row r="197" spans="1:35" s="178" customFormat="1" x14ac:dyDescent="0.25">
      <c r="A197" s="176">
        <v>5</v>
      </c>
      <c r="B197" s="176"/>
      <c r="C197" s="176">
        <f t="shared" si="16"/>
        <v>26</v>
      </c>
      <c r="D197" s="176">
        <f t="shared" si="17"/>
        <v>1</v>
      </c>
      <c r="E197" s="176">
        <f t="shared" si="18"/>
        <v>15</v>
      </c>
      <c r="F197" s="176" t="str">
        <f t="shared" si="19"/>
        <v>pm</v>
      </c>
      <c r="G197" s="176" t="s">
        <v>687</v>
      </c>
      <c r="H197" s="176" t="s">
        <v>392</v>
      </c>
      <c r="I197" s="176" t="s">
        <v>688</v>
      </c>
      <c r="J197" s="177" t="s">
        <v>22</v>
      </c>
      <c r="K197" s="178">
        <f t="shared" si="20"/>
        <v>2498.4629299605249</v>
      </c>
      <c r="L197" s="176"/>
      <c r="M197" s="178">
        <v>2400</v>
      </c>
      <c r="S197" s="178">
        <v>2498.4629299605249</v>
      </c>
      <c r="AH197" s="175"/>
      <c r="AI197" s="175"/>
    </row>
    <row r="198" spans="1:35" s="178" customFormat="1" x14ac:dyDescent="0.25">
      <c r="A198" s="176">
        <v>5</v>
      </c>
      <c r="B198" s="176"/>
      <c r="C198" s="176">
        <f t="shared" si="16"/>
        <v>27</v>
      </c>
      <c r="D198" s="176">
        <f t="shared" si="17"/>
        <v>1</v>
      </c>
      <c r="E198" s="176">
        <f t="shared" si="18"/>
        <v>15</v>
      </c>
      <c r="F198" s="176" t="str">
        <f t="shared" si="19"/>
        <v>pm</v>
      </c>
      <c r="G198" s="176" t="s">
        <v>689</v>
      </c>
      <c r="H198" s="176" t="s">
        <v>392</v>
      </c>
      <c r="I198" s="176" t="s">
        <v>690</v>
      </c>
      <c r="J198" s="177" t="s">
        <v>22</v>
      </c>
      <c r="K198" s="178">
        <f t="shared" si="20"/>
        <v>2304.2233246789406</v>
      </c>
      <c r="L198" s="176"/>
      <c r="M198" s="178">
        <v>2400</v>
      </c>
      <c r="S198" s="178">
        <v>2304.2233246789406</v>
      </c>
      <c r="AH198" s="175"/>
      <c r="AI198" s="175"/>
    </row>
    <row r="199" spans="1:35" s="178" customFormat="1" x14ac:dyDescent="0.25">
      <c r="A199" s="176"/>
      <c r="B199" s="176"/>
      <c r="C199" s="176">
        <f t="shared" si="16"/>
        <v>28</v>
      </c>
      <c r="D199" s="176">
        <f t="shared" si="17"/>
        <v>1</v>
      </c>
      <c r="E199" s="176">
        <f t="shared" si="18"/>
        <v>15</v>
      </c>
      <c r="F199" s="176" t="str">
        <f t="shared" si="19"/>
        <v>crx</v>
      </c>
      <c r="G199" s="176" t="s">
        <v>691</v>
      </c>
      <c r="H199" s="176"/>
      <c r="I199" s="176" t="s">
        <v>692</v>
      </c>
      <c r="J199" s="177" t="s">
        <v>22</v>
      </c>
      <c r="K199" s="178">
        <f t="shared" si="20"/>
        <v>2425.9832095434467</v>
      </c>
      <c r="L199" s="176"/>
      <c r="M199" s="178">
        <v>2400</v>
      </c>
      <c r="O199" s="175"/>
      <c r="P199" s="175">
        <v>2425.9832095434467</v>
      </c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H199" s="175"/>
      <c r="AI199" s="175"/>
    </row>
    <row r="200" spans="1:35" s="178" customFormat="1" x14ac:dyDescent="0.25">
      <c r="A200" s="176">
        <v>3</v>
      </c>
      <c r="B200" s="176"/>
      <c r="C200" s="176">
        <f t="shared" si="16"/>
        <v>29</v>
      </c>
      <c r="D200" s="176">
        <f t="shared" si="17"/>
        <v>1</v>
      </c>
      <c r="E200" s="176">
        <f t="shared" si="18"/>
        <v>15</v>
      </c>
      <c r="F200" s="176" t="str">
        <f t="shared" si="19"/>
        <v>pm</v>
      </c>
      <c r="G200" s="176" t="s">
        <v>693</v>
      </c>
      <c r="H200" s="176" t="s">
        <v>694</v>
      </c>
      <c r="I200" s="176" t="s">
        <v>695</v>
      </c>
      <c r="J200" s="177" t="s">
        <v>22</v>
      </c>
      <c r="K200" s="178">
        <f t="shared" si="20"/>
        <v>2333.7938394280536</v>
      </c>
      <c r="L200" s="176"/>
      <c r="M200" s="178">
        <v>2400</v>
      </c>
      <c r="P200" s="178">
        <v>2333.7938394280536</v>
      </c>
      <c r="AH200" s="175"/>
      <c r="AI200" s="175"/>
    </row>
    <row r="201" spans="1:35" s="178" customFormat="1" x14ac:dyDescent="0.25">
      <c r="A201" s="176">
        <v>6</v>
      </c>
      <c r="B201" s="176"/>
      <c r="C201" s="176">
        <f t="shared" si="16"/>
        <v>30</v>
      </c>
      <c r="D201" s="176">
        <f t="shared" si="17"/>
        <v>30</v>
      </c>
      <c r="E201" s="176">
        <f t="shared" si="18"/>
        <v>15</v>
      </c>
      <c r="F201" s="176" t="str">
        <f t="shared" si="19"/>
        <v>pm</v>
      </c>
      <c r="G201" s="176" t="s">
        <v>696</v>
      </c>
      <c r="H201" s="176" t="s">
        <v>401</v>
      </c>
      <c r="I201" s="176" t="s">
        <v>697</v>
      </c>
      <c r="J201" s="177" t="s">
        <v>22</v>
      </c>
      <c r="K201" s="178">
        <f t="shared" si="20"/>
        <v>2266.0282548789673</v>
      </c>
      <c r="L201" s="176"/>
      <c r="M201" s="178">
        <v>2333.3333333333335</v>
      </c>
      <c r="P201" s="178">
        <v>2254.874844323052</v>
      </c>
      <c r="R201" s="178">
        <v>2271.1608850477701</v>
      </c>
      <c r="S201" s="178">
        <v>2266.0282548789673</v>
      </c>
      <c r="AH201" s="175"/>
      <c r="AI201" s="175"/>
    </row>
    <row r="202" spans="1:35" s="178" customFormat="1" x14ac:dyDescent="0.25">
      <c r="A202" s="176">
        <v>2</v>
      </c>
      <c r="B202" s="176"/>
      <c r="C202" s="176">
        <f t="shared" si="16"/>
        <v>31</v>
      </c>
      <c r="D202" s="176">
        <f t="shared" si="17"/>
        <v>31</v>
      </c>
      <c r="E202" s="176">
        <f t="shared" si="18"/>
        <v>15</v>
      </c>
      <c r="F202" s="176" t="str">
        <f t="shared" si="19"/>
        <v>pm</v>
      </c>
      <c r="G202" s="176" t="s">
        <v>335</v>
      </c>
      <c r="H202" s="176" t="s">
        <v>375</v>
      </c>
      <c r="I202" s="176" t="s">
        <v>334</v>
      </c>
      <c r="J202" s="177" t="s">
        <v>22</v>
      </c>
      <c r="K202" s="178">
        <f t="shared" si="20"/>
        <v>2402.1626892749932</v>
      </c>
      <c r="L202" s="176"/>
      <c r="M202" s="178">
        <v>2200</v>
      </c>
      <c r="T202" s="178">
        <v>2402.1626892749932</v>
      </c>
      <c r="AH202" s="175"/>
      <c r="AI202" s="175"/>
    </row>
    <row r="203" spans="1:35" s="178" customFormat="1" x14ac:dyDescent="0.25">
      <c r="A203" s="176">
        <v>2</v>
      </c>
      <c r="B203" s="176"/>
      <c r="C203" s="176">
        <f t="shared" si="16"/>
        <v>32</v>
      </c>
      <c r="D203" s="176">
        <f t="shared" si="17"/>
        <v>31</v>
      </c>
      <c r="E203" s="176">
        <f t="shared" si="18"/>
        <v>15</v>
      </c>
      <c r="F203" s="176" t="str">
        <f t="shared" si="19"/>
        <v>pm</v>
      </c>
      <c r="G203" s="176" t="s">
        <v>309</v>
      </c>
      <c r="H203" s="176" t="s">
        <v>375</v>
      </c>
      <c r="I203" s="176" t="s">
        <v>308</v>
      </c>
      <c r="J203" s="177" t="s">
        <v>22</v>
      </c>
      <c r="K203" s="178">
        <f t="shared" si="20"/>
        <v>2375.211979799888</v>
      </c>
      <c r="L203" s="176"/>
      <c r="M203" s="178">
        <v>2200</v>
      </c>
      <c r="T203" s="178">
        <v>2375.211979799888</v>
      </c>
      <c r="AH203" s="175"/>
      <c r="AI203" s="175"/>
    </row>
    <row r="204" spans="1:35" s="178" customFormat="1" x14ac:dyDescent="0.25">
      <c r="A204" s="176">
        <v>2</v>
      </c>
      <c r="B204" s="176"/>
      <c r="C204" s="176">
        <f t="shared" si="16"/>
        <v>33</v>
      </c>
      <c r="D204" s="176">
        <f t="shared" si="17"/>
        <v>31</v>
      </c>
      <c r="E204" s="176">
        <f t="shared" si="18"/>
        <v>15</v>
      </c>
      <c r="F204" s="176" t="str">
        <f t="shared" si="19"/>
        <v>pm</v>
      </c>
      <c r="G204" s="176" t="s">
        <v>183</v>
      </c>
      <c r="H204" s="176" t="s">
        <v>375</v>
      </c>
      <c r="I204" s="176" t="s">
        <v>182</v>
      </c>
      <c r="J204" s="177" t="s">
        <v>22</v>
      </c>
      <c r="K204" s="178">
        <f t="shared" si="20"/>
        <v>2189.6243126686718</v>
      </c>
      <c r="L204" s="176"/>
      <c r="M204" s="178">
        <v>2200</v>
      </c>
      <c r="T204" s="178">
        <v>2189.6243126686718</v>
      </c>
      <c r="AH204" s="175"/>
      <c r="AI204" s="175"/>
    </row>
    <row r="205" spans="1:35" s="178" customFormat="1" x14ac:dyDescent="0.25">
      <c r="A205" s="176">
        <v>2</v>
      </c>
      <c r="B205" s="176"/>
      <c r="C205" s="176">
        <f t="shared" si="16"/>
        <v>34</v>
      </c>
      <c r="D205" s="176">
        <f t="shared" si="17"/>
        <v>31</v>
      </c>
      <c r="E205" s="176">
        <f t="shared" si="18"/>
        <v>15</v>
      </c>
      <c r="F205" s="176" t="str">
        <f t="shared" si="19"/>
        <v>pm</v>
      </c>
      <c r="G205" s="176" t="s">
        <v>181</v>
      </c>
      <c r="H205" s="176" t="s">
        <v>375</v>
      </c>
      <c r="I205" s="176" t="s">
        <v>180</v>
      </c>
      <c r="J205" s="177" t="s">
        <v>22</v>
      </c>
      <c r="K205" s="178">
        <f t="shared" si="20"/>
        <v>2242.6136983678898</v>
      </c>
      <c r="L205" s="176"/>
      <c r="M205" s="178">
        <v>2200</v>
      </c>
      <c r="T205" s="178">
        <v>2242.6136983678898</v>
      </c>
      <c r="AH205" s="175"/>
      <c r="AI205" s="175"/>
    </row>
    <row r="206" spans="1:35" s="178" customFormat="1" x14ac:dyDescent="0.25">
      <c r="A206" s="176">
        <v>3</v>
      </c>
      <c r="B206" s="176"/>
      <c r="C206" s="176">
        <f t="shared" si="16"/>
        <v>35</v>
      </c>
      <c r="D206" s="176">
        <f t="shared" si="17"/>
        <v>35</v>
      </c>
      <c r="E206" s="176">
        <f t="shared" si="18"/>
        <v>15</v>
      </c>
      <c r="F206" s="176" t="str">
        <f t="shared" si="19"/>
        <v>pm</v>
      </c>
      <c r="G206" s="176" t="s">
        <v>698</v>
      </c>
      <c r="H206" s="176" t="s">
        <v>612</v>
      </c>
      <c r="I206" s="176" t="s">
        <v>699</v>
      </c>
      <c r="J206" s="177" t="s">
        <v>21</v>
      </c>
      <c r="K206" s="178">
        <f t="shared" si="20"/>
        <v>2218.9901714404259</v>
      </c>
      <c r="L206" s="176"/>
      <c r="M206" s="178">
        <v>2133.3333333333335</v>
      </c>
      <c r="O206" s="175"/>
      <c r="P206" s="175">
        <v>2171.2364438273903</v>
      </c>
      <c r="Q206" s="175"/>
      <c r="R206" s="175"/>
      <c r="S206" s="175">
        <v>2218.9901714404259</v>
      </c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175"/>
      <c r="AI206" s="175"/>
    </row>
    <row r="207" spans="1:35" s="178" customFormat="1" x14ac:dyDescent="0.25">
      <c r="A207" s="176">
        <v>7</v>
      </c>
      <c r="B207" s="176"/>
      <c r="C207" s="176">
        <f t="shared" si="16"/>
        <v>36</v>
      </c>
      <c r="D207" s="176">
        <f t="shared" si="17"/>
        <v>36</v>
      </c>
      <c r="E207" s="176">
        <f t="shared" si="18"/>
        <v>15</v>
      </c>
      <c r="F207" s="176" t="str">
        <f t="shared" si="19"/>
        <v>pm</v>
      </c>
      <c r="G207" s="176" t="s">
        <v>179</v>
      </c>
      <c r="H207" s="176" t="s">
        <v>518</v>
      </c>
      <c r="I207" s="176" t="s">
        <v>178</v>
      </c>
      <c r="J207" s="177" t="s">
        <v>21</v>
      </c>
      <c r="K207" s="178">
        <f t="shared" si="20"/>
        <v>2182.5823517948334</v>
      </c>
      <c r="L207" s="176"/>
      <c r="M207" s="178">
        <v>2114.2857142857142</v>
      </c>
      <c r="P207" s="178">
        <v>2102.3245224321704</v>
      </c>
      <c r="Q207" s="178">
        <v>2203.6952157273317</v>
      </c>
      <c r="T207" s="178">
        <v>2182.5823517948334</v>
      </c>
      <c r="AH207" s="175"/>
      <c r="AI207" s="175"/>
    </row>
    <row r="208" spans="1:35" s="178" customFormat="1" x14ac:dyDescent="0.25">
      <c r="A208" s="176">
        <v>4</v>
      </c>
      <c r="B208" s="176"/>
      <c r="C208" s="176">
        <f t="shared" si="16"/>
        <v>37</v>
      </c>
      <c r="D208" s="176">
        <f t="shared" si="17"/>
        <v>37</v>
      </c>
      <c r="E208" s="176">
        <f t="shared" si="18"/>
        <v>15</v>
      </c>
      <c r="F208" s="176" t="str">
        <f t="shared" si="19"/>
        <v>pm</v>
      </c>
      <c r="G208" s="176" t="s">
        <v>185</v>
      </c>
      <c r="H208" s="176" t="s">
        <v>700</v>
      </c>
      <c r="I208" s="176" t="s">
        <v>184</v>
      </c>
      <c r="J208" s="177" t="s">
        <v>21</v>
      </c>
      <c r="K208" s="178">
        <f t="shared" si="20"/>
        <v>2200.7724588064239</v>
      </c>
      <c r="L208" s="176"/>
      <c r="M208" s="178">
        <v>2000</v>
      </c>
      <c r="P208" s="178">
        <v>2074.6603823800419</v>
      </c>
      <c r="R208" s="178">
        <v>2138.2377521954518</v>
      </c>
      <c r="T208" s="178">
        <v>2200.7724588064239</v>
      </c>
      <c r="AH208" s="175"/>
      <c r="AI208" s="175"/>
    </row>
    <row r="209" spans="1:35" s="178" customFormat="1" x14ac:dyDescent="0.25">
      <c r="A209" s="176">
        <v>6</v>
      </c>
      <c r="B209" s="176"/>
      <c r="C209" s="176">
        <f t="shared" si="16"/>
        <v>38</v>
      </c>
      <c r="D209" s="176">
        <f t="shared" si="17"/>
        <v>37</v>
      </c>
      <c r="E209" s="176">
        <f t="shared" si="18"/>
        <v>15</v>
      </c>
      <c r="F209" s="176" t="str">
        <f t="shared" si="19"/>
        <v>pm</v>
      </c>
      <c r="G209" s="176" t="s">
        <v>290</v>
      </c>
      <c r="H209" s="176" t="s">
        <v>701</v>
      </c>
      <c r="I209" s="176" t="s">
        <v>289</v>
      </c>
      <c r="J209" s="177" t="s">
        <v>21</v>
      </c>
      <c r="K209" s="178">
        <f t="shared" si="20"/>
        <v>1968.7059582012987</v>
      </c>
      <c r="L209" s="176"/>
      <c r="M209" s="178">
        <v>2000</v>
      </c>
      <c r="O209" s="175"/>
      <c r="P209" s="175">
        <v>1934.8260348820634</v>
      </c>
      <c r="Q209" s="175"/>
      <c r="R209" s="175">
        <v>1957.3259502278074</v>
      </c>
      <c r="S209" s="175"/>
      <c r="T209" s="175">
        <v>1968.7059582012987</v>
      </c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  <c r="AG209" s="175"/>
      <c r="AH209" s="175"/>
      <c r="AI209" s="175"/>
    </row>
    <row r="210" spans="1:35" s="178" customFormat="1" x14ac:dyDescent="0.25">
      <c r="A210" s="176">
        <v>3</v>
      </c>
      <c r="B210" s="176"/>
      <c r="C210" s="176">
        <f t="shared" si="16"/>
        <v>39</v>
      </c>
      <c r="D210" s="176">
        <f t="shared" si="17"/>
        <v>37</v>
      </c>
      <c r="E210" s="176">
        <f t="shared" si="18"/>
        <v>15</v>
      </c>
      <c r="F210" s="176" t="str">
        <f t="shared" si="19"/>
        <v>pm</v>
      </c>
      <c r="G210" s="176" t="s">
        <v>702</v>
      </c>
      <c r="H210" s="176" t="s">
        <v>355</v>
      </c>
      <c r="I210" s="176" t="s">
        <v>703</v>
      </c>
      <c r="J210" s="177" t="s">
        <v>21</v>
      </c>
      <c r="K210" s="178">
        <f t="shared" si="20"/>
        <v>1999.324379837778</v>
      </c>
      <c r="L210" s="176"/>
      <c r="M210" s="178">
        <v>2000</v>
      </c>
      <c r="P210" s="178">
        <v>1999.324379837778</v>
      </c>
      <c r="AH210" s="175"/>
      <c r="AI210" s="175"/>
    </row>
    <row r="211" spans="1:35" s="178" customFormat="1" x14ac:dyDescent="0.25">
      <c r="A211" s="176">
        <v>6</v>
      </c>
      <c r="B211" s="176"/>
      <c r="C211" s="176">
        <f t="shared" si="16"/>
        <v>40</v>
      </c>
      <c r="D211" s="176">
        <f t="shared" si="17"/>
        <v>37</v>
      </c>
      <c r="E211" s="176">
        <f t="shared" si="18"/>
        <v>15</v>
      </c>
      <c r="F211" s="176" t="str">
        <f t="shared" si="19"/>
        <v>pm</v>
      </c>
      <c r="G211" s="176" t="s">
        <v>294</v>
      </c>
      <c r="H211" s="176" t="s">
        <v>402</v>
      </c>
      <c r="I211" s="176" t="s">
        <v>293</v>
      </c>
      <c r="J211" s="177" t="s">
        <v>21</v>
      </c>
      <c r="K211" s="178">
        <f t="shared" si="20"/>
        <v>1943.949964380706</v>
      </c>
      <c r="L211" s="176"/>
      <c r="M211" s="178">
        <v>2000</v>
      </c>
      <c r="R211" s="178">
        <v>1923.1880111835867</v>
      </c>
      <c r="T211" s="178">
        <v>1943.949964380706</v>
      </c>
      <c r="AH211" s="175"/>
      <c r="AI211" s="175"/>
    </row>
    <row r="212" spans="1:35" s="178" customFormat="1" x14ac:dyDescent="0.25">
      <c r="A212" s="176">
        <v>3</v>
      </c>
      <c r="B212" s="176"/>
      <c r="C212" s="176">
        <f t="shared" si="16"/>
        <v>41</v>
      </c>
      <c r="D212" s="176">
        <f t="shared" si="17"/>
        <v>37</v>
      </c>
      <c r="E212" s="176">
        <f t="shared" si="18"/>
        <v>15</v>
      </c>
      <c r="F212" s="176" t="str">
        <f t="shared" si="19"/>
        <v>pm</v>
      </c>
      <c r="G212" s="176" t="s">
        <v>704</v>
      </c>
      <c r="H212" s="176" t="s">
        <v>406</v>
      </c>
      <c r="I212" s="176" t="s">
        <v>705</v>
      </c>
      <c r="J212" s="177" t="s">
        <v>21</v>
      </c>
      <c r="K212" s="178">
        <f t="shared" si="20"/>
        <v>2091.2559564984886</v>
      </c>
      <c r="L212" s="176"/>
      <c r="M212" s="178">
        <v>2000</v>
      </c>
      <c r="P212" s="178">
        <v>2091.2559564984886</v>
      </c>
      <c r="AH212" s="175"/>
      <c r="AI212" s="175"/>
    </row>
    <row r="213" spans="1:35" s="178" customFormat="1" x14ac:dyDescent="0.25">
      <c r="A213" s="176">
        <v>7</v>
      </c>
      <c r="B213" s="176"/>
      <c r="C213" s="176">
        <f t="shared" si="16"/>
        <v>42</v>
      </c>
      <c r="D213" s="176">
        <f t="shared" si="17"/>
        <v>37</v>
      </c>
      <c r="E213" s="176">
        <f t="shared" si="18"/>
        <v>15</v>
      </c>
      <c r="F213" s="176" t="str">
        <f t="shared" si="19"/>
        <v>pm</v>
      </c>
      <c r="G213" s="176" t="s">
        <v>194</v>
      </c>
      <c r="H213" s="176" t="s">
        <v>706</v>
      </c>
      <c r="I213" s="176" t="s">
        <v>193</v>
      </c>
      <c r="J213" s="177" t="s">
        <v>21</v>
      </c>
      <c r="K213" s="178">
        <f t="shared" si="20"/>
        <v>1772.824914836184</v>
      </c>
      <c r="L213" s="176"/>
      <c r="M213" s="178">
        <v>2000</v>
      </c>
      <c r="P213" s="178">
        <v>1902.9009970891748</v>
      </c>
      <c r="R213" s="178">
        <v>1825.171036313171</v>
      </c>
      <c r="T213" s="178">
        <v>1772.824914836184</v>
      </c>
      <c r="AH213" s="175"/>
      <c r="AI213" s="175"/>
    </row>
    <row r="214" spans="1:35" s="178" customFormat="1" x14ac:dyDescent="0.25">
      <c r="A214" s="176">
        <v>4</v>
      </c>
      <c r="B214" s="176"/>
      <c r="C214" s="176">
        <f t="shared" si="16"/>
        <v>43</v>
      </c>
      <c r="D214" s="176">
        <f t="shared" si="17"/>
        <v>37</v>
      </c>
      <c r="E214" s="176">
        <f t="shared" si="18"/>
        <v>15</v>
      </c>
      <c r="F214" s="176" t="str">
        <f t="shared" si="19"/>
        <v>pm</v>
      </c>
      <c r="G214" s="176" t="s">
        <v>296</v>
      </c>
      <c r="H214" s="176" t="s">
        <v>707</v>
      </c>
      <c r="I214" s="176" t="s">
        <v>295</v>
      </c>
      <c r="J214" s="177" t="s">
        <v>21</v>
      </c>
      <c r="K214" s="178">
        <f t="shared" si="20"/>
        <v>2102.5489256142664</v>
      </c>
      <c r="L214" s="176"/>
      <c r="M214" s="178">
        <v>2000</v>
      </c>
      <c r="R214" s="178">
        <v>2000.3203057553364</v>
      </c>
      <c r="T214" s="178">
        <v>2102.5489256142664</v>
      </c>
      <c r="AH214" s="175"/>
      <c r="AI214" s="175"/>
    </row>
    <row r="215" spans="1:35" s="178" customFormat="1" x14ac:dyDescent="0.25">
      <c r="A215" s="176">
        <v>6</v>
      </c>
      <c r="B215" s="176"/>
      <c r="C215" s="176">
        <f t="shared" si="16"/>
        <v>44</v>
      </c>
      <c r="D215" s="176">
        <f t="shared" si="17"/>
        <v>37</v>
      </c>
      <c r="E215" s="176">
        <f t="shared" si="18"/>
        <v>15</v>
      </c>
      <c r="F215" s="176" t="str">
        <f t="shared" si="19"/>
        <v>pm</v>
      </c>
      <c r="G215" s="176" t="s">
        <v>189</v>
      </c>
      <c r="H215" s="176" t="s">
        <v>368</v>
      </c>
      <c r="I215" s="176" t="s">
        <v>188</v>
      </c>
      <c r="J215" s="177" t="s">
        <v>21</v>
      </c>
      <c r="K215" s="178">
        <f t="shared" si="20"/>
        <v>1924.5920646598336</v>
      </c>
      <c r="L215" s="176"/>
      <c r="M215" s="178">
        <v>2000</v>
      </c>
      <c r="P215" s="178">
        <v>1958.3689992097629</v>
      </c>
      <c r="R215" s="178">
        <v>1965.4518951526236</v>
      </c>
      <c r="T215" s="178">
        <v>1924.5920646598336</v>
      </c>
      <c r="AH215" s="175"/>
      <c r="AI215" s="175"/>
    </row>
    <row r="216" spans="1:35" s="178" customFormat="1" x14ac:dyDescent="0.25">
      <c r="A216" s="176">
        <v>2</v>
      </c>
      <c r="B216" s="176"/>
      <c r="C216" s="176">
        <f t="shared" si="16"/>
        <v>45</v>
      </c>
      <c r="D216" s="176">
        <f t="shared" si="17"/>
        <v>37</v>
      </c>
      <c r="E216" s="176">
        <f t="shared" si="18"/>
        <v>15</v>
      </c>
      <c r="F216" s="176" t="str">
        <f t="shared" si="19"/>
        <v>pm</v>
      </c>
      <c r="G216" s="176" t="s">
        <v>708</v>
      </c>
      <c r="H216" s="176" t="s">
        <v>387</v>
      </c>
      <c r="I216" s="176" t="s">
        <v>709</v>
      </c>
      <c r="J216" s="177" t="s">
        <v>21</v>
      </c>
      <c r="K216" s="178">
        <f t="shared" si="20"/>
        <v>2156.7248903018326</v>
      </c>
      <c r="L216" s="176"/>
      <c r="M216" s="178">
        <v>2000</v>
      </c>
      <c r="R216" s="178">
        <v>2102.6797261517463</v>
      </c>
      <c r="S216" s="178">
        <v>2156.7248903018326</v>
      </c>
      <c r="AH216" s="175"/>
      <c r="AI216" s="175"/>
    </row>
    <row r="217" spans="1:35" s="178" customFormat="1" x14ac:dyDescent="0.25">
      <c r="A217" s="176">
        <v>3</v>
      </c>
      <c r="B217" s="176"/>
      <c r="C217" s="176">
        <f t="shared" si="16"/>
        <v>46</v>
      </c>
      <c r="D217" s="176">
        <f t="shared" si="17"/>
        <v>37</v>
      </c>
      <c r="E217" s="176">
        <f t="shared" si="18"/>
        <v>15</v>
      </c>
      <c r="F217" s="176" t="str">
        <f t="shared" si="19"/>
        <v>pm</v>
      </c>
      <c r="G217" s="176" t="s">
        <v>710</v>
      </c>
      <c r="H217" s="176" t="s">
        <v>387</v>
      </c>
      <c r="I217" s="176" t="s">
        <v>711</v>
      </c>
      <c r="J217" s="177" t="s">
        <v>21</v>
      </c>
      <c r="K217" s="178">
        <f t="shared" si="20"/>
        <v>2100.8963883194469</v>
      </c>
      <c r="L217" s="176"/>
      <c r="M217" s="178">
        <v>2000</v>
      </c>
      <c r="R217" s="178">
        <v>2029.398054141124</v>
      </c>
      <c r="S217" s="178">
        <v>2100.8963883194469</v>
      </c>
      <c r="AH217" s="175"/>
      <c r="AI217" s="175"/>
    </row>
    <row r="218" spans="1:35" s="178" customFormat="1" x14ac:dyDescent="0.25">
      <c r="A218" s="176">
        <v>3</v>
      </c>
      <c r="B218" s="176"/>
      <c r="C218" s="176">
        <f t="shared" si="16"/>
        <v>47</v>
      </c>
      <c r="D218" s="176">
        <f t="shared" si="17"/>
        <v>37</v>
      </c>
      <c r="E218" s="176">
        <f t="shared" si="18"/>
        <v>15</v>
      </c>
      <c r="F218" s="176" t="str">
        <f t="shared" si="19"/>
        <v>pm</v>
      </c>
      <c r="G218" s="176" t="s">
        <v>712</v>
      </c>
      <c r="H218" s="176" t="s">
        <v>378</v>
      </c>
      <c r="I218" s="176" t="s">
        <v>713</v>
      </c>
      <c r="J218" s="177" t="s">
        <v>21</v>
      </c>
      <c r="K218" s="178">
        <f t="shared" si="20"/>
        <v>2159.2866173179591</v>
      </c>
      <c r="L218" s="176"/>
      <c r="M218" s="178">
        <v>2000</v>
      </c>
      <c r="P218" s="178">
        <v>2084.4158112051268</v>
      </c>
      <c r="R218" s="178">
        <v>2159.2866173179591</v>
      </c>
      <c r="AH218" s="175"/>
      <c r="AI218" s="175"/>
    </row>
    <row r="219" spans="1:35" s="178" customFormat="1" x14ac:dyDescent="0.25">
      <c r="A219" s="176">
        <v>5</v>
      </c>
      <c r="B219" s="176"/>
      <c r="C219" s="176">
        <f t="shared" si="16"/>
        <v>48</v>
      </c>
      <c r="D219" s="176">
        <f t="shared" si="17"/>
        <v>37</v>
      </c>
      <c r="E219" s="176">
        <f t="shared" si="18"/>
        <v>15</v>
      </c>
      <c r="F219" s="176" t="str">
        <f t="shared" si="19"/>
        <v>pm</v>
      </c>
      <c r="G219" s="176" t="s">
        <v>714</v>
      </c>
      <c r="H219" s="176" t="s">
        <v>715</v>
      </c>
      <c r="I219" s="176" t="s">
        <v>716</v>
      </c>
      <c r="J219" s="177" t="s">
        <v>21</v>
      </c>
      <c r="K219" s="178">
        <f t="shared" si="20"/>
        <v>2028.7969395901496</v>
      </c>
      <c r="L219" s="176"/>
      <c r="M219" s="178">
        <v>2000</v>
      </c>
      <c r="P219" s="178">
        <v>1949.6387452744243</v>
      </c>
      <c r="R219" s="178">
        <v>2028.7969395901496</v>
      </c>
      <c r="AH219" s="175"/>
      <c r="AI219" s="175"/>
    </row>
    <row r="220" spans="1:35" s="178" customFormat="1" x14ac:dyDescent="0.25">
      <c r="A220" s="176">
        <v>6</v>
      </c>
      <c r="B220" s="176"/>
      <c r="C220" s="176">
        <f t="shared" si="16"/>
        <v>49</v>
      </c>
      <c r="D220" s="176">
        <f t="shared" si="17"/>
        <v>37</v>
      </c>
      <c r="E220" s="176">
        <f t="shared" si="18"/>
        <v>15</v>
      </c>
      <c r="F220" s="176" t="str">
        <f t="shared" si="19"/>
        <v>pm</v>
      </c>
      <c r="G220" s="176" t="s">
        <v>191</v>
      </c>
      <c r="H220" s="176" t="s">
        <v>392</v>
      </c>
      <c r="I220" s="176" t="s">
        <v>190</v>
      </c>
      <c r="J220" s="177" t="s">
        <v>21</v>
      </c>
      <c r="K220" s="178">
        <f t="shared" si="20"/>
        <v>1876.833717072167</v>
      </c>
      <c r="L220" s="176"/>
      <c r="M220" s="178">
        <v>2000</v>
      </c>
      <c r="R220" s="178">
        <v>1918.5906334054932</v>
      </c>
      <c r="T220" s="178">
        <v>1876.833717072167</v>
      </c>
      <c r="AH220" s="175"/>
      <c r="AI220" s="175"/>
    </row>
    <row r="221" spans="1:35" s="178" customFormat="1" x14ac:dyDescent="0.25">
      <c r="A221" s="176">
        <v>6</v>
      </c>
      <c r="B221" s="176"/>
      <c r="C221" s="176">
        <f t="shared" si="16"/>
        <v>50</v>
      </c>
      <c r="D221" s="176">
        <f t="shared" si="17"/>
        <v>37</v>
      </c>
      <c r="E221" s="176">
        <f t="shared" si="18"/>
        <v>15</v>
      </c>
      <c r="F221" s="176" t="str">
        <f t="shared" si="19"/>
        <v>pm</v>
      </c>
      <c r="G221" s="176" t="s">
        <v>298</v>
      </c>
      <c r="H221" s="176" t="s">
        <v>392</v>
      </c>
      <c r="I221" s="176" t="s">
        <v>297</v>
      </c>
      <c r="J221" s="177" t="s">
        <v>21</v>
      </c>
      <c r="K221" s="178">
        <f t="shared" si="20"/>
        <v>1849.9734355569628</v>
      </c>
      <c r="L221" s="176"/>
      <c r="M221" s="178">
        <v>2000</v>
      </c>
      <c r="R221" s="178">
        <v>1909.4303022328752</v>
      </c>
      <c r="T221" s="178">
        <v>1849.9734355569628</v>
      </c>
      <c r="AH221" s="175"/>
      <c r="AI221" s="175"/>
    </row>
    <row r="222" spans="1:35" s="178" customFormat="1" x14ac:dyDescent="0.25">
      <c r="A222" s="176">
        <v>5</v>
      </c>
      <c r="B222" s="176"/>
      <c r="C222" s="176">
        <f t="shared" si="16"/>
        <v>51</v>
      </c>
      <c r="D222" s="176">
        <f t="shared" si="17"/>
        <v>37</v>
      </c>
      <c r="E222" s="176">
        <f t="shared" si="18"/>
        <v>15</v>
      </c>
      <c r="F222" s="176" t="str">
        <f t="shared" si="19"/>
        <v>pm</v>
      </c>
      <c r="G222" s="176" t="s">
        <v>292</v>
      </c>
      <c r="H222" s="176" t="s">
        <v>528</v>
      </c>
      <c r="I222" s="176" t="s">
        <v>291</v>
      </c>
      <c r="J222" s="177" t="s">
        <v>21</v>
      </c>
      <c r="K222" s="178">
        <f t="shared" si="20"/>
        <v>2019.7195191341993</v>
      </c>
      <c r="L222" s="176"/>
      <c r="M222" s="178">
        <v>2000</v>
      </c>
      <c r="R222" s="178">
        <v>1930.6477056485521</v>
      </c>
      <c r="T222" s="178">
        <v>2019.7195191341993</v>
      </c>
      <c r="AH222" s="175"/>
      <c r="AI222" s="175"/>
    </row>
    <row r="223" spans="1:35" s="178" customFormat="1" x14ac:dyDescent="0.25">
      <c r="A223" s="176">
        <v>3</v>
      </c>
      <c r="B223" s="176"/>
      <c r="C223" s="176">
        <f t="shared" si="16"/>
        <v>52</v>
      </c>
      <c r="D223" s="176">
        <f t="shared" si="17"/>
        <v>37</v>
      </c>
      <c r="E223" s="176">
        <f t="shared" si="18"/>
        <v>15</v>
      </c>
      <c r="F223" s="176" t="str">
        <f t="shared" si="19"/>
        <v>pm</v>
      </c>
      <c r="G223" s="176" t="s">
        <v>187</v>
      </c>
      <c r="H223" s="176" t="s">
        <v>694</v>
      </c>
      <c r="I223" s="176" t="s">
        <v>186</v>
      </c>
      <c r="J223" s="177" t="s">
        <v>21</v>
      </c>
      <c r="K223" s="178">
        <f t="shared" si="20"/>
        <v>1996.7557391443099</v>
      </c>
      <c r="L223" s="176"/>
      <c r="M223" s="178">
        <v>2000</v>
      </c>
      <c r="P223" s="178">
        <v>2014.4481187300305</v>
      </c>
      <c r="T223" s="178">
        <v>1996.7557391443099</v>
      </c>
      <c r="AH223" s="175"/>
      <c r="AI223" s="175"/>
    </row>
    <row r="224" spans="1:35" s="178" customFormat="1" x14ac:dyDescent="0.25">
      <c r="A224" s="176">
        <v>3</v>
      </c>
      <c r="B224" s="176"/>
      <c r="C224" s="176">
        <f t="shared" si="16"/>
        <v>53</v>
      </c>
      <c r="D224" s="176">
        <f t="shared" si="17"/>
        <v>37</v>
      </c>
      <c r="E224" s="176">
        <f t="shared" si="18"/>
        <v>15</v>
      </c>
      <c r="F224" s="176" t="str">
        <f t="shared" si="19"/>
        <v>pm</v>
      </c>
      <c r="G224" s="176" t="s">
        <v>717</v>
      </c>
      <c r="H224" s="176" t="s">
        <v>390</v>
      </c>
      <c r="I224" s="176" t="s">
        <v>718</v>
      </c>
      <c r="J224" s="177" t="s">
        <v>21</v>
      </c>
      <c r="K224" s="178">
        <f t="shared" si="20"/>
        <v>2000</v>
      </c>
      <c r="L224" s="176"/>
      <c r="M224" s="178">
        <v>2000</v>
      </c>
      <c r="AH224" s="175"/>
      <c r="AI224" s="175"/>
    </row>
    <row r="225" spans="1:35" s="178" customFormat="1" x14ac:dyDescent="0.25">
      <c r="A225" s="176">
        <v>2</v>
      </c>
      <c r="B225" s="176"/>
      <c r="C225" s="176">
        <f t="shared" si="16"/>
        <v>1</v>
      </c>
      <c r="D225" s="176">
        <f t="shared" si="17"/>
        <v>1</v>
      </c>
      <c r="E225" s="176">
        <f t="shared" si="18"/>
        <v>16</v>
      </c>
      <c r="F225" s="176" t="str">
        <f t="shared" si="19"/>
        <v>pm</v>
      </c>
      <c r="G225" s="176" t="s">
        <v>719</v>
      </c>
      <c r="H225" s="176" t="s">
        <v>461</v>
      </c>
      <c r="I225" s="176" t="s">
        <v>720</v>
      </c>
      <c r="J225" s="177" t="s">
        <v>22</v>
      </c>
      <c r="K225" s="178">
        <f t="shared" si="20"/>
        <v>2631.6664736634525</v>
      </c>
      <c r="L225" s="176"/>
      <c r="M225" s="178">
        <v>2600</v>
      </c>
      <c r="P225" s="178">
        <v>2588.4978348912359</v>
      </c>
      <c r="S225" s="178">
        <v>2631.6664736634525</v>
      </c>
      <c r="AH225" s="175"/>
      <c r="AI225" s="175"/>
    </row>
    <row r="226" spans="1:35" s="178" customFormat="1" x14ac:dyDescent="0.25">
      <c r="A226" s="176"/>
      <c r="B226" s="176"/>
      <c r="C226" s="176">
        <f t="shared" si="16"/>
        <v>2</v>
      </c>
      <c r="D226" s="176">
        <f t="shared" si="17"/>
        <v>1</v>
      </c>
      <c r="E226" s="176">
        <f t="shared" si="18"/>
        <v>16</v>
      </c>
      <c r="F226" s="176" t="str">
        <f t="shared" si="19"/>
        <v>crx</v>
      </c>
      <c r="G226" s="176" t="s">
        <v>721</v>
      </c>
      <c r="H226" s="176"/>
      <c r="I226" s="176" t="s">
        <v>722</v>
      </c>
      <c r="J226" s="177" t="s">
        <v>22</v>
      </c>
      <c r="K226" s="178">
        <f t="shared" si="20"/>
        <v>2590.6949709264486</v>
      </c>
      <c r="L226" s="176"/>
      <c r="M226" s="178">
        <v>2600</v>
      </c>
      <c r="O226" s="175"/>
      <c r="P226" s="175">
        <v>2590.6949709264486</v>
      </c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H226" s="175"/>
      <c r="AI226" s="175"/>
    </row>
    <row r="227" spans="1:35" s="178" customFormat="1" x14ac:dyDescent="0.25">
      <c r="A227" s="176"/>
      <c r="B227" s="176"/>
      <c r="C227" s="176">
        <f t="shared" si="16"/>
        <v>3</v>
      </c>
      <c r="D227" s="176">
        <f t="shared" si="17"/>
        <v>1</v>
      </c>
      <c r="E227" s="176">
        <f t="shared" si="18"/>
        <v>16</v>
      </c>
      <c r="F227" s="176" t="str">
        <f t="shared" si="19"/>
        <v>crx</v>
      </c>
      <c r="G227" s="176" t="s">
        <v>723</v>
      </c>
      <c r="H227" s="176"/>
      <c r="I227" s="176" t="s">
        <v>724</v>
      </c>
      <c r="J227" s="177" t="s">
        <v>22</v>
      </c>
      <c r="K227" s="178">
        <f t="shared" si="20"/>
        <v>2494.0367535342011</v>
      </c>
      <c r="L227" s="176"/>
      <c r="M227" s="178">
        <v>2600</v>
      </c>
      <c r="O227" s="175"/>
      <c r="P227" s="175">
        <v>2494.0367535342011</v>
      </c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H227" s="175"/>
      <c r="AI227" s="175"/>
    </row>
    <row r="228" spans="1:35" s="178" customFormat="1" x14ac:dyDescent="0.25">
      <c r="A228" s="176">
        <v>3</v>
      </c>
      <c r="B228" s="176"/>
      <c r="C228" s="176">
        <f t="shared" si="16"/>
        <v>4</v>
      </c>
      <c r="D228" s="176">
        <f t="shared" si="17"/>
        <v>1</v>
      </c>
      <c r="E228" s="176">
        <f t="shared" si="18"/>
        <v>16</v>
      </c>
      <c r="F228" s="176" t="str">
        <f t="shared" si="19"/>
        <v>pm</v>
      </c>
      <c r="G228" s="176" t="s">
        <v>725</v>
      </c>
      <c r="H228" s="176" t="s">
        <v>355</v>
      </c>
      <c r="I228" s="176" t="s">
        <v>726</v>
      </c>
      <c r="J228" s="177" t="s">
        <v>22</v>
      </c>
      <c r="K228" s="178">
        <f t="shared" si="20"/>
        <v>2737.8174694588593</v>
      </c>
      <c r="L228" s="176"/>
      <c r="M228" s="178">
        <v>2600</v>
      </c>
      <c r="P228" s="178">
        <v>2742.7064901130243</v>
      </c>
      <c r="S228" s="178">
        <v>2737.8174694588593</v>
      </c>
      <c r="AH228" s="175"/>
      <c r="AI228" s="175"/>
    </row>
    <row r="229" spans="1:35" s="178" customFormat="1" x14ac:dyDescent="0.25">
      <c r="A229" s="176">
        <v>3</v>
      </c>
      <c r="B229" s="176"/>
      <c r="C229" s="176">
        <f t="shared" si="16"/>
        <v>5</v>
      </c>
      <c r="D229" s="176">
        <f t="shared" si="17"/>
        <v>1</v>
      </c>
      <c r="E229" s="176">
        <f t="shared" si="18"/>
        <v>16</v>
      </c>
      <c r="F229" s="176" t="str">
        <f t="shared" si="19"/>
        <v>pm</v>
      </c>
      <c r="G229" s="176" t="s">
        <v>727</v>
      </c>
      <c r="H229" s="176" t="s">
        <v>355</v>
      </c>
      <c r="I229" s="176" t="s">
        <v>728</v>
      </c>
      <c r="J229" s="177" t="s">
        <v>22</v>
      </c>
      <c r="K229" s="178">
        <f t="shared" si="20"/>
        <v>2667.1608520539512</v>
      </c>
      <c r="L229" s="176"/>
      <c r="M229" s="178">
        <v>2600</v>
      </c>
      <c r="P229" s="178">
        <v>2667.1608520539512</v>
      </c>
      <c r="AH229" s="175"/>
      <c r="AI229" s="175"/>
    </row>
    <row r="230" spans="1:35" s="178" customFormat="1" x14ac:dyDescent="0.25">
      <c r="A230" s="176">
        <v>5</v>
      </c>
      <c r="B230" s="176"/>
      <c r="C230" s="176">
        <f t="shared" si="16"/>
        <v>6</v>
      </c>
      <c r="D230" s="176">
        <f t="shared" si="17"/>
        <v>1</v>
      </c>
      <c r="E230" s="176">
        <f t="shared" si="18"/>
        <v>16</v>
      </c>
      <c r="F230" s="176" t="str">
        <f t="shared" si="19"/>
        <v>pm</v>
      </c>
      <c r="G230" s="176" t="s">
        <v>729</v>
      </c>
      <c r="H230" s="176" t="s">
        <v>400</v>
      </c>
      <c r="I230" s="176" t="s">
        <v>730</v>
      </c>
      <c r="J230" s="177" t="s">
        <v>22</v>
      </c>
      <c r="K230" s="178">
        <f t="shared" si="20"/>
        <v>2498.4008847697546</v>
      </c>
      <c r="L230" s="176"/>
      <c r="M230" s="178">
        <v>2600</v>
      </c>
      <c r="P230" s="178">
        <v>2498.4008847697546</v>
      </c>
      <c r="AH230" s="175"/>
      <c r="AI230" s="175"/>
    </row>
    <row r="231" spans="1:35" s="178" customFormat="1" x14ac:dyDescent="0.25">
      <c r="A231" s="176">
        <v>5</v>
      </c>
      <c r="B231" s="176"/>
      <c r="C231" s="176">
        <f t="shared" si="16"/>
        <v>7</v>
      </c>
      <c r="D231" s="176">
        <f t="shared" si="17"/>
        <v>1</v>
      </c>
      <c r="E231" s="176">
        <f t="shared" si="18"/>
        <v>16</v>
      </c>
      <c r="F231" s="176" t="str">
        <f t="shared" si="19"/>
        <v>pm</v>
      </c>
      <c r="G231" s="176" t="s">
        <v>731</v>
      </c>
      <c r="H231" s="176" t="s">
        <v>401</v>
      </c>
      <c r="I231" s="176" t="s">
        <v>732</v>
      </c>
      <c r="J231" s="177" t="s">
        <v>22</v>
      </c>
      <c r="K231" s="178">
        <f t="shared" si="20"/>
        <v>2522.8013817469564</v>
      </c>
      <c r="L231" s="176"/>
      <c r="M231" s="178">
        <v>2600</v>
      </c>
      <c r="P231" s="178">
        <v>2536.3497914010086</v>
      </c>
      <c r="S231" s="178">
        <v>2522.8013817469564</v>
      </c>
      <c r="AH231" s="175"/>
      <c r="AI231" s="175"/>
    </row>
    <row r="232" spans="1:35" s="178" customFormat="1" x14ac:dyDescent="0.25">
      <c r="A232" s="176">
        <v>1</v>
      </c>
      <c r="B232" s="176"/>
      <c r="C232" s="176">
        <f t="shared" si="16"/>
        <v>8</v>
      </c>
      <c r="D232" s="176">
        <f t="shared" si="17"/>
        <v>1</v>
      </c>
      <c r="E232" s="176">
        <f t="shared" si="18"/>
        <v>16</v>
      </c>
      <c r="F232" s="176" t="str">
        <f t="shared" si="19"/>
        <v>pmx</v>
      </c>
      <c r="G232" s="176" t="s">
        <v>733</v>
      </c>
      <c r="H232" s="176" t="s">
        <v>410</v>
      </c>
      <c r="I232" s="176" t="s">
        <v>734</v>
      </c>
      <c r="J232" s="177" t="s">
        <v>22</v>
      </c>
      <c r="K232" s="178">
        <f t="shared" si="20"/>
        <v>2600</v>
      </c>
      <c r="L232" s="176"/>
      <c r="M232" s="178">
        <v>2600</v>
      </c>
      <c r="AH232" s="175"/>
      <c r="AI232" s="175"/>
    </row>
    <row r="233" spans="1:35" s="178" customFormat="1" x14ac:dyDescent="0.25">
      <c r="A233" s="176">
        <v>2</v>
      </c>
      <c r="B233" s="176"/>
      <c r="C233" s="176">
        <f t="shared" si="16"/>
        <v>9</v>
      </c>
      <c r="D233" s="176">
        <f t="shared" si="17"/>
        <v>1</v>
      </c>
      <c r="E233" s="176">
        <f t="shared" si="18"/>
        <v>16</v>
      </c>
      <c r="F233" s="176" t="str">
        <f t="shared" si="19"/>
        <v>pm</v>
      </c>
      <c r="G233" s="176" t="s">
        <v>735</v>
      </c>
      <c r="H233" s="176" t="s">
        <v>410</v>
      </c>
      <c r="I233" s="176" t="s">
        <v>736</v>
      </c>
      <c r="J233" s="177" t="s">
        <v>22</v>
      </c>
      <c r="K233" s="178">
        <f t="shared" si="20"/>
        <v>2529.9395928312915</v>
      </c>
      <c r="L233" s="176"/>
      <c r="M233" s="178">
        <v>2600</v>
      </c>
      <c r="P233" s="178">
        <v>2529.9395928312915</v>
      </c>
      <c r="AH233" s="175"/>
      <c r="AI233" s="175"/>
    </row>
    <row r="234" spans="1:35" s="178" customFormat="1" x14ac:dyDescent="0.25">
      <c r="A234" s="176">
        <v>2</v>
      </c>
      <c r="B234" s="176"/>
      <c r="C234" s="176">
        <f t="shared" si="16"/>
        <v>10</v>
      </c>
      <c r="D234" s="176">
        <f t="shared" si="17"/>
        <v>1</v>
      </c>
      <c r="E234" s="176">
        <f t="shared" si="18"/>
        <v>16</v>
      </c>
      <c r="F234" s="176" t="str">
        <f t="shared" si="19"/>
        <v>pm</v>
      </c>
      <c r="G234" s="176" t="s">
        <v>737</v>
      </c>
      <c r="H234" s="176" t="s">
        <v>410</v>
      </c>
      <c r="I234" s="176" t="s">
        <v>738</v>
      </c>
      <c r="J234" s="177" t="s">
        <v>22</v>
      </c>
      <c r="K234" s="178">
        <f t="shared" si="20"/>
        <v>2482.7077944451225</v>
      </c>
      <c r="L234" s="176"/>
      <c r="M234" s="178">
        <v>2600</v>
      </c>
      <c r="P234" s="178">
        <v>2482.7077944451225</v>
      </c>
      <c r="AH234" s="175"/>
      <c r="AI234" s="175"/>
    </row>
    <row r="235" spans="1:35" s="178" customFormat="1" x14ac:dyDescent="0.25">
      <c r="A235" s="176">
        <v>7</v>
      </c>
      <c r="B235" s="176"/>
      <c r="C235" s="176">
        <f t="shared" si="16"/>
        <v>11</v>
      </c>
      <c r="D235" s="176">
        <f t="shared" si="17"/>
        <v>1</v>
      </c>
      <c r="E235" s="176">
        <f t="shared" si="18"/>
        <v>16</v>
      </c>
      <c r="F235" s="176" t="str">
        <f t="shared" si="19"/>
        <v>pm</v>
      </c>
      <c r="G235" s="176" t="s">
        <v>739</v>
      </c>
      <c r="H235" s="176" t="s">
        <v>706</v>
      </c>
      <c r="I235" s="176" t="s">
        <v>740</v>
      </c>
      <c r="J235" s="177" t="s">
        <v>22</v>
      </c>
      <c r="K235" s="178">
        <f t="shared" si="20"/>
        <v>2544.7969756063999</v>
      </c>
      <c r="L235" s="176"/>
      <c r="M235" s="178">
        <v>2600</v>
      </c>
      <c r="P235" s="178">
        <v>2535.1589990784814</v>
      </c>
      <c r="Q235" s="178">
        <v>2535.2536812939006</v>
      </c>
      <c r="S235" s="178">
        <v>2544.7969756063999</v>
      </c>
      <c r="AH235" s="175"/>
      <c r="AI235" s="175"/>
    </row>
    <row r="236" spans="1:35" s="178" customFormat="1" x14ac:dyDescent="0.25">
      <c r="A236" s="176">
        <v>5</v>
      </c>
      <c r="B236" s="176"/>
      <c r="C236" s="176">
        <f t="shared" si="16"/>
        <v>12</v>
      </c>
      <c r="D236" s="176">
        <f t="shared" si="17"/>
        <v>1</v>
      </c>
      <c r="E236" s="176">
        <f t="shared" si="18"/>
        <v>16</v>
      </c>
      <c r="F236" s="176" t="str">
        <f t="shared" si="19"/>
        <v>pm</v>
      </c>
      <c r="G236" s="176" t="s">
        <v>741</v>
      </c>
      <c r="H236" s="176" t="s">
        <v>412</v>
      </c>
      <c r="I236" s="176" t="s">
        <v>742</v>
      </c>
      <c r="J236" s="177" t="s">
        <v>22</v>
      </c>
      <c r="K236" s="178">
        <f t="shared" si="20"/>
        <v>2628.2574952617479</v>
      </c>
      <c r="L236" s="176"/>
      <c r="M236" s="178">
        <v>2600</v>
      </c>
      <c r="P236" s="178">
        <v>2628.2574952617479</v>
      </c>
      <c r="AH236" s="175"/>
      <c r="AI236" s="175"/>
    </row>
    <row r="237" spans="1:35" s="178" customFormat="1" x14ac:dyDescent="0.25">
      <c r="A237" s="176">
        <v>6</v>
      </c>
      <c r="B237" s="176"/>
      <c r="C237" s="176">
        <f t="shared" si="16"/>
        <v>13</v>
      </c>
      <c r="D237" s="176">
        <f t="shared" si="17"/>
        <v>1</v>
      </c>
      <c r="E237" s="176">
        <f t="shared" si="18"/>
        <v>16</v>
      </c>
      <c r="F237" s="176" t="str">
        <f t="shared" si="19"/>
        <v>pm</v>
      </c>
      <c r="G237" s="176" t="s">
        <v>743</v>
      </c>
      <c r="H237" s="176" t="s">
        <v>412</v>
      </c>
      <c r="I237" s="176" t="s">
        <v>744</v>
      </c>
      <c r="J237" s="177" t="s">
        <v>22</v>
      </c>
      <c r="K237" s="178">
        <f t="shared" si="20"/>
        <v>2488.2982676302595</v>
      </c>
      <c r="L237" s="176"/>
      <c r="M237" s="178">
        <v>2600</v>
      </c>
      <c r="Q237" s="178">
        <v>2453.989388007974</v>
      </c>
      <c r="S237" s="178">
        <v>2488.2982676302595</v>
      </c>
      <c r="AH237" s="175"/>
      <c r="AI237" s="175"/>
    </row>
    <row r="238" spans="1:35" s="178" customFormat="1" x14ac:dyDescent="0.25">
      <c r="A238" s="176">
        <v>4</v>
      </c>
      <c r="B238" s="176"/>
      <c r="C238" s="176">
        <f t="shared" si="16"/>
        <v>14</v>
      </c>
      <c r="D238" s="176">
        <f t="shared" si="17"/>
        <v>1</v>
      </c>
      <c r="E238" s="176">
        <f t="shared" si="18"/>
        <v>16</v>
      </c>
      <c r="F238" s="176" t="str">
        <f t="shared" si="19"/>
        <v>pm</v>
      </c>
      <c r="G238" s="176" t="s">
        <v>745</v>
      </c>
      <c r="H238" s="176" t="s">
        <v>412</v>
      </c>
      <c r="I238" s="176" t="s">
        <v>746</v>
      </c>
      <c r="J238" s="177" t="s">
        <v>22</v>
      </c>
      <c r="K238" s="178">
        <f t="shared" si="20"/>
        <v>2600</v>
      </c>
      <c r="L238" s="176"/>
      <c r="M238" s="178">
        <v>2600</v>
      </c>
      <c r="AH238" s="175"/>
      <c r="AI238" s="175"/>
    </row>
    <row r="239" spans="1:35" s="178" customFormat="1" x14ac:dyDescent="0.25">
      <c r="A239" s="176">
        <v>4</v>
      </c>
      <c r="B239" s="176"/>
      <c r="C239" s="176">
        <f t="shared" si="16"/>
        <v>15</v>
      </c>
      <c r="D239" s="176">
        <f t="shared" si="17"/>
        <v>1</v>
      </c>
      <c r="E239" s="176">
        <f t="shared" si="18"/>
        <v>16</v>
      </c>
      <c r="F239" s="176" t="str">
        <f t="shared" si="19"/>
        <v>pm</v>
      </c>
      <c r="G239" s="176" t="s">
        <v>747</v>
      </c>
      <c r="H239" s="176" t="s">
        <v>412</v>
      </c>
      <c r="I239" s="176" t="s">
        <v>748</v>
      </c>
      <c r="J239" s="177" t="s">
        <v>22</v>
      </c>
      <c r="K239" s="178">
        <f t="shared" si="20"/>
        <v>2600</v>
      </c>
      <c r="L239" s="176"/>
      <c r="M239" s="178">
        <v>2600</v>
      </c>
      <c r="AH239" s="175"/>
      <c r="AI239" s="175"/>
    </row>
    <row r="240" spans="1:35" s="178" customFormat="1" x14ac:dyDescent="0.25">
      <c r="A240" s="176">
        <v>1</v>
      </c>
      <c r="B240" s="176"/>
      <c r="C240" s="176">
        <f t="shared" si="16"/>
        <v>16</v>
      </c>
      <c r="D240" s="176">
        <f t="shared" si="17"/>
        <v>1</v>
      </c>
      <c r="E240" s="176">
        <f t="shared" si="18"/>
        <v>16</v>
      </c>
      <c r="F240" s="176" t="str">
        <f t="shared" si="19"/>
        <v>pmx</v>
      </c>
      <c r="G240" s="176" t="s">
        <v>749</v>
      </c>
      <c r="H240" s="176" t="s">
        <v>750</v>
      </c>
      <c r="I240" s="176" t="s">
        <v>751</v>
      </c>
      <c r="J240" s="177" t="s">
        <v>22</v>
      </c>
      <c r="K240" s="178">
        <f t="shared" si="20"/>
        <v>2600</v>
      </c>
      <c r="L240" s="176"/>
      <c r="M240" s="178">
        <v>2600</v>
      </c>
      <c r="O240" s="175"/>
      <c r="P240" s="175"/>
      <c r="Q240" s="17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H240" s="175"/>
      <c r="AI240" s="175"/>
    </row>
    <row r="241" spans="1:35" s="178" customFormat="1" x14ac:dyDescent="0.25">
      <c r="A241" s="176">
        <v>4</v>
      </c>
      <c r="B241" s="176"/>
      <c r="C241" s="176">
        <f t="shared" si="16"/>
        <v>17</v>
      </c>
      <c r="D241" s="176">
        <f t="shared" si="17"/>
        <v>1</v>
      </c>
      <c r="E241" s="176">
        <f t="shared" si="18"/>
        <v>16</v>
      </c>
      <c r="F241" s="176" t="str">
        <f t="shared" si="19"/>
        <v>pm</v>
      </c>
      <c r="G241" s="176" t="s">
        <v>752</v>
      </c>
      <c r="H241" s="176" t="s">
        <v>365</v>
      </c>
      <c r="I241" s="176" t="s">
        <v>753</v>
      </c>
      <c r="J241" s="177" t="s">
        <v>22</v>
      </c>
      <c r="K241" s="178">
        <f t="shared" si="20"/>
        <v>2600</v>
      </c>
      <c r="L241" s="176"/>
      <c r="M241" s="178">
        <v>2600</v>
      </c>
      <c r="AH241" s="175"/>
      <c r="AI241" s="175"/>
    </row>
    <row r="242" spans="1:35" s="178" customFormat="1" x14ac:dyDescent="0.25">
      <c r="A242" s="176">
        <v>7</v>
      </c>
      <c r="B242" s="176"/>
      <c r="C242" s="176">
        <f t="shared" si="16"/>
        <v>18</v>
      </c>
      <c r="D242" s="176">
        <f t="shared" si="17"/>
        <v>1</v>
      </c>
      <c r="E242" s="176">
        <f t="shared" si="18"/>
        <v>16</v>
      </c>
      <c r="F242" s="176" t="str">
        <f t="shared" si="19"/>
        <v>pm</v>
      </c>
      <c r="G242" s="176" t="s">
        <v>754</v>
      </c>
      <c r="H242" s="176" t="s">
        <v>368</v>
      </c>
      <c r="I242" s="176" t="s">
        <v>755</v>
      </c>
      <c r="J242" s="177" t="s">
        <v>22</v>
      </c>
      <c r="K242" s="178">
        <f t="shared" si="20"/>
        <v>2574.6020405067334</v>
      </c>
      <c r="L242" s="176"/>
      <c r="M242" s="178">
        <v>2600</v>
      </c>
      <c r="P242" s="178">
        <v>2586.1087425520964</v>
      </c>
      <c r="Q242" s="178">
        <v>2642.1061403984222</v>
      </c>
      <c r="S242" s="178">
        <v>2574.6020405067334</v>
      </c>
      <c r="AH242" s="175"/>
      <c r="AI242" s="175"/>
    </row>
    <row r="243" spans="1:35" s="178" customFormat="1" x14ac:dyDescent="0.25">
      <c r="A243" s="176">
        <v>5</v>
      </c>
      <c r="B243" s="176"/>
      <c r="C243" s="176">
        <f t="shared" si="16"/>
        <v>19</v>
      </c>
      <c r="D243" s="176">
        <f t="shared" si="17"/>
        <v>1</v>
      </c>
      <c r="E243" s="176">
        <f t="shared" si="18"/>
        <v>16</v>
      </c>
      <c r="F243" s="176" t="str">
        <f t="shared" si="19"/>
        <v>pm</v>
      </c>
      <c r="G243" s="176" t="s">
        <v>756</v>
      </c>
      <c r="H243" s="176" t="s">
        <v>567</v>
      </c>
      <c r="I243" s="176" t="s">
        <v>757</v>
      </c>
      <c r="J243" s="177" t="s">
        <v>22</v>
      </c>
      <c r="K243" s="178">
        <f t="shared" si="20"/>
        <v>2521.6112649182251</v>
      </c>
      <c r="L243" s="176"/>
      <c r="M243" s="178">
        <v>2600</v>
      </c>
      <c r="P243" s="178">
        <v>2521.6112649182251</v>
      </c>
      <c r="AH243" s="175"/>
      <c r="AI243" s="175"/>
    </row>
    <row r="244" spans="1:35" s="178" customFormat="1" x14ac:dyDescent="0.25">
      <c r="A244" s="176">
        <v>2</v>
      </c>
      <c r="B244" s="176"/>
      <c r="C244" s="176">
        <f t="shared" si="16"/>
        <v>20</v>
      </c>
      <c r="D244" s="176">
        <f t="shared" si="17"/>
        <v>1</v>
      </c>
      <c r="E244" s="176">
        <f t="shared" si="18"/>
        <v>16</v>
      </c>
      <c r="F244" s="176" t="str">
        <f t="shared" si="19"/>
        <v>pm</v>
      </c>
      <c r="G244" s="176" t="s">
        <v>758</v>
      </c>
      <c r="H244" s="176" t="s">
        <v>387</v>
      </c>
      <c r="I244" s="176" t="s">
        <v>759</v>
      </c>
      <c r="J244" s="177" t="s">
        <v>22</v>
      </c>
      <c r="K244" s="178">
        <f t="shared" si="20"/>
        <v>2642.4197784613143</v>
      </c>
      <c r="L244" s="176"/>
      <c r="M244" s="178">
        <v>2600</v>
      </c>
      <c r="S244" s="178">
        <v>2642.4197784613143</v>
      </c>
      <c r="AH244" s="175"/>
      <c r="AI244" s="175"/>
    </row>
    <row r="245" spans="1:35" s="178" customFormat="1" x14ac:dyDescent="0.25">
      <c r="A245" s="176">
        <v>3</v>
      </c>
      <c r="B245" s="176"/>
      <c r="C245" s="176">
        <f t="shared" si="16"/>
        <v>21</v>
      </c>
      <c r="D245" s="176">
        <f t="shared" si="17"/>
        <v>1</v>
      </c>
      <c r="E245" s="176">
        <f t="shared" si="18"/>
        <v>16</v>
      </c>
      <c r="F245" s="176" t="str">
        <f t="shared" si="19"/>
        <v>pm</v>
      </c>
      <c r="G245" s="176" t="s">
        <v>760</v>
      </c>
      <c r="H245" s="176" t="s">
        <v>387</v>
      </c>
      <c r="I245" s="176" t="s">
        <v>761</v>
      </c>
      <c r="J245" s="177" t="s">
        <v>22</v>
      </c>
      <c r="K245" s="178">
        <f t="shared" si="20"/>
        <v>2624.1968354614924</v>
      </c>
      <c r="L245" s="176"/>
      <c r="M245" s="178">
        <v>2600</v>
      </c>
      <c r="S245" s="178">
        <v>2624.1968354614924</v>
      </c>
      <c r="AH245" s="175"/>
      <c r="AI245" s="175"/>
    </row>
    <row r="246" spans="1:35" s="178" customFormat="1" x14ac:dyDescent="0.25">
      <c r="A246" s="176">
        <v>5</v>
      </c>
      <c r="B246" s="176"/>
      <c r="C246" s="176">
        <f t="shared" si="16"/>
        <v>22</v>
      </c>
      <c r="D246" s="176">
        <f t="shared" si="17"/>
        <v>1</v>
      </c>
      <c r="E246" s="176">
        <f t="shared" si="18"/>
        <v>16</v>
      </c>
      <c r="F246" s="176" t="str">
        <f t="shared" si="19"/>
        <v>pm</v>
      </c>
      <c r="G246" s="176" t="s">
        <v>762</v>
      </c>
      <c r="H246" s="176" t="s">
        <v>384</v>
      </c>
      <c r="I246" s="176" t="s">
        <v>763</v>
      </c>
      <c r="J246" s="177" t="s">
        <v>22</v>
      </c>
      <c r="K246" s="178">
        <f t="shared" si="20"/>
        <v>2501.7317909930653</v>
      </c>
      <c r="L246" s="176"/>
      <c r="M246" s="178">
        <v>2600</v>
      </c>
      <c r="P246" s="178">
        <v>2534.3306077253792</v>
      </c>
      <c r="S246" s="178">
        <v>2501.7317909930653</v>
      </c>
      <c r="AH246" s="175"/>
      <c r="AI246" s="175"/>
    </row>
    <row r="247" spans="1:35" s="178" customFormat="1" x14ac:dyDescent="0.25">
      <c r="A247" s="176">
        <v>5</v>
      </c>
      <c r="B247" s="176"/>
      <c r="C247" s="176">
        <f t="shared" si="16"/>
        <v>23</v>
      </c>
      <c r="D247" s="176">
        <f t="shared" si="17"/>
        <v>1</v>
      </c>
      <c r="E247" s="176">
        <f t="shared" si="18"/>
        <v>16</v>
      </c>
      <c r="F247" s="176" t="str">
        <f t="shared" si="19"/>
        <v>pm</v>
      </c>
      <c r="G247" s="176" t="s">
        <v>764</v>
      </c>
      <c r="H247" s="176" t="s">
        <v>384</v>
      </c>
      <c r="I247" s="176" t="s">
        <v>765</v>
      </c>
      <c r="J247" s="177" t="s">
        <v>22</v>
      </c>
      <c r="K247" s="178">
        <f t="shared" si="20"/>
        <v>2334.1471641922385</v>
      </c>
      <c r="L247" s="176"/>
      <c r="M247" s="178">
        <v>2600</v>
      </c>
      <c r="P247" s="178">
        <v>2430.3121523701575</v>
      </c>
      <c r="S247" s="178">
        <v>2334.1471641922385</v>
      </c>
      <c r="AH247" s="175"/>
      <c r="AI247" s="175"/>
    </row>
    <row r="248" spans="1:35" s="178" customFormat="1" x14ac:dyDescent="0.25">
      <c r="A248" s="176">
        <v>5</v>
      </c>
      <c r="B248" s="176"/>
      <c r="C248" s="176">
        <f t="shared" si="16"/>
        <v>24</v>
      </c>
      <c r="D248" s="176">
        <f t="shared" si="17"/>
        <v>1</v>
      </c>
      <c r="E248" s="176">
        <f t="shared" si="18"/>
        <v>16</v>
      </c>
      <c r="F248" s="176" t="str">
        <f t="shared" si="19"/>
        <v>pm</v>
      </c>
      <c r="G248" s="176" t="s">
        <v>766</v>
      </c>
      <c r="H248" s="176" t="s">
        <v>392</v>
      </c>
      <c r="I248" s="176" t="s">
        <v>767</v>
      </c>
      <c r="J248" s="177" t="s">
        <v>22</v>
      </c>
      <c r="K248" s="178">
        <f t="shared" si="20"/>
        <v>2525.6392172060614</v>
      </c>
      <c r="L248" s="176"/>
      <c r="M248" s="178">
        <v>2600</v>
      </c>
      <c r="S248" s="178">
        <v>2525.6392172060614</v>
      </c>
      <c r="AH248" s="175"/>
      <c r="AI248" s="175"/>
    </row>
    <row r="249" spans="1:35" s="178" customFormat="1" x14ac:dyDescent="0.25">
      <c r="A249" s="176">
        <v>5</v>
      </c>
      <c r="B249" s="176"/>
      <c r="C249" s="176">
        <f t="shared" si="16"/>
        <v>25</v>
      </c>
      <c r="D249" s="176">
        <f t="shared" si="17"/>
        <v>1</v>
      </c>
      <c r="E249" s="176">
        <f t="shared" si="18"/>
        <v>16</v>
      </c>
      <c r="F249" s="176" t="str">
        <f t="shared" si="19"/>
        <v>pm</v>
      </c>
      <c r="G249" s="176" t="s">
        <v>768</v>
      </c>
      <c r="H249" s="176" t="s">
        <v>392</v>
      </c>
      <c r="I249" s="176" t="s">
        <v>769</v>
      </c>
      <c r="J249" s="177" t="s">
        <v>22</v>
      </c>
      <c r="K249" s="178">
        <f t="shared" si="20"/>
        <v>2522.040418704566</v>
      </c>
      <c r="L249" s="176"/>
      <c r="M249" s="178">
        <v>2600</v>
      </c>
      <c r="S249" s="178">
        <v>2522.040418704566</v>
      </c>
      <c r="AH249" s="175"/>
      <c r="AI249" s="175"/>
    </row>
    <row r="250" spans="1:35" s="178" customFormat="1" x14ac:dyDescent="0.25">
      <c r="A250" s="176"/>
      <c r="B250" s="176"/>
      <c r="C250" s="176">
        <f t="shared" si="16"/>
        <v>26</v>
      </c>
      <c r="D250" s="176">
        <f t="shared" si="17"/>
        <v>1</v>
      </c>
      <c r="E250" s="176">
        <f t="shared" si="18"/>
        <v>16</v>
      </c>
      <c r="F250" s="176" t="str">
        <f t="shared" si="19"/>
        <v>crx</v>
      </c>
      <c r="G250" s="176" t="s">
        <v>770</v>
      </c>
      <c r="H250" s="176"/>
      <c r="I250" s="176" t="s">
        <v>771</v>
      </c>
      <c r="J250" s="177" t="s">
        <v>22</v>
      </c>
      <c r="K250" s="178">
        <f t="shared" si="20"/>
        <v>2614.0741138246112</v>
      </c>
      <c r="L250" s="176"/>
      <c r="M250" s="178">
        <v>2600</v>
      </c>
      <c r="O250" s="175"/>
      <c r="P250" s="175">
        <v>2614.0741138246112</v>
      </c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H250" s="175"/>
      <c r="AI250" s="175"/>
    </row>
    <row r="251" spans="1:35" s="178" customFormat="1" x14ac:dyDescent="0.25">
      <c r="A251" s="176">
        <v>1</v>
      </c>
      <c r="B251" s="176"/>
      <c r="C251" s="176">
        <f t="shared" si="16"/>
        <v>27</v>
      </c>
      <c r="D251" s="176">
        <f t="shared" si="17"/>
        <v>1</v>
      </c>
      <c r="E251" s="176">
        <f t="shared" si="18"/>
        <v>16</v>
      </c>
      <c r="F251" s="176" t="str">
        <f t="shared" si="19"/>
        <v>pmx</v>
      </c>
      <c r="G251" s="176" t="s">
        <v>772</v>
      </c>
      <c r="H251" s="176" t="s">
        <v>375</v>
      </c>
      <c r="I251" s="176" t="s">
        <v>773</v>
      </c>
      <c r="J251" s="177" t="s">
        <v>22</v>
      </c>
      <c r="K251" s="178">
        <f t="shared" si="20"/>
        <v>2840.6890102224856</v>
      </c>
      <c r="L251" s="176"/>
      <c r="M251" s="178">
        <v>2600</v>
      </c>
      <c r="O251" s="178">
        <v>2840.6890102224856</v>
      </c>
      <c r="AH251" s="175"/>
      <c r="AI251" s="175"/>
    </row>
    <row r="252" spans="1:35" s="178" customFormat="1" x14ac:dyDescent="0.25">
      <c r="A252" s="176">
        <v>2</v>
      </c>
      <c r="B252" s="176"/>
      <c r="C252" s="176">
        <f t="shared" si="16"/>
        <v>28</v>
      </c>
      <c r="D252" s="176">
        <f t="shared" si="17"/>
        <v>1</v>
      </c>
      <c r="E252" s="176">
        <f t="shared" si="18"/>
        <v>16</v>
      </c>
      <c r="F252" s="176" t="str">
        <f t="shared" si="19"/>
        <v>pm</v>
      </c>
      <c r="G252" s="176" t="s">
        <v>774</v>
      </c>
      <c r="H252" s="176" t="s">
        <v>375</v>
      </c>
      <c r="I252" s="176" t="s">
        <v>775</v>
      </c>
      <c r="J252" s="177" t="s">
        <v>22</v>
      </c>
      <c r="K252" s="178">
        <f t="shared" si="20"/>
        <v>2668.4093745251066</v>
      </c>
      <c r="L252" s="176"/>
      <c r="M252" s="178">
        <v>2600</v>
      </c>
      <c r="S252" s="178">
        <v>2668.4093745251066</v>
      </c>
      <c r="AH252" s="175"/>
      <c r="AI252" s="175"/>
    </row>
    <row r="253" spans="1:35" s="178" customFormat="1" x14ac:dyDescent="0.25">
      <c r="A253" s="176">
        <v>5</v>
      </c>
      <c r="B253" s="176"/>
      <c r="C253" s="176">
        <f t="shared" si="16"/>
        <v>29</v>
      </c>
      <c r="D253" s="176">
        <f t="shared" si="17"/>
        <v>1</v>
      </c>
      <c r="E253" s="176">
        <f t="shared" si="18"/>
        <v>16</v>
      </c>
      <c r="F253" s="176" t="str">
        <f t="shared" si="19"/>
        <v>pm</v>
      </c>
      <c r="G253" s="176" t="s">
        <v>776</v>
      </c>
      <c r="H253" s="176" t="s">
        <v>390</v>
      </c>
      <c r="I253" s="176" t="s">
        <v>777</v>
      </c>
      <c r="J253" s="177" t="s">
        <v>22</v>
      </c>
      <c r="K253" s="178">
        <f t="shared" si="20"/>
        <v>2531.9153909770039</v>
      </c>
      <c r="L253" s="176"/>
      <c r="M253" s="178">
        <v>2600</v>
      </c>
      <c r="P253" s="178">
        <v>2550.7095999075605</v>
      </c>
      <c r="S253" s="178">
        <v>2531.9153909770039</v>
      </c>
      <c r="AH253" s="175"/>
      <c r="AI253" s="175"/>
    </row>
    <row r="254" spans="1:35" s="178" customFormat="1" x14ac:dyDescent="0.25">
      <c r="A254" s="176">
        <v>4</v>
      </c>
      <c r="B254" s="176"/>
      <c r="C254" s="176">
        <f t="shared" si="16"/>
        <v>30</v>
      </c>
      <c r="D254" s="176">
        <f t="shared" si="17"/>
        <v>30</v>
      </c>
      <c r="E254" s="176">
        <f t="shared" si="18"/>
        <v>16</v>
      </c>
      <c r="F254" s="176" t="str">
        <f t="shared" si="19"/>
        <v>pm</v>
      </c>
      <c r="G254" s="176" t="s">
        <v>778</v>
      </c>
      <c r="H254" s="176" t="s">
        <v>378</v>
      </c>
      <c r="I254" s="176" t="s">
        <v>779</v>
      </c>
      <c r="J254" s="177" t="s">
        <v>22</v>
      </c>
      <c r="K254" s="178">
        <f t="shared" si="20"/>
        <v>2783.6188433078114</v>
      </c>
      <c r="L254" s="176"/>
      <c r="M254" s="178">
        <v>2550</v>
      </c>
      <c r="O254" s="178">
        <v>2651.1345929277209</v>
      </c>
      <c r="S254" s="178">
        <v>2783.6188433078114</v>
      </c>
      <c r="AH254" s="175"/>
      <c r="AI254" s="175"/>
    </row>
    <row r="255" spans="1:35" s="178" customFormat="1" x14ac:dyDescent="0.25">
      <c r="A255" s="176">
        <v>6</v>
      </c>
      <c r="B255" s="176"/>
      <c r="C255" s="176">
        <f t="shared" si="16"/>
        <v>31</v>
      </c>
      <c r="D255" s="176">
        <f t="shared" si="17"/>
        <v>31</v>
      </c>
      <c r="E255" s="176">
        <f t="shared" si="18"/>
        <v>16</v>
      </c>
      <c r="F255" s="176" t="str">
        <f t="shared" si="19"/>
        <v>pm</v>
      </c>
      <c r="G255" s="176" t="s">
        <v>305</v>
      </c>
      <c r="H255" s="176" t="s">
        <v>637</v>
      </c>
      <c r="I255" s="176" t="s">
        <v>304</v>
      </c>
      <c r="J255" s="177" t="s">
        <v>22</v>
      </c>
      <c r="K255" s="178">
        <f t="shared" si="20"/>
        <v>2602.0670906930518</v>
      </c>
      <c r="L255" s="176"/>
      <c r="M255" s="178">
        <v>2533.3333333333335</v>
      </c>
      <c r="O255" s="175"/>
      <c r="P255" s="175">
        <v>2604.4583365042622</v>
      </c>
      <c r="Q255" s="175"/>
      <c r="R255" s="175"/>
      <c r="S255" s="175">
        <v>2550.4882821127521</v>
      </c>
      <c r="T255" s="175">
        <v>2602.0670906930518</v>
      </c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</row>
    <row r="256" spans="1:35" s="178" customFormat="1" x14ac:dyDescent="0.25">
      <c r="A256" s="176">
        <v>6</v>
      </c>
      <c r="B256" s="176"/>
      <c r="C256" s="176">
        <f t="shared" si="16"/>
        <v>32</v>
      </c>
      <c r="D256" s="176">
        <f t="shared" si="17"/>
        <v>31</v>
      </c>
      <c r="E256" s="176">
        <f t="shared" si="18"/>
        <v>16</v>
      </c>
      <c r="F256" s="176" t="str">
        <f t="shared" si="19"/>
        <v>pm</v>
      </c>
      <c r="G256" s="176" t="s">
        <v>780</v>
      </c>
      <c r="H256" s="176" t="s">
        <v>401</v>
      </c>
      <c r="I256" s="176" t="s">
        <v>781</v>
      </c>
      <c r="J256" s="177" t="s">
        <v>22</v>
      </c>
      <c r="K256" s="178">
        <f t="shared" si="20"/>
        <v>2350.7701139447186</v>
      </c>
      <c r="L256" s="176"/>
      <c r="M256" s="178">
        <v>2533.3333333333335</v>
      </c>
      <c r="P256" s="178">
        <v>2435.1163107014972</v>
      </c>
      <c r="R256" s="178">
        <v>2430.7561370754192</v>
      </c>
      <c r="S256" s="178">
        <v>2350.7701139447186</v>
      </c>
      <c r="AH256" s="175"/>
      <c r="AI256" s="175"/>
    </row>
    <row r="257" spans="1:35" s="178" customFormat="1" x14ac:dyDescent="0.25">
      <c r="A257" s="176">
        <v>5</v>
      </c>
      <c r="B257" s="176"/>
      <c r="C257" s="176">
        <f t="shared" si="16"/>
        <v>33</v>
      </c>
      <c r="D257" s="176">
        <f t="shared" si="17"/>
        <v>33</v>
      </c>
      <c r="E257" s="176">
        <f t="shared" si="18"/>
        <v>16</v>
      </c>
      <c r="F257" s="176" t="str">
        <f t="shared" si="19"/>
        <v>pm</v>
      </c>
      <c r="G257" s="176" t="s">
        <v>782</v>
      </c>
      <c r="H257" s="176" t="s">
        <v>783</v>
      </c>
      <c r="I257" s="176" t="s">
        <v>784</v>
      </c>
      <c r="J257" s="177" t="s">
        <v>22</v>
      </c>
      <c r="K257" s="178">
        <f t="shared" si="20"/>
        <v>2402.6393736189211</v>
      </c>
      <c r="L257" s="176"/>
      <c r="M257" s="178">
        <v>2520</v>
      </c>
      <c r="P257" s="178">
        <v>2367.8687365373366</v>
      </c>
      <c r="S257" s="178">
        <v>2402.6393736189211</v>
      </c>
      <c r="AH257" s="175"/>
      <c r="AI257" s="175"/>
    </row>
    <row r="258" spans="1:35" s="178" customFormat="1" x14ac:dyDescent="0.25">
      <c r="A258" s="176">
        <v>2</v>
      </c>
      <c r="B258" s="176"/>
      <c r="C258" s="176">
        <f t="shared" ref="C258:C321" si="21">IF(E258=E257,C257+1,1)</f>
        <v>34</v>
      </c>
      <c r="D258" s="176">
        <f t="shared" ref="D258:D321" si="22">IF(M258=M257,D257,C258)</f>
        <v>34</v>
      </c>
      <c r="E258" s="176">
        <f t="shared" ref="E258:E321" si="23">10+VALUE(RIGHT(LEFT(G258,3),1))</f>
        <v>16</v>
      </c>
      <c r="F258" s="176" t="str">
        <f t="shared" ref="F258:F321" si="24">RIGHT(G258,2) &amp; IF(A258&lt;2,"x","")</f>
        <v>pm</v>
      </c>
      <c r="G258" s="176" t="s">
        <v>785</v>
      </c>
      <c r="H258" s="176" t="s">
        <v>612</v>
      </c>
      <c r="I258" s="176" t="s">
        <v>786</v>
      </c>
      <c r="J258" s="177" t="s">
        <v>22</v>
      </c>
      <c r="K258" s="178">
        <f t="shared" ref="K258:K321" si="25">LOOKUP(1E+100,M258:AC258)</f>
        <v>2353.7316539645976</v>
      </c>
      <c r="L258" s="176"/>
      <c r="M258" s="178">
        <v>2400</v>
      </c>
      <c r="O258" s="175"/>
      <c r="P258" s="175"/>
      <c r="Q258" s="175"/>
      <c r="R258" s="175"/>
      <c r="S258" s="175">
        <v>2353.7316539645976</v>
      </c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</row>
    <row r="259" spans="1:35" s="178" customFormat="1" x14ac:dyDescent="0.25">
      <c r="A259" s="176">
        <v>2</v>
      </c>
      <c r="B259" s="176"/>
      <c r="C259" s="176">
        <f t="shared" si="21"/>
        <v>35</v>
      </c>
      <c r="D259" s="176">
        <f t="shared" si="22"/>
        <v>34</v>
      </c>
      <c r="E259" s="176">
        <f t="shared" si="23"/>
        <v>16</v>
      </c>
      <c r="F259" s="176" t="str">
        <f t="shared" si="24"/>
        <v>pm</v>
      </c>
      <c r="G259" s="176" t="s">
        <v>787</v>
      </c>
      <c r="H259" s="176" t="s">
        <v>358</v>
      </c>
      <c r="I259" s="176" t="s">
        <v>788</v>
      </c>
      <c r="J259" s="177" t="s">
        <v>22</v>
      </c>
      <c r="K259" s="178">
        <f t="shared" si="25"/>
        <v>2402.8944222193199</v>
      </c>
      <c r="L259" s="176"/>
      <c r="M259" s="178">
        <v>2400</v>
      </c>
      <c r="P259" s="178">
        <v>2402.8944222193199</v>
      </c>
      <c r="AH259" s="175"/>
      <c r="AI259" s="175"/>
    </row>
    <row r="260" spans="1:35" s="178" customFormat="1" x14ac:dyDescent="0.25">
      <c r="A260" s="176">
        <v>4</v>
      </c>
      <c r="B260" s="176"/>
      <c r="C260" s="176">
        <f t="shared" si="21"/>
        <v>36</v>
      </c>
      <c r="D260" s="176">
        <f t="shared" si="22"/>
        <v>34</v>
      </c>
      <c r="E260" s="176">
        <f t="shared" si="23"/>
        <v>16</v>
      </c>
      <c r="F260" s="176" t="str">
        <f t="shared" si="24"/>
        <v>pm</v>
      </c>
      <c r="G260" s="176" t="s">
        <v>307</v>
      </c>
      <c r="H260" s="176" t="s">
        <v>449</v>
      </c>
      <c r="I260" s="176" t="s">
        <v>306</v>
      </c>
      <c r="J260" s="177" t="s">
        <v>22</v>
      </c>
      <c r="K260" s="178">
        <f t="shared" si="25"/>
        <v>2485.2280075007443</v>
      </c>
      <c r="L260" s="176"/>
      <c r="M260" s="178">
        <v>2400</v>
      </c>
      <c r="Q260" s="178">
        <v>2451.1169432151924</v>
      </c>
      <c r="S260" s="178">
        <v>2504.8525408531418</v>
      </c>
      <c r="T260" s="178">
        <v>2485.2280075007443</v>
      </c>
      <c r="AH260" s="175"/>
      <c r="AI260" s="175"/>
    </row>
    <row r="261" spans="1:35" s="178" customFormat="1" x14ac:dyDescent="0.25">
      <c r="A261" s="176">
        <v>4</v>
      </c>
      <c r="B261" s="176"/>
      <c r="C261" s="176">
        <f t="shared" si="21"/>
        <v>37</v>
      </c>
      <c r="D261" s="176">
        <f t="shared" si="22"/>
        <v>34</v>
      </c>
      <c r="E261" s="176">
        <f t="shared" si="23"/>
        <v>16</v>
      </c>
      <c r="F261" s="176" t="str">
        <f t="shared" si="24"/>
        <v>pm</v>
      </c>
      <c r="G261" s="176" t="s">
        <v>789</v>
      </c>
      <c r="H261" s="176" t="s">
        <v>378</v>
      </c>
      <c r="I261" s="176" t="s">
        <v>790</v>
      </c>
      <c r="J261" s="177" t="s">
        <v>22</v>
      </c>
      <c r="K261" s="178">
        <f t="shared" si="25"/>
        <v>2511.732454820823</v>
      </c>
      <c r="L261" s="176"/>
      <c r="M261" s="178">
        <v>2400</v>
      </c>
      <c r="P261" s="178">
        <v>2480.5272461425175</v>
      </c>
      <c r="R261" s="178">
        <v>2511.732454820823</v>
      </c>
      <c r="AH261" s="175"/>
      <c r="AI261" s="175"/>
    </row>
    <row r="262" spans="1:35" s="178" customFormat="1" x14ac:dyDescent="0.25">
      <c r="A262" s="176">
        <v>2</v>
      </c>
      <c r="B262" s="176"/>
      <c r="C262" s="176">
        <f t="shared" si="21"/>
        <v>38</v>
      </c>
      <c r="D262" s="176">
        <f t="shared" si="22"/>
        <v>34</v>
      </c>
      <c r="E262" s="176">
        <f t="shared" si="23"/>
        <v>16</v>
      </c>
      <c r="F262" s="176" t="str">
        <f t="shared" si="24"/>
        <v>pm</v>
      </c>
      <c r="G262" s="176" t="s">
        <v>791</v>
      </c>
      <c r="H262" s="176" t="s">
        <v>375</v>
      </c>
      <c r="I262" s="176" t="s">
        <v>792</v>
      </c>
      <c r="J262" s="177" t="s">
        <v>22</v>
      </c>
      <c r="K262" s="178">
        <f t="shared" si="25"/>
        <v>2547.8697393622169</v>
      </c>
      <c r="L262" s="176"/>
      <c r="M262" s="178">
        <v>2400</v>
      </c>
      <c r="T262" s="178">
        <v>2547.8697393622169</v>
      </c>
      <c r="AH262" s="175"/>
      <c r="AI262" s="175"/>
    </row>
    <row r="263" spans="1:35" s="178" customFormat="1" x14ac:dyDescent="0.25">
      <c r="A263" s="176">
        <v>2</v>
      </c>
      <c r="B263" s="176"/>
      <c r="C263" s="176">
        <f t="shared" si="21"/>
        <v>39</v>
      </c>
      <c r="D263" s="176">
        <f t="shared" si="22"/>
        <v>34</v>
      </c>
      <c r="E263" s="176">
        <f t="shared" si="23"/>
        <v>16</v>
      </c>
      <c r="F263" s="176" t="str">
        <f t="shared" si="24"/>
        <v>pm</v>
      </c>
      <c r="G263" s="176" t="s">
        <v>311</v>
      </c>
      <c r="H263" s="176" t="s">
        <v>375</v>
      </c>
      <c r="I263" s="176" t="s">
        <v>310</v>
      </c>
      <c r="J263" s="177" t="s">
        <v>22</v>
      </c>
      <c r="K263" s="178">
        <f t="shared" si="25"/>
        <v>2440.2815498712666</v>
      </c>
      <c r="L263" s="176"/>
      <c r="M263" s="178">
        <v>2400</v>
      </c>
      <c r="T263" s="178">
        <v>2440.2815498712666</v>
      </c>
      <c r="AH263" s="175"/>
      <c r="AI263" s="175"/>
    </row>
    <row r="264" spans="1:35" s="178" customFormat="1" x14ac:dyDescent="0.25">
      <c r="A264" s="176">
        <v>2</v>
      </c>
      <c r="B264" s="176"/>
      <c r="C264" s="176">
        <f t="shared" si="21"/>
        <v>40</v>
      </c>
      <c r="D264" s="176">
        <f t="shared" si="22"/>
        <v>34</v>
      </c>
      <c r="E264" s="176">
        <f t="shared" si="23"/>
        <v>16</v>
      </c>
      <c r="F264" s="176" t="str">
        <f t="shared" si="24"/>
        <v>pm</v>
      </c>
      <c r="G264" s="176" t="s">
        <v>313</v>
      </c>
      <c r="H264" s="176" t="s">
        <v>375</v>
      </c>
      <c r="I264" s="176" t="s">
        <v>312</v>
      </c>
      <c r="J264" s="177" t="s">
        <v>22</v>
      </c>
      <c r="K264" s="178">
        <f t="shared" si="25"/>
        <v>2428.574139943863</v>
      </c>
      <c r="L264" s="176"/>
      <c r="M264" s="178">
        <v>2400</v>
      </c>
      <c r="T264" s="178">
        <v>2428.574139943863</v>
      </c>
      <c r="AH264" s="175"/>
      <c r="AI264" s="175"/>
    </row>
    <row r="265" spans="1:35" s="178" customFormat="1" x14ac:dyDescent="0.25">
      <c r="A265" s="176">
        <v>7</v>
      </c>
      <c r="B265" s="176"/>
      <c r="C265" s="176">
        <f t="shared" si="21"/>
        <v>41</v>
      </c>
      <c r="D265" s="176">
        <f t="shared" si="22"/>
        <v>41</v>
      </c>
      <c r="E265" s="176">
        <f t="shared" si="23"/>
        <v>16</v>
      </c>
      <c r="F265" s="176" t="str">
        <f t="shared" si="24"/>
        <v>pm</v>
      </c>
      <c r="G265" s="176" t="s">
        <v>319</v>
      </c>
      <c r="H265" s="176" t="s">
        <v>518</v>
      </c>
      <c r="I265" s="176" t="s">
        <v>318</v>
      </c>
      <c r="J265" s="177" t="s">
        <v>21</v>
      </c>
      <c r="K265" s="178">
        <f t="shared" si="25"/>
        <v>2227.3143583110036</v>
      </c>
      <c r="L265" s="176"/>
      <c r="M265" s="178">
        <v>2314.2857142857142</v>
      </c>
      <c r="P265" s="178">
        <v>2273.6545201751719</v>
      </c>
      <c r="Q265" s="178">
        <v>2314.8207408110184</v>
      </c>
      <c r="T265" s="178">
        <v>2227.3143583110036</v>
      </c>
      <c r="AH265" s="175"/>
      <c r="AI265" s="175"/>
    </row>
    <row r="266" spans="1:35" s="178" customFormat="1" x14ac:dyDescent="0.25">
      <c r="A266" s="176">
        <v>3</v>
      </c>
      <c r="B266" s="176"/>
      <c r="C266" s="176">
        <f t="shared" si="21"/>
        <v>42</v>
      </c>
      <c r="D266" s="176">
        <f t="shared" si="22"/>
        <v>42</v>
      </c>
      <c r="E266" s="176">
        <f t="shared" si="23"/>
        <v>16</v>
      </c>
      <c r="F266" s="176" t="str">
        <f t="shared" si="24"/>
        <v>pm</v>
      </c>
      <c r="G266" s="176" t="s">
        <v>793</v>
      </c>
      <c r="H266" s="176" t="s">
        <v>612</v>
      </c>
      <c r="I266" s="176" t="s">
        <v>794</v>
      </c>
      <c r="J266" s="177" t="s">
        <v>21</v>
      </c>
      <c r="K266" s="178">
        <f t="shared" si="25"/>
        <v>2423.8121809417348</v>
      </c>
      <c r="L266" s="176"/>
      <c r="M266" s="178">
        <v>2266.6666666666665</v>
      </c>
      <c r="O266" s="175"/>
      <c r="P266" s="175">
        <v>2345.6284465465415</v>
      </c>
      <c r="Q266" s="175"/>
      <c r="R266" s="175">
        <v>2423.8121809417348</v>
      </c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</row>
    <row r="267" spans="1:35" s="178" customFormat="1" x14ac:dyDescent="0.25">
      <c r="A267" s="176">
        <v>7</v>
      </c>
      <c r="B267" s="176"/>
      <c r="C267" s="176">
        <f t="shared" si="21"/>
        <v>43</v>
      </c>
      <c r="D267" s="176">
        <f t="shared" si="22"/>
        <v>43</v>
      </c>
      <c r="E267" s="176">
        <f t="shared" si="23"/>
        <v>16</v>
      </c>
      <c r="F267" s="176" t="str">
        <f t="shared" si="24"/>
        <v>pm</v>
      </c>
      <c r="G267" s="176" t="s">
        <v>317</v>
      </c>
      <c r="H267" s="176" t="s">
        <v>422</v>
      </c>
      <c r="I267" s="176" t="s">
        <v>316</v>
      </c>
      <c r="J267" s="177" t="s">
        <v>21</v>
      </c>
      <c r="K267" s="178">
        <f t="shared" si="25"/>
        <v>2228.3592034324347</v>
      </c>
      <c r="L267" s="176"/>
      <c r="M267" s="178">
        <v>2257.1428571428573</v>
      </c>
      <c r="P267" s="178">
        <v>2275.0843041720645</v>
      </c>
      <c r="Q267" s="178">
        <v>2330.3909835910367</v>
      </c>
      <c r="T267" s="178">
        <v>2228.3592034324347</v>
      </c>
      <c r="AH267" s="175"/>
      <c r="AI267" s="175"/>
    </row>
    <row r="268" spans="1:35" s="178" customFormat="1" x14ac:dyDescent="0.25">
      <c r="A268" s="176">
        <v>5</v>
      </c>
      <c r="B268" s="176"/>
      <c r="C268" s="176">
        <f t="shared" si="21"/>
        <v>44</v>
      </c>
      <c r="D268" s="176">
        <f t="shared" si="22"/>
        <v>44</v>
      </c>
      <c r="E268" s="176">
        <f t="shared" si="23"/>
        <v>16</v>
      </c>
      <c r="F268" s="176" t="str">
        <f t="shared" si="24"/>
        <v>pm</v>
      </c>
      <c r="G268" s="176" t="s">
        <v>795</v>
      </c>
      <c r="H268" s="176" t="s">
        <v>515</v>
      </c>
      <c r="I268" s="176" t="s">
        <v>796</v>
      </c>
      <c r="J268" s="177" t="s">
        <v>21</v>
      </c>
      <c r="K268" s="178">
        <f t="shared" si="25"/>
        <v>2246.3189419369232</v>
      </c>
      <c r="L268" s="176"/>
      <c r="M268" s="178">
        <v>2240</v>
      </c>
      <c r="R268" s="178">
        <v>2246.3189419369232</v>
      </c>
      <c r="AH268" s="175"/>
      <c r="AI268" s="175"/>
    </row>
    <row r="269" spans="1:35" s="178" customFormat="1" x14ac:dyDescent="0.25">
      <c r="A269" s="176">
        <v>6</v>
      </c>
      <c r="B269" s="176"/>
      <c r="C269" s="176">
        <f t="shared" si="21"/>
        <v>45</v>
      </c>
      <c r="D269" s="176">
        <f t="shared" si="22"/>
        <v>45</v>
      </c>
      <c r="E269" s="176">
        <f t="shared" si="23"/>
        <v>16</v>
      </c>
      <c r="F269" s="176" t="str">
        <f t="shared" si="24"/>
        <v>pm</v>
      </c>
      <c r="G269" s="176" t="s">
        <v>797</v>
      </c>
      <c r="H269" s="176" t="s">
        <v>798</v>
      </c>
      <c r="I269" s="176" t="s">
        <v>799</v>
      </c>
      <c r="J269" s="177" t="s">
        <v>21</v>
      </c>
      <c r="K269" s="178">
        <f t="shared" si="25"/>
        <v>2316.2116999108894</v>
      </c>
      <c r="L269" s="176"/>
      <c r="M269" s="178">
        <v>2200</v>
      </c>
      <c r="O269" s="175"/>
      <c r="P269" s="175">
        <v>2229.6713187665032</v>
      </c>
      <c r="Q269" s="175"/>
      <c r="R269" s="175">
        <v>2258.8911105410434</v>
      </c>
      <c r="S269" s="175"/>
      <c r="T269" s="175">
        <v>2316.2116999108894</v>
      </c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</row>
    <row r="270" spans="1:35" s="178" customFormat="1" x14ac:dyDescent="0.25">
      <c r="A270" s="176">
        <v>6</v>
      </c>
      <c r="B270" s="176"/>
      <c r="C270" s="176">
        <f t="shared" si="21"/>
        <v>46</v>
      </c>
      <c r="D270" s="176">
        <f t="shared" si="22"/>
        <v>45</v>
      </c>
      <c r="E270" s="176">
        <f t="shared" si="23"/>
        <v>16</v>
      </c>
      <c r="F270" s="176" t="str">
        <f t="shared" si="24"/>
        <v>pm</v>
      </c>
      <c r="G270" s="176" t="s">
        <v>196</v>
      </c>
      <c r="H270" s="176" t="s">
        <v>798</v>
      </c>
      <c r="I270" s="176" t="s">
        <v>195</v>
      </c>
      <c r="J270" s="177" t="s">
        <v>21</v>
      </c>
      <c r="K270" s="178">
        <f t="shared" si="25"/>
        <v>2111.6382579341143</v>
      </c>
      <c r="L270" s="176"/>
      <c r="M270" s="178">
        <v>2200</v>
      </c>
      <c r="O270" s="175"/>
      <c r="P270" s="175">
        <v>2122.3031989403148</v>
      </c>
      <c r="Q270" s="175"/>
      <c r="R270" s="175">
        <v>2123.540387847499</v>
      </c>
      <c r="S270" s="175"/>
      <c r="T270" s="175">
        <v>2111.6382579341143</v>
      </c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</row>
    <row r="271" spans="1:35" s="178" customFormat="1" x14ac:dyDescent="0.25">
      <c r="A271" s="176">
        <v>6</v>
      </c>
      <c r="B271" s="176"/>
      <c r="C271" s="176">
        <f t="shared" si="21"/>
        <v>47</v>
      </c>
      <c r="D271" s="176">
        <f t="shared" si="22"/>
        <v>45</v>
      </c>
      <c r="E271" s="176">
        <f t="shared" si="23"/>
        <v>16</v>
      </c>
      <c r="F271" s="176" t="str">
        <f t="shared" si="24"/>
        <v>pm</v>
      </c>
      <c r="G271" s="176" t="s">
        <v>800</v>
      </c>
      <c r="H271" s="176" t="s">
        <v>615</v>
      </c>
      <c r="I271" s="176" t="s">
        <v>801</v>
      </c>
      <c r="J271" s="177" t="s">
        <v>21</v>
      </c>
      <c r="K271" s="178">
        <f t="shared" si="25"/>
        <v>2177.7802114634451</v>
      </c>
      <c r="L271" s="176"/>
      <c r="M271" s="178">
        <v>2200</v>
      </c>
      <c r="P271" s="178">
        <v>2170.5044212207163</v>
      </c>
      <c r="R271" s="178">
        <v>2166.7229327282698</v>
      </c>
      <c r="T271" s="178">
        <v>2177.7802114634451</v>
      </c>
      <c r="AH271" s="175"/>
      <c r="AI271" s="175"/>
    </row>
    <row r="272" spans="1:35" s="178" customFormat="1" x14ac:dyDescent="0.25">
      <c r="A272" s="176">
        <v>3</v>
      </c>
      <c r="B272" s="176"/>
      <c r="C272" s="176">
        <f t="shared" si="21"/>
        <v>48</v>
      </c>
      <c r="D272" s="176">
        <f t="shared" si="22"/>
        <v>45</v>
      </c>
      <c r="E272" s="176">
        <f t="shared" si="23"/>
        <v>16</v>
      </c>
      <c r="F272" s="176" t="str">
        <f t="shared" si="24"/>
        <v>pm</v>
      </c>
      <c r="G272" s="176" t="s">
        <v>802</v>
      </c>
      <c r="H272" s="176" t="s">
        <v>355</v>
      </c>
      <c r="I272" s="176" t="s">
        <v>803</v>
      </c>
      <c r="J272" s="177" t="s">
        <v>21</v>
      </c>
      <c r="K272" s="178">
        <f t="shared" si="25"/>
        <v>2158.0851509034469</v>
      </c>
      <c r="L272" s="176"/>
      <c r="M272" s="178">
        <v>2200</v>
      </c>
      <c r="P272" s="178">
        <v>2158.0851509034469</v>
      </c>
      <c r="AH272" s="175"/>
      <c r="AI272" s="175"/>
    </row>
    <row r="273" spans="1:35" s="178" customFormat="1" x14ac:dyDescent="0.25">
      <c r="A273" s="176">
        <v>3</v>
      </c>
      <c r="B273" s="176"/>
      <c r="C273" s="176">
        <f t="shared" si="21"/>
        <v>49</v>
      </c>
      <c r="D273" s="176">
        <f t="shared" si="22"/>
        <v>45</v>
      </c>
      <c r="E273" s="176">
        <f t="shared" si="23"/>
        <v>16</v>
      </c>
      <c r="F273" s="176" t="str">
        <f t="shared" si="24"/>
        <v>pm</v>
      </c>
      <c r="G273" s="176" t="s">
        <v>804</v>
      </c>
      <c r="H273" s="176" t="s">
        <v>597</v>
      </c>
      <c r="I273" s="176" t="s">
        <v>805</v>
      </c>
      <c r="J273" s="177" t="s">
        <v>21</v>
      </c>
      <c r="K273" s="178">
        <f t="shared" si="25"/>
        <v>2259.2297058558725</v>
      </c>
      <c r="L273" s="176"/>
      <c r="M273" s="178">
        <v>2200</v>
      </c>
      <c r="P273" s="178">
        <v>2259.2297058558725</v>
      </c>
      <c r="AH273" s="175"/>
      <c r="AI273" s="175"/>
    </row>
    <row r="274" spans="1:35" s="178" customFormat="1" x14ac:dyDescent="0.25">
      <c r="A274" s="176">
        <v>6</v>
      </c>
      <c r="B274" s="176"/>
      <c r="C274" s="176">
        <f t="shared" si="21"/>
        <v>50</v>
      </c>
      <c r="D274" s="176">
        <f t="shared" si="22"/>
        <v>45</v>
      </c>
      <c r="E274" s="176">
        <f t="shared" si="23"/>
        <v>16</v>
      </c>
      <c r="F274" s="176" t="str">
        <f t="shared" si="24"/>
        <v>pm</v>
      </c>
      <c r="G274" s="176" t="s">
        <v>806</v>
      </c>
      <c r="H274" s="176" t="s">
        <v>412</v>
      </c>
      <c r="I274" s="176" t="s">
        <v>807</v>
      </c>
      <c r="J274" s="177" t="s">
        <v>21</v>
      </c>
      <c r="K274" s="178">
        <f t="shared" si="25"/>
        <v>2119.7342603300549</v>
      </c>
      <c r="L274" s="176"/>
      <c r="M274" s="178">
        <v>2200</v>
      </c>
      <c r="R274" s="178">
        <v>2102.1310809793767</v>
      </c>
      <c r="T274" s="178">
        <v>2119.7342603300549</v>
      </c>
      <c r="AH274" s="175"/>
      <c r="AI274" s="175"/>
    </row>
    <row r="275" spans="1:35" s="178" customFormat="1" x14ac:dyDescent="0.25">
      <c r="A275" s="176">
        <v>6</v>
      </c>
      <c r="B275" s="176"/>
      <c r="C275" s="176">
        <f t="shared" si="21"/>
        <v>51</v>
      </c>
      <c r="D275" s="176">
        <f t="shared" si="22"/>
        <v>45</v>
      </c>
      <c r="E275" s="176">
        <f t="shared" si="23"/>
        <v>16</v>
      </c>
      <c r="F275" s="176" t="str">
        <f t="shared" si="24"/>
        <v>pm</v>
      </c>
      <c r="G275" s="176" t="s">
        <v>300</v>
      </c>
      <c r="H275" s="176" t="s">
        <v>412</v>
      </c>
      <c r="I275" s="176" t="s">
        <v>299</v>
      </c>
      <c r="J275" s="177" t="s">
        <v>21</v>
      </c>
      <c r="K275" s="178">
        <f t="shared" si="25"/>
        <v>2016.2436789687517</v>
      </c>
      <c r="L275" s="176"/>
      <c r="M275" s="178">
        <v>2200</v>
      </c>
      <c r="R275" s="178">
        <v>2115.980955417655</v>
      </c>
      <c r="T275" s="178">
        <v>2016.2436789687517</v>
      </c>
      <c r="AH275" s="175"/>
      <c r="AI275" s="175"/>
    </row>
    <row r="276" spans="1:35" s="178" customFormat="1" x14ac:dyDescent="0.25">
      <c r="A276" s="176">
        <v>4</v>
      </c>
      <c r="B276" s="176"/>
      <c r="C276" s="176">
        <f t="shared" si="21"/>
        <v>52</v>
      </c>
      <c r="D276" s="176">
        <f t="shared" si="22"/>
        <v>45</v>
      </c>
      <c r="E276" s="176">
        <f t="shared" si="23"/>
        <v>16</v>
      </c>
      <c r="F276" s="176" t="str">
        <f t="shared" si="24"/>
        <v>pm</v>
      </c>
      <c r="G276" s="176" t="s">
        <v>808</v>
      </c>
      <c r="H276" s="176" t="s">
        <v>365</v>
      </c>
      <c r="I276" s="176" t="s">
        <v>809</v>
      </c>
      <c r="J276" s="177" t="s">
        <v>21</v>
      </c>
      <c r="K276" s="178">
        <f t="shared" si="25"/>
        <v>2114.1208503761477</v>
      </c>
      <c r="L276" s="176"/>
      <c r="M276" s="178">
        <v>2200</v>
      </c>
      <c r="T276" s="178">
        <v>2114.1208503761477</v>
      </c>
      <c r="AH276" s="175"/>
      <c r="AI276" s="175"/>
    </row>
    <row r="277" spans="1:35" s="178" customFormat="1" x14ac:dyDescent="0.25">
      <c r="A277" s="176">
        <v>6</v>
      </c>
      <c r="B277" s="176"/>
      <c r="C277" s="176">
        <f t="shared" si="21"/>
        <v>53</v>
      </c>
      <c r="D277" s="176">
        <f t="shared" si="22"/>
        <v>45</v>
      </c>
      <c r="E277" s="176">
        <f t="shared" si="23"/>
        <v>16</v>
      </c>
      <c r="F277" s="176" t="str">
        <f t="shared" si="24"/>
        <v>pm</v>
      </c>
      <c r="G277" s="176" t="s">
        <v>315</v>
      </c>
      <c r="H277" s="176" t="s">
        <v>368</v>
      </c>
      <c r="I277" s="176" t="s">
        <v>314</v>
      </c>
      <c r="J277" s="177" t="s">
        <v>21</v>
      </c>
      <c r="K277" s="178">
        <f t="shared" si="25"/>
        <v>2337.9679777779384</v>
      </c>
      <c r="L277" s="176"/>
      <c r="M277" s="178">
        <v>2200</v>
      </c>
      <c r="P277" s="178">
        <v>2272.6437666154325</v>
      </c>
      <c r="R277" s="178">
        <v>2366.6059849945268</v>
      </c>
      <c r="T277" s="178">
        <v>2337.9679777779384</v>
      </c>
      <c r="AH277" s="175"/>
      <c r="AI277" s="175"/>
    </row>
    <row r="278" spans="1:35" s="178" customFormat="1" x14ac:dyDescent="0.25">
      <c r="A278" s="176">
        <v>6</v>
      </c>
      <c r="B278" s="176"/>
      <c r="C278" s="176">
        <f t="shared" si="21"/>
        <v>54</v>
      </c>
      <c r="D278" s="176">
        <f t="shared" si="22"/>
        <v>45</v>
      </c>
      <c r="E278" s="176">
        <f t="shared" si="23"/>
        <v>16</v>
      </c>
      <c r="F278" s="176" t="str">
        <f t="shared" si="24"/>
        <v>pm</v>
      </c>
      <c r="G278" s="176" t="s">
        <v>323</v>
      </c>
      <c r="H278" s="176" t="s">
        <v>392</v>
      </c>
      <c r="I278" s="176" t="s">
        <v>322</v>
      </c>
      <c r="J278" s="177" t="s">
        <v>21</v>
      </c>
      <c r="K278" s="178">
        <f t="shared" si="25"/>
        <v>2157.9394663859975</v>
      </c>
      <c r="L278" s="176"/>
      <c r="M278" s="178">
        <v>2200</v>
      </c>
      <c r="R278" s="178">
        <v>2201.5596850765965</v>
      </c>
      <c r="T278" s="178">
        <v>2157.9394663859975</v>
      </c>
      <c r="AH278" s="175"/>
      <c r="AI278" s="175"/>
    </row>
    <row r="279" spans="1:35" s="178" customFormat="1" x14ac:dyDescent="0.25">
      <c r="A279" s="176">
        <v>5</v>
      </c>
      <c r="B279" s="176"/>
      <c r="C279" s="176">
        <f t="shared" si="21"/>
        <v>55</v>
      </c>
      <c r="D279" s="176">
        <f t="shared" si="22"/>
        <v>45</v>
      </c>
      <c r="E279" s="176">
        <f t="shared" si="23"/>
        <v>16</v>
      </c>
      <c r="F279" s="176" t="str">
        <f t="shared" si="24"/>
        <v>pm</v>
      </c>
      <c r="G279" s="176" t="s">
        <v>321</v>
      </c>
      <c r="H279" s="176" t="s">
        <v>421</v>
      </c>
      <c r="I279" s="176" t="s">
        <v>320</v>
      </c>
      <c r="J279" s="177" t="s">
        <v>21</v>
      </c>
      <c r="K279" s="178">
        <f t="shared" si="25"/>
        <v>2252.7610483811018</v>
      </c>
      <c r="L279" s="176"/>
      <c r="M279" s="178">
        <v>2200</v>
      </c>
      <c r="O279" s="175"/>
      <c r="P279" s="175"/>
      <c r="Q279" s="175"/>
      <c r="R279" s="175">
        <v>2266.9866046582174</v>
      </c>
      <c r="S279" s="175"/>
      <c r="T279" s="175">
        <v>2252.7610483811018</v>
      </c>
      <c r="U279" s="175"/>
      <c r="V279" s="175"/>
      <c r="W279" s="175"/>
      <c r="X279" s="175"/>
      <c r="Y279" s="175"/>
      <c r="Z279" s="175"/>
      <c r="AA279" s="175"/>
      <c r="AB279" s="175"/>
      <c r="AC279" s="175"/>
      <c r="AH279" s="175"/>
      <c r="AI279" s="175"/>
    </row>
    <row r="280" spans="1:35" s="178" customFormat="1" x14ac:dyDescent="0.25">
      <c r="A280" s="176">
        <v>4</v>
      </c>
      <c r="B280" s="176"/>
      <c r="C280" s="176">
        <f t="shared" si="21"/>
        <v>56</v>
      </c>
      <c r="D280" s="176">
        <f t="shared" si="22"/>
        <v>45</v>
      </c>
      <c r="E280" s="176">
        <f t="shared" si="23"/>
        <v>16</v>
      </c>
      <c r="F280" s="176" t="str">
        <f t="shared" si="24"/>
        <v>pm</v>
      </c>
      <c r="G280" s="176" t="s">
        <v>810</v>
      </c>
      <c r="H280" s="176" t="s">
        <v>393</v>
      </c>
      <c r="I280" s="176" t="s">
        <v>811</v>
      </c>
      <c r="J280" s="177" t="s">
        <v>21</v>
      </c>
      <c r="K280" s="178">
        <f t="shared" si="25"/>
        <v>2189.9296425980651</v>
      </c>
      <c r="L280" s="176"/>
      <c r="M280" s="178">
        <v>2200</v>
      </c>
      <c r="O280" s="175"/>
      <c r="P280" s="175"/>
      <c r="Q280" s="175"/>
      <c r="R280" s="175">
        <v>2159.5399863106313</v>
      </c>
      <c r="S280" s="175"/>
      <c r="T280" s="175">
        <v>2189.9296425980651</v>
      </c>
      <c r="U280" s="175"/>
      <c r="V280" s="175"/>
      <c r="W280" s="175"/>
      <c r="X280" s="175"/>
      <c r="Y280" s="175"/>
      <c r="Z280" s="175"/>
      <c r="AA280" s="175"/>
      <c r="AB280" s="175"/>
      <c r="AC280" s="175"/>
      <c r="AH280" s="175"/>
      <c r="AI280" s="175"/>
    </row>
    <row r="281" spans="1:35" s="178" customFormat="1" x14ac:dyDescent="0.25">
      <c r="A281" s="176">
        <v>2</v>
      </c>
      <c r="B281" s="176"/>
      <c r="C281" s="176">
        <f t="shared" si="21"/>
        <v>1</v>
      </c>
      <c r="D281" s="176">
        <f t="shared" si="22"/>
        <v>1</v>
      </c>
      <c r="E281" s="176">
        <f t="shared" si="23"/>
        <v>17</v>
      </c>
      <c r="F281" s="176" t="str">
        <f t="shared" si="24"/>
        <v>pm</v>
      </c>
      <c r="G281" s="176" t="s">
        <v>812</v>
      </c>
      <c r="H281" s="176" t="s">
        <v>813</v>
      </c>
      <c r="I281" s="176" t="s">
        <v>814</v>
      </c>
      <c r="J281" s="177" t="s">
        <v>22</v>
      </c>
      <c r="K281" s="178">
        <f t="shared" si="25"/>
        <v>2779.2387967590221</v>
      </c>
      <c r="L281" s="176"/>
      <c r="M281" s="178">
        <v>2800</v>
      </c>
      <c r="S281" s="178">
        <v>2779.2387967590221</v>
      </c>
      <c r="AH281" s="175"/>
      <c r="AI281" s="175"/>
    </row>
    <row r="282" spans="1:35" s="178" customFormat="1" x14ac:dyDescent="0.25">
      <c r="A282" s="176">
        <v>2</v>
      </c>
      <c r="B282" s="176"/>
      <c r="C282" s="176">
        <f t="shared" si="21"/>
        <v>2</v>
      </c>
      <c r="D282" s="176">
        <f t="shared" si="22"/>
        <v>1</v>
      </c>
      <c r="E282" s="176">
        <f t="shared" si="23"/>
        <v>17</v>
      </c>
      <c r="F282" s="176" t="str">
        <f t="shared" si="24"/>
        <v>pm</v>
      </c>
      <c r="G282" s="176" t="s">
        <v>815</v>
      </c>
      <c r="H282" s="176" t="s">
        <v>362</v>
      </c>
      <c r="I282" s="176" t="s">
        <v>816</v>
      </c>
      <c r="J282" s="177" t="s">
        <v>22</v>
      </c>
      <c r="K282" s="178">
        <f t="shared" si="25"/>
        <v>2800</v>
      </c>
      <c r="L282" s="176"/>
      <c r="M282" s="178">
        <v>2800</v>
      </c>
      <c r="AH282" s="175"/>
      <c r="AI282" s="175"/>
    </row>
    <row r="283" spans="1:35" s="178" customFormat="1" x14ac:dyDescent="0.25">
      <c r="A283" s="176">
        <v>3</v>
      </c>
      <c r="B283" s="176"/>
      <c r="C283" s="176">
        <f t="shared" si="21"/>
        <v>3</v>
      </c>
      <c r="D283" s="176">
        <f t="shared" si="22"/>
        <v>1</v>
      </c>
      <c r="E283" s="176">
        <f t="shared" si="23"/>
        <v>17</v>
      </c>
      <c r="F283" s="176" t="str">
        <f t="shared" si="24"/>
        <v>pm</v>
      </c>
      <c r="G283" s="176" t="s">
        <v>817</v>
      </c>
      <c r="H283" s="176" t="s">
        <v>461</v>
      </c>
      <c r="I283" s="176" t="s">
        <v>818</v>
      </c>
      <c r="J283" s="177" t="s">
        <v>22</v>
      </c>
      <c r="K283" s="178">
        <f t="shared" si="25"/>
        <v>3102.4893975941986</v>
      </c>
      <c r="L283" s="176"/>
      <c r="M283" s="178">
        <v>2800</v>
      </c>
      <c r="O283" s="178">
        <v>2973.4736131947657</v>
      </c>
      <c r="S283" s="178">
        <v>3102.4893975941986</v>
      </c>
      <c r="AH283" s="175"/>
      <c r="AI283" s="175"/>
    </row>
    <row r="284" spans="1:35" s="178" customFormat="1" x14ac:dyDescent="0.25">
      <c r="A284" s="176"/>
      <c r="B284" s="176"/>
      <c r="C284" s="176">
        <f t="shared" si="21"/>
        <v>4</v>
      </c>
      <c r="D284" s="176">
        <f t="shared" si="22"/>
        <v>1</v>
      </c>
      <c r="E284" s="176">
        <f t="shared" si="23"/>
        <v>17</v>
      </c>
      <c r="F284" s="176" t="str">
        <f t="shared" si="24"/>
        <v>crx</v>
      </c>
      <c r="G284" s="176" t="s">
        <v>819</v>
      </c>
      <c r="H284" s="176"/>
      <c r="I284" s="176" t="s">
        <v>820</v>
      </c>
      <c r="J284" s="177" t="s">
        <v>22</v>
      </c>
      <c r="K284" s="178">
        <f t="shared" si="25"/>
        <v>2766.2528151956494</v>
      </c>
      <c r="L284" s="176"/>
      <c r="M284" s="178">
        <v>2800</v>
      </c>
      <c r="O284" s="175">
        <v>2766.2528151956494</v>
      </c>
      <c r="P284" s="175"/>
      <c r="Q284" s="17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H284" s="175"/>
      <c r="AI284" s="175"/>
    </row>
    <row r="285" spans="1:35" s="178" customFormat="1" x14ac:dyDescent="0.25">
      <c r="A285" s="176"/>
      <c r="B285" s="176"/>
      <c r="C285" s="176">
        <f t="shared" si="21"/>
        <v>5</v>
      </c>
      <c r="D285" s="176">
        <f t="shared" si="22"/>
        <v>1</v>
      </c>
      <c r="E285" s="176">
        <f t="shared" si="23"/>
        <v>17</v>
      </c>
      <c r="F285" s="176" t="str">
        <f t="shared" si="24"/>
        <v>crx</v>
      </c>
      <c r="G285" s="176" t="s">
        <v>821</v>
      </c>
      <c r="H285" s="176"/>
      <c r="I285" s="176" t="s">
        <v>822</v>
      </c>
      <c r="J285" s="177" t="s">
        <v>22</v>
      </c>
      <c r="K285" s="178">
        <f t="shared" si="25"/>
        <v>2723.786117369797</v>
      </c>
      <c r="L285" s="176"/>
      <c r="M285" s="178">
        <v>2800</v>
      </c>
      <c r="O285" s="175">
        <v>2723.786117369797</v>
      </c>
      <c r="P285" s="175"/>
      <c r="Q285" s="17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H285" s="175"/>
      <c r="AI285" s="175"/>
    </row>
    <row r="286" spans="1:35" s="178" customFormat="1" x14ac:dyDescent="0.25">
      <c r="A286" s="176">
        <v>5</v>
      </c>
      <c r="B286" s="176"/>
      <c r="C286" s="176">
        <f t="shared" si="21"/>
        <v>6</v>
      </c>
      <c r="D286" s="176">
        <f t="shared" si="22"/>
        <v>1</v>
      </c>
      <c r="E286" s="176">
        <f t="shared" si="23"/>
        <v>17</v>
      </c>
      <c r="F286" s="176" t="str">
        <f t="shared" si="24"/>
        <v>pm</v>
      </c>
      <c r="G286" s="176" t="s">
        <v>823</v>
      </c>
      <c r="H286" s="176" t="s">
        <v>400</v>
      </c>
      <c r="I286" s="176" t="s">
        <v>824</v>
      </c>
      <c r="J286" s="177" t="s">
        <v>22</v>
      </c>
      <c r="K286" s="178">
        <f t="shared" si="25"/>
        <v>2754.6049256265082</v>
      </c>
      <c r="L286" s="176"/>
      <c r="M286" s="178">
        <v>2800</v>
      </c>
      <c r="O286" s="178">
        <v>2754.6049256265082</v>
      </c>
      <c r="AH286" s="175"/>
      <c r="AI286" s="175"/>
    </row>
    <row r="287" spans="1:35" s="178" customFormat="1" x14ac:dyDescent="0.25">
      <c r="A287" s="176">
        <v>5</v>
      </c>
      <c r="B287" s="176"/>
      <c r="C287" s="176">
        <f t="shared" si="21"/>
        <v>7</v>
      </c>
      <c r="D287" s="176">
        <f t="shared" si="22"/>
        <v>1</v>
      </c>
      <c r="E287" s="176">
        <f t="shared" si="23"/>
        <v>17</v>
      </c>
      <c r="F287" s="176" t="str">
        <f t="shared" si="24"/>
        <v>pm</v>
      </c>
      <c r="G287" s="176" t="s">
        <v>825</v>
      </c>
      <c r="H287" s="176" t="s">
        <v>401</v>
      </c>
      <c r="I287" s="176" t="s">
        <v>826</v>
      </c>
      <c r="J287" s="177" t="s">
        <v>22</v>
      </c>
      <c r="K287" s="178">
        <f t="shared" si="25"/>
        <v>2829.2198638381028</v>
      </c>
      <c r="L287" s="176"/>
      <c r="M287" s="178">
        <v>2800</v>
      </c>
      <c r="O287" s="178">
        <v>2861.234669416272</v>
      </c>
      <c r="S287" s="178">
        <v>2829.2198638381028</v>
      </c>
      <c r="AH287" s="175"/>
      <c r="AI287" s="175"/>
    </row>
    <row r="288" spans="1:35" s="178" customFormat="1" x14ac:dyDescent="0.25">
      <c r="A288" s="176">
        <v>6</v>
      </c>
      <c r="B288" s="176"/>
      <c r="C288" s="176">
        <f t="shared" si="21"/>
        <v>8</v>
      </c>
      <c r="D288" s="176">
        <f t="shared" si="22"/>
        <v>1</v>
      </c>
      <c r="E288" s="176">
        <f t="shared" si="23"/>
        <v>17</v>
      </c>
      <c r="F288" s="176" t="str">
        <f t="shared" si="24"/>
        <v>pm</v>
      </c>
      <c r="G288" s="176" t="s">
        <v>827</v>
      </c>
      <c r="H288" s="176" t="s">
        <v>402</v>
      </c>
      <c r="I288" s="176" t="s">
        <v>828</v>
      </c>
      <c r="J288" s="177" t="s">
        <v>22</v>
      </c>
      <c r="K288" s="178">
        <f t="shared" si="25"/>
        <v>2622.3374001433344</v>
      </c>
      <c r="L288" s="176"/>
      <c r="M288" s="178">
        <v>2800</v>
      </c>
      <c r="Q288" s="178">
        <v>2706.2787039991958</v>
      </c>
      <c r="S288" s="178">
        <v>2622.3374001433344</v>
      </c>
      <c r="AH288" s="175"/>
      <c r="AI288" s="175"/>
    </row>
    <row r="289" spans="1:35" s="178" customFormat="1" x14ac:dyDescent="0.25">
      <c r="A289" s="176"/>
      <c r="B289" s="176"/>
      <c r="C289" s="176">
        <f t="shared" si="21"/>
        <v>9</v>
      </c>
      <c r="D289" s="176">
        <f t="shared" si="22"/>
        <v>1</v>
      </c>
      <c r="E289" s="176">
        <f t="shared" si="23"/>
        <v>17</v>
      </c>
      <c r="F289" s="176" t="str">
        <f t="shared" si="24"/>
        <v>crx</v>
      </c>
      <c r="G289" s="176" t="s">
        <v>829</v>
      </c>
      <c r="H289" s="176"/>
      <c r="I289" s="176" t="s">
        <v>830</v>
      </c>
      <c r="J289" s="177" t="s">
        <v>22</v>
      </c>
      <c r="K289" s="178">
        <f t="shared" si="25"/>
        <v>2765.9984255776917</v>
      </c>
      <c r="L289" s="176"/>
      <c r="M289" s="178">
        <v>2800</v>
      </c>
      <c r="O289" s="175">
        <v>2765.9984255776917</v>
      </c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H289" s="175"/>
      <c r="AI289" s="175"/>
    </row>
    <row r="290" spans="1:35" s="178" customFormat="1" x14ac:dyDescent="0.25">
      <c r="A290" s="176">
        <v>1</v>
      </c>
      <c r="B290" s="176"/>
      <c r="C290" s="176">
        <f t="shared" si="21"/>
        <v>10</v>
      </c>
      <c r="D290" s="176">
        <f t="shared" si="22"/>
        <v>1</v>
      </c>
      <c r="E290" s="176">
        <f t="shared" si="23"/>
        <v>17</v>
      </c>
      <c r="F290" s="176" t="str">
        <f t="shared" si="24"/>
        <v>pmx</v>
      </c>
      <c r="G290" s="176" t="s">
        <v>831</v>
      </c>
      <c r="H290" s="176" t="s">
        <v>410</v>
      </c>
      <c r="I290" s="176" t="s">
        <v>832</v>
      </c>
      <c r="J290" s="177" t="s">
        <v>22</v>
      </c>
      <c r="K290" s="178">
        <f t="shared" si="25"/>
        <v>2800</v>
      </c>
      <c r="L290" s="176"/>
      <c r="M290" s="178">
        <v>2800</v>
      </c>
      <c r="AH290" s="175"/>
      <c r="AI290" s="175"/>
    </row>
    <row r="291" spans="1:35" s="178" customFormat="1" x14ac:dyDescent="0.25">
      <c r="A291" s="176">
        <v>4</v>
      </c>
      <c r="B291" s="176"/>
      <c r="C291" s="176">
        <f t="shared" si="21"/>
        <v>11</v>
      </c>
      <c r="D291" s="176">
        <f t="shared" si="22"/>
        <v>1</v>
      </c>
      <c r="E291" s="176">
        <f t="shared" si="23"/>
        <v>17</v>
      </c>
      <c r="F291" s="176" t="str">
        <f t="shared" si="24"/>
        <v>pm</v>
      </c>
      <c r="G291" s="176" t="s">
        <v>833</v>
      </c>
      <c r="H291" s="176" t="s">
        <v>783</v>
      </c>
      <c r="I291" s="176" t="s">
        <v>834</v>
      </c>
      <c r="J291" s="177" t="s">
        <v>22</v>
      </c>
      <c r="K291" s="178">
        <f t="shared" si="25"/>
        <v>2863.4119766884087</v>
      </c>
      <c r="L291" s="176"/>
      <c r="M291" s="178">
        <v>2800</v>
      </c>
      <c r="O291" s="178">
        <v>2863.4119766884087</v>
      </c>
      <c r="AH291" s="175"/>
      <c r="AI291" s="175"/>
    </row>
    <row r="292" spans="1:35" s="178" customFormat="1" x14ac:dyDescent="0.25">
      <c r="A292" s="176">
        <v>5</v>
      </c>
      <c r="B292" s="176"/>
      <c r="C292" s="176">
        <f t="shared" si="21"/>
        <v>12</v>
      </c>
      <c r="D292" s="176">
        <f t="shared" si="22"/>
        <v>1</v>
      </c>
      <c r="E292" s="176">
        <f t="shared" si="23"/>
        <v>17</v>
      </c>
      <c r="F292" s="176" t="str">
        <f t="shared" si="24"/>
        <v>pm</v>
      </c>
      <c r="G292" s="176" t="s">
        <v>835</v>
      </c>
      <c r="H292" s="176" t="s">
        <v>783</v>
      </c>
      <c r="I292" s="176" t="s">
        <v>836</v>
      </c>
      <c r="J292" s="177" t="s">
        <v>22</v>
      </c>
      <c r="K292" s="178">
        <f t="shared" si="25"/>
        <v>2821.4378785123886</v>
      </c>
      <c r="L292" s="176"/>
      <c r="M292" s="178">
        <v>2800</v>
      </c>
      <c r="O292" s="178">
        <v>2821.4378785123886</v>
      </c>
      <c r="AH292" s="175"/>
      <c r="AI292" s="175"/>
    </row>
    <row r="293" spans="1:35" s="178" customFormat="1" x14ac:dyDescent="0.25">
      <c r="A293" s="176">
        <v>6</v>
      </c>
      <c r="B293" s="176"/>
      <c r="C293" s="176">
        <f t="shared" si="21"/>
        <v>13</v>
      </c>
      <c r="D293" s="176">
        <f t="shared" si="22"/>
        <v>1</v>
      </c>
      <c r="E293" s="176">
        <f t="shared" si="23"/>
        <v>17</v>
      </c>
      <c r="F293" s="176" t="str">
        <f t="shared" si="24"/>
        <v>pm</v>
      </c>
      <c r="G293" s="176" t="s">
        <v>837</v>
      </c>
      <c r="H293" s="176" t="s">
        <v>412</v>
      </c>
      <c r="I293" s="176" t="s">
        <v>838</v>
      </c>
      <c r="J293" s="177" t="s">
        <v>22</v>
      </c>
      <c r="K293" s="178">
        <f t="shared" si="25"/>
        <v>2583.0048160921388</v>
      </c>
      <c r="L293" s="176"/>
      <c r="M293" s="178">
        <v>2800</v>
      </c>
      <c r="Q293" s="178">
        <v>2662.8923313239829</v>
      </c>
      <c r="S293" s="178">
        <v>2583.0048160921388</v>
      </c>
      <c r="AH293" s="175"/>
      <c r="AI293" s="175"/>
    </row>
    <row r="294" spans="1:35" s="178" customFormat="1" x14ac:dyDescent="0.25">
      <c r="A294" s="176">
        <v>7</v>
      </c>
      <c r="B294" s="176"/>
      <c r="C294" s="176">
        <f t="shared" si="21"/>
        <v>14</v>
      </c>
      <c r="D294" s="176">
        <f t="shared" si="22"/>
        <v>1</v>
      </c>
      <c r="E294" s="176">
        <f t="shared" si="23"/>
        <v>17</v>
      </c>
      <c r="F294" s="176" t="str">
        <f t="shared" si="24"/>
        <v>pm</v>
      </c>
      <c r="G294" s="176" t="s">
        <v>839</v>
      </c>
      <c r="H294" s="176" t="s">
        <v>368</v>
      </c>
      <c r="I294" s="176" t="s">
        <v>840</v>
      </c>
      <c r="J294" s="177" t="s">
        <v>22</v>
      </c>
      <c r="K294" s="178">
        <f t="shared" si="25"/>
        <v>2693.8652056318556</v>
      </c>
      <c r="L294" s="176"/>
      <c r="M294" s="178">
        <v>2800</v>
      </c>
      <c r="O294" s="178">
        <v>2784.6569942953811</v>
      </c>
      <c r="Q294" s="178">
        <v>2775.1107645117636</v>
      </c>
      <c r="S294" s="178">
        <v>2693.8652056318556</v>
      </c>
      <c r="AH294" s="175"/>
      <c r="AI294" s="175"/>
    </row>
    <row r="295" spans="1:35" s="178" customFormat="1" x14ac:dyDescent="0.25">
      <c r="A295" s="176">
        <v>2</v>
      </c>
      <c r="B295" s="176"/>
      <c r="C295" s="176">
        <f t="shared" si="21"/>
        <v>15</v>
      </c>
      <c r="D295" s="176">
        <f t="shared" si="22"/>
        <v>1</v>
      </c>
      <c r="E295" s="176">
        <f t="shared" si="23"/>
        <v>17</v>
      </c>
      <c r="F295" s="176" t="str">
        <f t="shared" si="24"/>
        <v>pm</v>
      </c>
      <c r="G295" s="176" t="s">
        <v>841</v>
      </c>
      <c r="H295" s="176" t="s">
        <v>387</v>
      </c>
      <c r="I295" s="176" t="s">
        <v>842</v>
      </c>
      <c r="J295" s="177" t="s">
        <v>22</v>
      </c>
      <c r="K295" s="178">
        <f t="shared" si="25"/>
        <v>2866.5369510159803</v>
      </c>
      <c r="L295" s="176"/>
      <c r="M295" s="178">
        <v>2800</v>
      </c>
      <c r="S295" s="178">
        <v>2866.5369510159803</v>
      </c>
      <c r="AH295" s="175"/>
      <c r="AI295" s="175"/>
    </row>
    <row r="296" spans="1:35" s="178" customFormat="1" x14ac:dyDescent="0.25">
      <c r="A296" s="176">
        <v>2</v>
      </c>
      <c r="B296" s="176"/>
      <c r="C296" s="176">
        <f t="shared" si="21"/>
        <v>16</v>
      </c>
      <c r="D296" s="176">
        <f t="shared" si="22"/>
        <v>1</v>
      </c>
      <c r="E296" s="176">
        <f t="shared" si="23"/>
        <v>17</v>
      </c>
      <c r="F296" s="176" t="str">
        <f t="shared" si="24"/>
        <v>pm</v>
      </c>
      <c r="G296" s="176" t="s">
        <v>843</v>
      </c>
      <c r="H296" s="176" t="s">
        <v>387</v>
      </c>
      <c r="I296" s="176" t="s">
        <v>844</v>
      </c>
      <c r="J296" s="177" t="s">
        <v>22</v>
      </c>
      <c r="K296" s="178">
        <f t="shared" si="25"/>
        <v>2815.3029305288383</v>
      </c>
      <c r="L296" s="176"/>
      <c r="M296" s="178">
        <v>2800</v>
      </c>
      <c r="S296" s="178">
        <v>2815.3029305288383</v>
      </c>
      <c r="AH296" s="175"/>
      <c r="AI296" s="175"/>
    </row>
    <row r="297" spans="1:35" s="178" customFormat="1" x14ac:dyDescent="0.25">
      <c r="A297" s="176">
        <v>5</v>
      </c>
      <c r="B297" s="176"/>
      <c r="C297" s="176">
        <f t="shared" si="21"/>
        <v>17</v>
      </c>
      <c r="D297" s="176">
        <f t="shared" si="22"/>
        <v>1</v>
      </c>
      <c r="E297" s="176">
        <f t="shared" si="23"/>
        <v>17</v>
      </c>
      <c r="F297" s="176" t="str">
        <f t="shared" si="24"/>
        <v>pm</v>
      </c>
      <c r="G297" s="176" t="s">
        <v>845</v>
      </c>
      <c r="H297" s="176" t="s">
        <v>384</v>
      </c>
      <c r="I297" s="176" t="s">
        <v>846</v>
      </c>
      <c r="J297" s="177" t="s">
        <v>22</v>
      </c>
      <c r="K297" s="178">
        <f t="shared" si="25"/>
        <v>2737.7307164150166</v>
      </c>
      <c r="L297" s="176"/>
      <c r="M297" s="178">
        <v>2800</v>
      </c>
      <c r="O297" s="178">
        <v>2696.2480007280747</v>
      </c>
      <c r="S297" s="178">
        <v>2737.7307164150166</v>
      </c>
      <c r="AH297" s="175"/>
      <c r="AI297" s="175"/>
    </row>
    <row r="298" spans="1:35" s="178" customFormat="1" x14ac:dyDescent="0.25">
      <c r="A298" s="176">
        <v>4</v>
      </c>
      <c r="B298" s="176"/>
      <c r="C298" s="176">
        <f t="shared" si="21"/>
        <v>18</v>
      </c>
      <c r="D298" s="176">
        <f t="shared" si="22"/>
        <v>1</v>
      </c>
      <c r="E298" s="176">
        <f t="shared" si="23"/>
        <v>17</v>
      </c>
      <c r="F298" s="176" t="str">
        <f t="shared" si="24"/>
        <v>pm</v>
      </c>
      <c r="G298" s="176" t="s">
        <v>847</v>
      </c>
      <c r="H298" s="176" t="s">
        <v>378</v>
      </c>
      <c r="I298" s="176" t="s">
        <v>848</v>
      </c>
      <c r="J298" s="177" t="s">
        <v>22</v>
      </c>
      <c r="K298" s="178">
        <f t="shared" si="25"/>
        <v>2944.1884179431017</v>
      </c>
      <c r="L298" s="176"/>
      <c r="M298" s="178">
        <v>2800</v>
      </c>
      <c r="O298" s="178">
        <v>2844.5024511436382</v>
      </c>
      <c r="S298" s="178">
        <v>2944.1884179431017</v>
      </c>
      <c r="AH298" s="175"/>
      <c r="AI298" s="175"/>
    </row>
    <row r="299" spans="1:35" s="178" customFormat="1" x14ac:dyDescent="0.25">
      <c r="A299" s="176">
        <v>5</v>
      </c>
      <c r="B299" s="176"/>
      <c r="C299" s="176">
        <f t="shared" si="21"/>
        <v>19</v>
      </c>
      <c r="D299" s="176">
        <f t="shared" si="22"/>
        <v>1</v>
      </c>
      <c r="E299" s="176">
        <f t="shared" si="23"/>
        <v>17</v>
      </c>
      <c r="F299" s="176" t="str">
        <f t="shared" si="24"/>
        <v>pm</v>
      </c>
      <c r="G299" s="176" t="s">
        <v>849</v>
      </c>
      <c r="H299" s="176" t="s">
        <v>392</v>
      </c>
      <c r="I299" s="176" t="s">
        <v>850</v>
      </c>
      <c r="J299" s="177" t="s">
        <v>22</v>
      </c>
      <c r="K299" s="178">
        <f t="shared" si="25"/>
        <v>2897.9672276536103</v>
      </c>
      <c r="L299" s="176"/>
      <c r="M299" s="178">
        <v>2800</v>
      </c>
      <c r="S299" s="178">
        <v>2897.9672276536103</v>
      </c>
      <c r="AH299" s="175"/>
      <c r="AI299" s="175"/>
    </row>
    <row r="300" spans="1:35" s="178" customFormat="1" x14ac:dyDescent="0.25">
      <c r="A300" s="176">
        <v>5</v>
      </c>
      <c r="B300" s="176"/>
      <c r="C300" s="176">
        <f t="shared" si="21"/>
        <v>20</v>
      </c>
      <c r="D300" s="176">
        <f t="shared" si="22"/>
        <v>1</v>
      </c>
      <c r="E300" s="176">
        <f t="shared" si="23"/>
        <v>17</v>
      </c>
      <c r="F300" s="176" t="str">
        <f t="shared" si="24"/>
        <v>pm</v>
      </c>
      <c r="G300" s="176" t="s">
        <v>851</v>
      </c>
      <c r="H300" s="176" t="s">
        <v>392</v>
      </c>
      <c r="I300" s="176" t="s">
        <v>852</v>
      </c>
      <c r="J300" s="177" t="s">
        <v>22</v>
      </c>
      <c r="K300" s="178">
        <f t="shared" si="25"/>
        <v>2808.2840462244581</v>
      </c>
      <c r="L300" s="176"/>
      <c r="M300" s="178">
        <v>2800</v>
      </c>
      <c r="S300" s="178">
        <v>2808.2840462244581</v>
      </c>
      <c r="AH300" s="175"/>
      <c r="AI300" s="175"/>
    </row>
    <row r="301" spans="1:35" s="178" customFormat="1" x14ac:dyDescent="0.25">
      <c r="A301" s="176">
        <v>6</v>
      </c>
      <c r="B301" s="176"/>
      <c r="C301" s="176">
        <f t="shared" si="21"/>
        <v>21</v>
      </c>
      <c r="D301" s="176">
        <f t="shared" si="22"/>
        <v>1</v>
      </c>
      <c r="E301" s="176">
        <f t="shared" si="23"/>
        <v>17</v>
      </c>
      <c r="F301" s="176" t="str">
        <f t="shared" si="24"/>
        <v>pm</v>
      </c>
      <c r="G301" s="176" t="s">
        <v>853</v>
      </c>
      <c r="H301" s="176" t="s">
        <v>528</v>
      </c>
      <c r="I301" s="176" t="s">
        <v>854</v>
      </c>
      <c r="J301" s="177" t="s">
        <v>22</v>
      </c>
      <c r="K301" s="178">
        <f t="shared" si="25"/>
        <v>2776.5669321360288</v>
      </c>
      <c r="L301" s="176"/>
      <c r="M301" s="178">
        <v>2800</v>
      </c>
      <c r="O301" s="178">
        <v>2802.3886420389995</v>
      </c>
      <c r="S301" s="178">
        <v>2776.5669321360288</v>
      </c>
      <c r="AH301" s="175"/>
      <c r="AI301" s="175"/>
    </row>
    <row r="302" spans="1:35" s="178" customFormat="1" x14ac:dyDescent="0.25">
      <c r="A302" s="176">
        <v>3</v>
      </c>
      <c r="B302" s="176"/>
      <c r="C302" s="176">
        <f t="shared" si="21"/>
        <v>22</v>
      </c>
      <c r="D302" s="176">
        <f t="shared" si="22"/>
        <v>1</v>
      </c>
      <c r="E302" s="176">
        <f t="shared" si="23"/>
        <v>17</v>
      </c>
      <c r="F302" s="176" t="str">
        <f t="shared" si="24"/>
        <v>pm</v>
      </c>
      <c r="G302" s="176" t="s">
        <v>855</v>
      </c>
      <c r="H302" s="176" t="s">
        <v>694</v>
      </c>
      <c r="I302" s="176" t="s">
        <v>856</v>
      </c>
      <c r="J302" s="177" t="s">
        <v>22</v>
      </c>
      <c r="K302" s="178">
        <f t="shared" si="25"/>
        <v>2845.1085264971489</v>
      </c>
      <c r="L302" s="176"/>
      <c r="M302" s="178">
        <v>2800</v>
      </c>
      <c r="O302" s="178">
        <v>2845.1085264971489</v>
      </c>
      <c r="AH302" s="175"/>
      <c r="AI302" s="175"/>
    </row>
    <row r="303" spans="1:35" s="178" customFormat="1" x14ac:dyDescent="0.25">
      <c r="A303" s="176">
        <v>2</v>
      </c>
      <c r="B303" s="176"/>
      <c r="C303" s="176">
        <f t="shared" si="21"/>
        <v>23</v>
      </c>
      <c r="D303" s="176">
        <f t="shared" si="22"/>
        <v>1</v>
      </c>
      <c r="E303" s="176">
        <f t="shared" si="23"/>
        <v>17</v>
      </c>
      <c r="F303" s="176" t="str">
        <f t="shared" si="24"/>
        <v>pm</v>
      </c>
      <c r="G303" s="176" t="s">
        <v>857</v>
      </c>
      <c r="H303" s="176" t="s">
        <v>375</v>
      </c>
      <c r="I303" s="176" t="s">
        <v>858</v>
      </c>
      <c r="J303" s="177" t="s">
        <v>22</v>
      </c>
      <c r="K303" s="178">
        <f t="shared" si="25"/>
        <v>2885.9737041923854</v>
      </c>
      <c r="L303" s="176"/>
      <c r="M303" s="178">
        <v>2800</v>
      </c>
      <c r="O303" s="178">
        <v>2885.9737041923854</v>
      </c>
      <c r="AH303" s="175"/>
      <c r="AI303" s="175"/>
    </row>
    <row r="304" spans="1:35" s="178" customFormat="1" x14ac:dyDescent="0.25">
      <c r="A304" s="176">
        <v>6</v>
      </c>
      <c r="B304" s="176"/>
      <c r="C304" s="176">
        <f t="shared" si="21"/>
        <v>24</v>
      </c>
      <c r="D304" s="176">
        <f t="shared" si="22"/>
        <v>24</v>
      </c>
      <c r="E304" s="176">
        <f t="shared" si="23"/>
        <v>17</v>
      </c>
      <c r="F304" s="176" t="str">
        <f t="shared" si="24"/>
        <v>pm</v>
      </c>
      <c r="G304" s="176" t="s">
        <v>859</v>
      </c>
      <c r="H304" s="176" t="s">
        <v>422</v>
      </c>
      <c r="I304" s="176" t="s">
        <v>860</v>
      </c>
      <c r="J304" s="177" t="s">
        <v>22</v>
      </c>
      <c r="K304" s="178">
        <f t="shared" si="25"/>
        <v>2759.5348371771374</v>
      </c>
      <c r="L304" s="176"/>
      <c r="M304" s="178">
        <v>2733.3333333333335</v>
      </c>
      <c r="O304" s="178">
        <v>2732.753895579172</v>
      </c>
      <c r="Q304" s="178">
        <v>2797.9208619773253</v>
      </c>
      <c r="S304" s="178">
        <v>2759.5348371771374</v>
      </c>
      <c r="AH304" s="175"/>
      <c r="AI304" s="175"/>
    </row>
    <row r="305" spans="1:35" s="178" customFormat="1" x14ac:dyDescent="0.25">
      <c r="A305" s="176">
        <v>5</v>
      </c>
      <c r="B305" s="176"/>
      <c r="C305" s="176">
        <f t="shared" si="21"/>
        <v>25</v>
      </c>
      <c r="D305" s="176">
        <f t="shared" si="22"/>
        <v>25</v>
      </c>
      <c r="E305" s="176">
        <f t="shared" si="23"/>
        <v>17</v>
      </c>
      <c r="F305" s="176" t="str">
        <f t="shared" si="24"/>
        <v>pm</v>
      </c>
      <c r="G305" s="176" t="s">
        <v>861</v>
      </c>
      <c r="H305" s="176" t="s">
        <v>522</v>
      </c>
      <c r="I305" s="176" t="s">
        <v>862</v>
      </c>
      <c r="J305" s="177" t="s">
        <v>22</v>
      </c>
      <c r="K305" s="178">
        <f t="shared" si="25"/>
        <v>2797.0632037070941</v>
      </c>
      <c r="L305" s="176"/>
      <c r="M305" s="178">
        <v>2720</v>
      </c>
      <c r="O305" s="178">
        <v>2752.8864457613686</v>
      </c>
      <c r="R305" s="178">
        <v>2797.0632037070941</v>
      </c>
      <c r="AH305" s="175"/>
      <c r="AI305" s="175"/>
    </row>
    <row r="306" spans="1:35" s="178" customFormat="1" x14ac:dyDescent="0.25">
      <c r="A306" s="176">
        <v>2</v>
      </c>
      <c r="B306" s="176"/>
      <c r="C306" s="176">
        <f t="shared" si="21"/>
        <v>26</v>
      </c>
      <c r="D306" s="176">
        <f t="shared" si="22"/>
        <v>26</v>
      </c>
      <c r="E306" s="176">
        <f t="shared" si="23"/>
        <v>17</v>
      </c>
      <c r="F306" s="176" t="str">
        <f t="shared" si="24"/>
        <v>pm</v>
      </c>
      <c r="G306" s="176" t="s">
        <v>863</v>
      </c>
      <c r="H306" s="176" t="s">
        <v>375</v>
      </c>
      <c r="I306" s="176" t="s">
        <v>864</v>
      </c>
      <c r="J306" s="177" t="s">
        <v>22</v>
      </c>
      <c r="K306" s="178">
        <f t="shared" si="25"/>
        <v>2770.5404194699536</v>
      </c>
      <c r="L306" s="176"/>
      <c r="M306" s="178">
        <v>2700</v>
      </c>
      <c r="T306" s="178">
        <v>2770.5404194699536</v>
      </c>
      <c r="AH306" s="175"/>
      <c r="AI306" s="175"/>
    </row>
    <row r="307" spans="1:35" s="178" customFormat="1" x14ac:dyDescent="0.25">
      <c r="A307" s="176">
        <v>3</v>
      </c>
      <c r="B307" s="176"/>
      <c r="C307" s="176">
        <f t="shared" si="21"/>
        <v>27</v>
      </c>
      <c r="D307" s="176">
        <f t="shared" si="22"/>
        <v>27</v>
      </c>
      <c r="E307" s="176">
        <f t="shared" si="23"/>
        <v>17</v>
      </c>
      <c r="F307" s="176" t="str">
        <f t="shared" si="24"/>
        <v>pm</v>
      </c>
      <c r="G307" s="176" t="s">
        <v>865</v>
      </c>
      <c r="H307" s="176" t="s">
        <v>612</v>
      </c>
      <c r="I307" s="176" t="s">
        <v>866</v>
      </c>
      <c r="J307" s="177" t="s">
        <v>21</v>
      </c>
      <c r="K307" s="178">
        <f t="shared" si="25"/>
        <v>2447.0319715664677</v>
      </c>
      <c r="L307" s="176"/>
      <c r="M307" s="178">
        <v>2400</v>
      </c>
      <c r="O307" s="175"/>
      <c r="P307" s="175">
        <v>2541.3291547953268</v>
      </c>
      <c r="Q307" s="175"/>
      <c r="R307" s="175">
        <v>2447.0319715664677</v>
      </c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</row>
    <row r="308" spans="1:35" s="178" customFormat="1" x14ac:dyDescent="0.25">
      <c r="A308" s="176">
        <v>5</v>
      </c>
      <c r="B308" s="176"/>
      <c r="C308" s="176">
        <f t="shared" si="21"/>
        <v>28</v>
      </c>
      <c r="D308" s="176">
        <f t="shared" si="22"/>
        <v>27</v>
      </c>
      <c r="E308" s="176">
        <f t="shared" si="23"/>
        <v>17</v>
      </c>
      <c r="F308" s="176" t="str">
        <f t="shared" si="24"/>
        <v>pm</v>
      </c>
      <c r="G308" s="176" t="s">
        <v>326</v>
      </c>
      <c r="H308" s="176" t="s">
        <v>637</v>
      </c>
      <c r="I308" s="176" t="s">
        <v>325</v>
      </c>
      <c r="J308" s="177" t="s">
        <v>21</v>
      </c>
      <c r="K308" s="178">
        <f t="shared" si="25"/>
        <v>2385.4518972414598</v>
      </c>
      <c r="L308" s="176"/>
      <c r="M308" s="178">
        <v>2400</v>
      </c>
      <c r="O308" s="175"/>
      <c r="P308" s="175">
        <v>2525.1096133091269</v>
      </c>
      <c r="Q308" s="175"/>
      <c r="R308" s="175"/>
      <c r="S308" s="175"/>
      <c r="T308" s="175">
        <v>2385.4518972414598</v>
      </c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</row>
    <row r="309" spans="1:35" s="178" customFormat="1" x14ac:dyDescent="0.25">
      <c r="A309" s="176">
        <v>7</v>
      </c>
      <c r="B309" s="176"/>
      <c r="C309" s="176">
        <f t="shared" si="21"/>
        <v>29</v>
      </c>
      <c r="D309" s="176">
        <f t="shared" si="22"/>
        <v>27</v>
      </c>
      <c r="E309" s="176">
        <f t="shared" si="23"/>
        <v>17</v>
      </c>
      <c r="F309" s="176" t="str">
        <f t="shared" si="24"/>
        <v>pm</v>
      </c>
      <c r="G309" s="176" t="s">
        <v>333</v>
      </c>
      <c r="H309" s="176" t="s">
        <v>401</v>
      </c>
      <c r="I309" s="176" t="s">
        <v>332</v>
      </c>
      <c r="J309" s="177" t="s">
        <v>21</v>
      </c>
      <c r="K309" s="178">
        <f t="shared" si="25"/>
        <v>2303.7318480220224</v>
      </c>
      <c r="L309" s="176"/>
      <c r="M309" s="178">
        <v>2400</v>
      </c>
      <c r="P309" s="178">
        <v>2416.330453389638</v>
      </c>
      <c r="R309" s="178">
        <v>2338.5089997355412</v>
      </c>
      <c r="T309" s="178">
        <v>2303.7318480220224</v>
      </c>
      <c r="AH309" s="175"/>
      <c r="AI309" s="175"/>
    </row>
    <row r="310" spans="1:35" s="178" customFormat="1" x14ac:dyDescent="0.25">
      <c r="A310" s="176">
        <v>3</v>
      </c>
      <c r="B310" s="176"/>
      <c r="C310" s="176">
        <f t="shared" si="21"/>
        <v>30</v>
      </c>
      <c r="D310" s="176">
        <f t="shared" si="22"/>
        <v>27</v>
      </c>
      <c r="E310" s="176">
        <f t="shared" si="23"/>
        <v>17</v>
      </c>
      <c r="F310" s="176" t="str">
        <f t="shared" si="24"/>
        <v>pm</v>
      </c>
      <c r="G310" s="176" t="s">
        <v>867</v>
      </c>
      <c r="H310" s="176" t="s">
        <v>406</v>
      </c>
      <c r="I310" s="176" t="s">
        <v>868</v>
      </c>
      <c r="J310" s="177" t="s">
        <v>21</v>
      </c>
      <c r="K310" s="178">
        <f t="shared" si="25"/>
        <v>2438.5335285909896</v>
      </c>
      <c r="L310" s="176"/>
      <c r="M310" s="178">
        <v>2400</v>
      </c>
      <c r="P310" s="178">
        <v>2438.5335285909896</v>
      </c>
      <c r="AH310" s="175"/>
      <c r="AI310" s="175"/>
    </row>
    <row r="311" spans="1:35" s="178" customFormat="1" x14ac:dyDescent="0.25">
      <c r="A311" s="176">
        <v>6</v>
      </c>
      <c r="B311" s="176"/>
      <c r="C311" s="176">
        <f t="shared" si="21"/>
        <v>31</v>
      </c>
      <c r="D311" s="176">
        <f t="shared" si="22"/>
        <v>27</v>
      </c>
      <c r="E311" s="176">
        <f t="shared" si="23"/>
        <v>17</v>
      </c>
      <c r="F311" s="176" t="str">
        <f t="shared" si="24"/>
        <v>pm</v>
      </c>
      <c r="G311" s="176" t="s">
        <v>329</v>
      </c>
      <c r="H311" s="176" t="s">
        <v>392</v>
      </c>
      <c r="I311" s="176" t="s">
        <v>328</v>
      </c>
      <c r="J311" s="177" t="s">
        <v>21</v>
      </c>
      <c r="K311" s="178">
        <f t="shared" si="25"/>
        <v>2383.1397139572923</v>
      </c>
      <c r="L311" s="176"/>
      <c r="M311" s="178">
        <v>2400</v>
      </c>
      <c r="R311" s="178">
        <v>2397.9058130222679</v>
      </c>
      <c r="T311" s="178">
        <v>2383.1397139572923</v>
      </c>
      <c r="AH311" s="175"/>
      <c r="AI311" s="175"/>
    </row>
    <row r="312" spans="1:35" s="178" customFormat="1" x14ac:dyDescent="0.25">
      <c r="A312" s="176">
        <v>5</v>
      </c>
      <c r="B312" s="176"/>
      <c r="C312" s="176">
        <f t="shared" si="21"/>
        <v>32</v>
      </c>
      <c r="D312" s="176">
        <f t="shared" si="22"/>
        <v>27</v>
      </c>
      <c r="E312" s="176">
        <f t="shared" si="23"/>
        <v>17</v>
      </c>
      <c r="F312" s="176" t="str">
        <f t="shared" si="24"/>
        <v>pm</v>
      </c>
      <c r="G312" s="176" t="s">
        <v>869</v>
      </c>
      <c r="H312" s="176" t="s">
        <v>528</v>
      </c>
      <c r="I312" s="176" t="s">
        <v>870</v>
      </c>
      <c r="J312" s="177" t="s">
        <v>21</v>
      </c>
      <c r="K312" s="178">
        <f t="shared" si="25"/>
        <v>2249.8790654342693</v>
      </c>
      <c r="L312" s="176"/>
      <c r="M312" s="178">
        <v>2400</v>
      </c>
      <c r="R312" s="178">
        <v>2337.7028474617719</v>
      </c>
      <c r="T312" s="178">
        <v>2249.8790654342693</v>
      </c>
      <c r="AH312" s="175"/>
      <c r="AI312" s="175"/>
    </row>
    <row r="313" spans="1:35" s="178" customFormat="1" x14ac:dyDescent="0.25">
      <c r="A313" s="176">
        <v>4</v>
      </c>
      <c r="B313" s="176"/>
      <c r="C313" s="176">
        <f t="shared" si="21"/>
        <v>33</v>
      </c>
      <c r="D313" s="176">
        <f t="shared" si="22"/>
        <v>27</v>
      </c>
      <c r="E313" s="176">
        <f t="shared" si="23"/>
        <v>17</v>
      </c>
      <c r="F313" s="176" t="str">
        <f t="shared" si="24"/>
        <v>pm</v>
      </c>
      <c r="G313" s="176" t="s">
        <v>331</v>
      </c>
      <c r="H313" s="176" t="s">
        <v>393</v>
      </c>
      <c r="I313" s="176" t="s">
        <v>330</v>
      </c>
      <c r="J313" s="177" t="s">
        <v>21</v>
      </c>
      <c r="K313" s="178">
        <f t="shared" si="25"/>
        <v>2331.6658262868896</v>
      </c>
      <c r="L313" s="176"/>
      <c r="M313" s="178">
        <v>2400</v>
      </c>
      <c r="O313" s="175"/>
      <c r="P313" s="175"/>
      <c r="Q313" s="175"/>
      <c r="R313" s="175">
        <v>2344.6275487157213</v>
      </c>
      <c r="S313" s="175"/>
      <c r="T313" s="175">
        <v>2331.6658262868896</v>
      </c>
      <c r="U313" s="175"/>
      <c r="V313" s="175"/>
      <c r="W313" s="175"/>
      <c r="X313" s="175"/>
      <c r="Y313" s="175"/>
      <c r="Z313" s="175"/>
      <c r="AA313" s="175"/>
      <c r="AB313" s="175"/>
      <c r="AC313" s="175"/>
      <c r="AH313" s="175"/>
      <c r="AI313" s="175"/>
    </row>
    <row r="314" spans="1:35" s="178" customFormat="1" x14ac:dyDescent="0.25">
      <c r="A314" s="176">
        <v>1</v>
      </c>
      <c r="B314" s="176"/>
      <c r="C314" s="176">
        <f t="shared" si="21"/>
        <v>1</v>
      </c>
      <c r="D314" s="176">
        <f t="shared" si="22"/>
        <v>1</v>
      </c>
      <c r="E314" s="176">
        <f t="shared" si="23"/>
        <v>18</v>
      </c>
      <c r="F314" s="176" t="str">
        <f t="shared" si="24"/>
        <v>pmx</v>
      </c>
      <c r="G314" s="176" t="s">
        <v>871</v>
      </c>
      <c r="H314" s="176" t="s">
        <v>701</v>
      </c>
      <c r="I314" s="176" t="s">
        <v>872</v>
      </c>
      <c r="J314" s="177" t="s">
        <v>22</v>
      </c>
      <c r="K314" s="178">
        <f t="shared" si="25"/>
        <v>2910.1931858597623</v>
      </c>
      <c r="L314" s="176"/>
      <c r="M314" s="178">
        <v>3000</v>
      </c>
      <c r="O314" s="175"/>
      <c r="P314" s="175"/>
      <c r="Q314" s="175"/>
      <c r="R314" s="175"/>
      <c r="S314" s="175">
        <v>2910.1931858597623</v>
      </c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</row>
    <row r="315" spans="1:35" s="178" customFormat="1" x14ac:dyDescent="0.25">
      <c r="A315" s="176">
        <v>1</v>
      </c>
      <c r="B315" s="176"/>
      <c r="C315" s="176">
        <f t="shared" si="21"/>
        <v>2</v>
      </c>
      <c r="D315" s="176">
        <f t="shared" si="22"/>
        <v>1</v>
      </c>
      <c r="E315" s="176">
        <f t="shared" si="23"/>
        <v>18</v>
      </c>
      <c r="F315" s="176" t="str">
        <f t="shared" si="24"/>
        <v>pmx</v>
      </c>
      <c r="G315" s="176" t="s">
        <v>873</v>
      </c>
      <c r="H315" s="176" t="s">
        <v>362</v>
      </c>
      <c r="I315" s="176" t="s">
        <v>874</v>
      </c>
      <c r="J315" s="177" t="s">
        <v>22</v>
      </c>
      <c r="K315" s="178">
        <f t="shared" si="25"/>
        <v>3000</v>
      </c>
      <c r="L315" s="176"/>
      <c r="M315" s="178">
        <v>3000</v>
      </c>
      <c r="AH315" s="175"/>
      <c r="AI315" s="175"/>
    </row>
    <row r="316" spans="1:35" s="178" customFormat="1" x14ac:dyDescent="0.25">
      <c r="A316" s="176">
        <v>2</v>
      </c>
      <c r="B316" s="176"/>
      <c r="C316" s="176">
        <f t="shared" si="21"/>
        <v>3</v>
      </c>
      <c r="D316" s="176">
        <f t="shared" si="22"/>
        <v>1</v>
      </c>
      <c r="E316" s="176">
        <f t="shared" si="23"/>
        <v>18</v>
      </c>
      <c r="F316" s="176" t="str">
        <f t="shared" si="24"/>
        <v>pm</v>
      </c>
      <c r="G316" s="176" t="s">
        <v>875</v>
      </c>
      <c r="H316" s="176" t="s">
        <v>461</v>
      </c>
      <c r="I316" s="176" t="s">
        <v>876</v>
      </c>
      <c r="J316" s="177" t="s">
        <v>22</v>
      </c>
      <c r="K316" s="178">
        <f t="shared" si="25"/>
        <v>2931.3411210443674</v>
      </c>
      <c r="L316" s="176"/>
      <c r="M316" s="178">
        <v>3000</v>
      </c>
      <c r="O316" s="178">
        <v>2931.3411210443674</v>
      </c>
      <c r="AH316" s="175"/>
      <c r="AI316" s="175"/>
    </row>
    <row r="317" spans="1:35" s="178" customFormat="1" x14ac:dyDescent="0.25">
      <c r="A317" s="176"/>
      <c r="B317" s="176"/>
      <c r="C317" s="176">
        <f t="shared" si="21"/>
        <v>4</v>
      </c>
      <c r="D317" s="176">
        <f t="shared" si="22"/>
        <v>1</v>
      </c>
      <c r="E317" s="176">
        <f t="shared" si="23"/>
        <v>18</v>
      </c>
      <c r="F317" s="176" t="str">
        <f t="shared" si="24"/>
        <v>crx</v>
      </c>
      <c r="G317" s="176" t="s">
        <v>877</v>
      </c>
      <c r="H317" s="176"/>
      <c r="I317" s="176" t="s">
        <v>878</v>
      </c>
      <c r="J317" s="177" t="s">
        <v>22</v>
      </c>
      <c r="K317" s="178">
        <f t="shared" si="25"/>
        <v>2905.1897231891221</v>
      </c>
      <c r="L317" s="176"/>
      <c r="M317" s="178">
        <v>3000</v>
      </c>
      <c r="O317" s="175">
        <v>2905.1897231891221</v>
      </c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H317" s="175"/>
      <c r="AI317" s="175"/>
    </row>
    <row r="318" spans="1:35" s="178" customFormat="1" x14ac:dyDescent="0.25">
      <c r="A318" s="176">
        <v>2</v>
      </c>
      <c r="B318" s="176"/>
      <c r="C318" s="176">
        <f t="shared" si="21"/>
        <v>5</v>
      </c>
      <c r="D318" s="176">
        <f t="shared" si="22"/>
        <v>1</v>
      </c>
      <c r="E318" s="176">
        <f t="shared" si="23"/>
        <v>18</v>
      </c>
      <c r="F318" s="176" t="str">
        <f t="shared" si="24"/>
        <v>pm</v>
      </c>
      <c r="G318" s="176" t="s">
        <v>879</v>
      </c>
      <c r="H318" s="176" t="s">
        <v>355</v>
      </c>
      <c r="I318" s="176" t="s">
        <v>880</v>
      </c>
      <c r="J318" s="177" t="s">
        <v>22</v>
      </c>
      <c r="K318" s="178">
        <f t="shared" si="25"/>
        <v>2948.6084253075928</v>
      </c>
      <c r="L318" s="176"/>
      <c r="M318" s="178">
        <v>3000</v>
      </c>
      <c r="O318" s="178">
        <v>2948.6084253075928</v>
      </c>
      <c r="AH318" s="175"/>
      <c r="AI318" s="175"/>
    </row>
    <row r="319" spans="1:35" s="178" customFormat="1" x14ac:dyDescent="0.25">
      <c r="A319" s="176">
        <v>1</v>
      </c>
      <c r="B319" s="176"/>
      <c r="C319" s="176">
        <f t="shared" si="21"/>
        <v>6</v>
      </c>
      <c r="D319" s="176">
        <f t="shared" si="22"/>
        <v>1</v>
      </c>
      <c r="E319" s="176">
        <f t="shared" si="23"/>
        <v>18</v>
      </c>
      <c r="F319" s="176" t="str">
        <f t="shared" si="24"/>
        <v>pmx</v>
      </c>
      <c r="G319" s="176" t="s">
        <v>881</v>
      </c>
      <c r="H319" s="176" t="s">
        <v>410</v>
      </c>
      <c r="I319" s="176" t="s">
        <v>882</v>
      </c>
      <c r="J319" s="177" t="s">
        <v>22</v>
      </c>
      <c r="K319" s="178">
        <f t="shared" si="25"/>
        <v>3000</v>
      </c>
      <c r="L319" s="176"/>
      <c r="M319" s="178">
        <v>3000</v>
      </c>
      <c r="AH319" s="175"/>
      <c r="AI319" s="175"/>
    </row>
    <row r="320" spans="1:35" s="178" customFormat="1" x14ac:dyDescent="0.25">
      <c r="A320" s="176">
        <v>5</v>
      </c>
      <c r="B320" s="176"/>
      <c r="C320" s="176">
        <f t="shared" si="21"/>
        <v>7</v>
      </c>
      <c r="D320" s="176">
        <f t="shared" si="22"/>
        <v>1</v>
      </c>
      <c r="E320" s="176">
        <f t="shared" si="23"/>
        <v>18</v>
      </c>
      <c r="F320" s="176" t="str">
        <f t="shared" si="24"/>
        <v>pm</v>
      </c>
      <c r="G320" s="176" t="s">
        <v>883</v>
      </c>
      <c r="H320" s="176" t="s">
        <v>783</v>
      </c>
      <c r="I320" s="176" t="s">
        <v>884</v>
      </c>
      <c r="J320" s="177" t="s">
        <v>22</v>
      </c>
      <c r="K320" s="178">
        <f t="shared" si="25"/>
        <v>2926.6317320617309</v>
      </c>
      <c r="L320" s="176"/>
      <c r="M320" s="178">
        <v>3000</v>
      </c>
      <c r="O320" s="178">
        <v>2926.6317320617309</v>
      </c>
      <c r="AH320" s="175"/>
      <c r="AI320" s="175"/>
    </row>
    <row r="321" spans="1:35" s="178" customFormat="1" x14ac:dyDescent="0.25">
      <c r="A321" s="176">
        <v>4</v>
      </c>
      <c r="B321" s="176"/>
      <c r="C321" s="176">
        <f t="shared" si="21"/>
        <v>8</v>
      </c>
      <c r="D321" s="176">
        <f t="shared" si="22"/>
        <v>1</v>
      </c>
      <c r="E321" s="176">
        <f t="shared" si="23"/>
        <v>18</v>
      </c>
      <c r="F321" s="176" t="str">
        <f t="shared" si="24"/>
        <v>pm</v>
      </c>
      <c r="G321" s="176" t="s">
        <v>885</v>
      </c>
      <c r="H321" s="176" t="s">
        <v>886</v>
      </c>
      <c r="I321" s="176" t="s">
        <v>887</v>
      </c>
      <c r="J321" s="177" t="s">
        <v>22</v>
      </c>
      <c r="K321" s="178">
        <f t="shared" si="25"/>
        <v>3032.3841640874152</v>
      </c>
      <c r="L321" s="176"/>
      <c r="M321" s="178">
        <v>3000</v>
      </c>
      <c r="O321" s="178">
        <v>3032.3841640874152</v>
      </c>
      <c r="AH321" s="175"/>
      <c r="AI321" s="175"/>
    </row>
    <row r="322" spans="1:35" s="178" customFormat="1" x14ac:dyDescent="0.25">
      <c r="A322" s="176">
        <v>7</v>
      </c>
      <c r="B322" s="176"/>
      <c r="C322" s="176">
        <f t="shared" ref="C322:C340" si="26">IF(E322=E321,C321+1,1)</f>
        <v>9</v>
      </c>
      <c r="D322" s="176">
        <f t="shared" ref="D322:D340" si="27">IF(M322=M321,D321,C322)</f>
        <v>1</v>
      </c>
      <c r="E322" s="176">
        <f t="shared" ref="E322:E340" si="28">10+VALUE(RIGHT(LEFT(G322,3),1))</f>
        <v>18</v>
      </c>
      <c r="F322" s="176" t="str">
        <f t="shared" ref="F322:F340" si="29">RIGHT(G322,2) &amp; IF(A322&lt;2,"x","")</f>
        <v>pm</v>
      </c>
      <c r="G322" s="176" t="s">
        <v>888</v>
      </c>
      <c r="H322" s="176" t="s">
        <v>368</v>
      </c>
      <c r="I322" s="176" t="s">
        <v>889</v>
      </c>
      <c r="J322" s="177" t="s">
        <v>22</v>
      </c>
      <c r="K322" s="178">
        <f t="shared" ref="K322:K340" si="30">LOOKUP(1E+100,M322:AC322)</f>
        <v>2955.2831566080927</v>
      </c>
      <c r="L322" s="176"/>
      <c r="M322" s="178">
        <v>3000</v>
      </c>
      <c r="O322" s="178">
        <v>2961.5530975568113</v>
      </c>
      <c r="Q322" s="178">
        <v>3046.1529835455331</v>
      </c>
      <c r="S322" s="178">
        <v>2955.2831566080927</v>
      </c>
      <c r="AH322" s="175"/>
      <c r="AI322" s="175"/>
    </row>
    <row r="323" spans="1:35" s="178" customFormat="1" x14ac:dyDescent="0.25">
      <c r="A323" s="176">
        <v>2</v>
      </c>
      <c r="B323" s="176"/>
      <c r="C323" s="176">
        <f t="shared" si="26"/>
        <v>10</v>
      </c>
      <c r="D323" s="176">
        <f t="shared" si="27"/>
        <v>1</v>
      </c>
      <c r="E323" s="176">
        <f t="shared" si="28"/>
        <v>18</v>
      </c>
      <c r="F323" s="176" t="str">
        <f t="shared" si="29"/>
        <v>pm</v>
      </c>
      <c r="G323" s="176" t="s">
        <v>890</v>
      </c>
      <c r="H323" s="176" t="s">
        <v>567</v>
      </c>
      <c r="I323" s="176" t="s">
        <v>891</v>
      </c>
      <c r="J323" s="177" t="s">
        <v>22</v>
      </c>
      <c r="K323" s="178">
        <f t="shared" si="30"/>
        <v>2935.1707127088944</v>
      </c>
      <c r="L323" s="176"/>
      <c r="M323" s="178">
        <v>3000</v>
      </c>
      <c r="O323" s="178">
        <v>2935.1707127088944</v>
      </c>
      <c r="AH323" s="175"/>
      <c r="AI323" s="175"/>
    </row>
    <row r="324" spans="1:35" s="178" customFormat="1" x14ac:dyDescent="0.25">
      <c r="A324" s="176">
        <v>2</v>
      </c>
      <c r="B324" s="176"/>
      <c r="C324" s="176">
        <f t="shared" si="26"/>
        <v>11</v>
      </c>
      <c r="D324" s="176">
        <f t="shared" si="27"/>
        <v>1</v>
      </c>
      <c r="E324" s="176">
        <f t="shared" si="28"/>
        <v>18</v>
      </c>
      <c r="F324" s="176" t="str">
        <f t="shared" si="29"/>
        <v>pm</v>
      </c>
      <c r="G324" s="176" t="s">
        <v>892</v>
      </c>
      <c r="H324" s="176" t="s">
        <v>387</v>
      </c>
      <c r="I324" s="176" t="s">
        <v>893</v>
      </c>
      <c r="J324" s="177" t="s">
        <v>22</v>
      </c>
      <c r="K324" s="178">
        <f t="shared" si="30"/>
        <v>3000</v>
      </c>
      <c r="L324" s="176"/>
      <c r="M324" s="178">
        <v>3000</v>
      </c>
      <c r="AH324" s="175"/>
      <c r="AI324" s="175"/>
    </row>
    <row r="325" spans="1:35" s="178" customFormat="1" x14ac:dyDescent="0.25">
      <c r="A325" s="176">
        <v>3</v>
      </c>
      <c r="B325" s="176"/>
      <c r="C325" s="176">
        <f t="shared" si="26"/>
        <v>12</v>
      </c>
      <c r="D325" s="176">
        <f t="shared" si="27"/>
        <v>1</v>
      </c>
      <c r="E325" s="176">
        <f t="shared" si="28"/>
        <v>18</v>
      </c>
      <c r="F325" s="176" t="str">
        <f t="shared" si="29"/>
        <v>pm</v>
      </c>
      <c r="G325" s="176" t="s">
        <v>894</v>
      </c>
      <c r="H325" s="176" t="s">
        <v>387</v>
      </c>
      <c r="I325" s="176" t="s">
        <v>895</v>
      </c>
      <c r="J325" s="177" t="s">
        <v>22</v>
      </c>
      <c r="K325" s="178">
        <f t="shared" si="30"/>
        <v>2951.9748898787816</v>
      </c>
      <c r="L325" s="176"/>
      <c r="M325" s="178">
        <v>3000</v>
      </c>
      <c r="S325" s="178">
        <v>2951.9748898787816</v>
      </c>
      <c r="AH325" s="175"/>
      <c r="AI325" s="175"/>
    </row>
    <row r="326" spans="1:35" x14ac:dyDescent="0.25">
      <c r="A326" s="176">
        <v>2</v>
      </c>
      <c r="B326" s="176"/>
      <c r="C326" s="176">
        <f t="shared" si="26"/>
        <v>13</v>
      </c>
      <c r="D326" s="176">
        <f t="shared" si="27"/>
        <v>1</v>
      </c>
      <c r="E326" s="176">
        <f t="shared" si="28"/>
        <v>18</v>
      </c>
      <c r="F326" s="176" t="str">
        <f t="shared" si="29"/>
        <v>pm</v>
      </c>
      <c r="G326" s="176" t="s">
        <v>896</v>
      </c>
      <c r="H326" s="176" t="s">
        <v>454</v>
      </c>
      <c r="I326" s="176" t="s">
        <v>897</v>
      </c>
      <c r="J326" s="177" t="s">
        <v>22</v>
      </c>
      <c r="K326" s="178">
        <f t="shared" si="30"/>
        <v>2883.1952269491931</v>
      </c>
      <c r="L326" s="176"/>
      <c r="M326" s="178">
        <v>3000</v>
      </c>
      <c r="O326" s="178">
        <v>2883.1952269491931</v>
      </c>
      <c r="P326" s="178"/>
      <c r="Q326" s="178"/>
      <c r="R326" s="178"/>
      <c r="S326" s="178"/>
      <c r="T326" s="178"/>
      <c r="U326" s="178"/>
      <c r="V326" s="178"/>
      <c r="W326" s="178"/>
      <c r="X326" s="178"/>
      <c r="Y326" s="178"/>
      <c r="Z326" s="178"/>
      <c r="AA326" s="178"/>
      <c r="AB326" s="178"/>
      <c r="AC326" s="178"/>
      <c r="AD326" s="178"/>
      <c r="AE326" s="178"/>
      <c r="AF326" s="178"/>
      <c r="AG326" s="178"/>
    </row>
    <row r="327" spans="1:35" s="178" customFormat="1" x14ac:dyDescent="0.25">
      <c r="A327" s="176">
        <v>1</v>
      </c>
      <c r="B327" s="176"/>
      <c r="C327" s="176">
        <f t="shared" si="26"/>
        <v>14</v>
      </c>
      <c r="D327" s="176">
        <f t="shared" si="27"/>
        <v>1</v>
      </c>
      <c r="E327" s="176">
        <f t="shared" si="28"/>
        <v>18</v>
      </c>
      <c r="F327" s="176" t="str">
        <f t="shared" si="29"/>
        <v>pmx</v>
      </c>
      <c r="G327" s="176" t="s">
        <v>898</v>
      </c>
      <c r="H327" s="176" t="s">
        <v>352</v>
      </c>
      <c r="I327" s="176" t="s">
        <v>899</v>
      </c>
      <c r="J327" s="177" t="s">
        <v>22</v>
      </c>
      <c r="K327" s="178">
        <f t="shared" si="30"/>
        <v>3000</v>
      </c>
      <c r="L327" s="176"/>
      <c r="M327" s="178">
        <v>3000</v>
      </c>
      <c r="AH327" s="175"/>
      <c r="AI327" s="175"/>
    </row>
    <row r="328" spans="1:35" s="178" customFormat="1" x14ac:dyDescent="0.25">
      <c r="A328" s="176"/>
      <c r="B328" s="176"/>
      <c r="C328" s="176">
        <f t="shared" si="26"/>
        <v>15</v>
      </c>
      <c r="D328" s="176">
        <f t="shared" si="27"/>
        <v>1</v>
      </c>
      <c r="E328" s="176">
        <f t="shared" si="28"/>
        <v>18</v>
      </c>
      <c r="F328" s="176" t="str">
        <f t="shared" si="29"/>
        <v>crx</v>
      </c>
      <c r="G328" s="176" t="s">
        <v>900</v>
      </c>
      <c r="H328" s="176"/>
      <c r="I328" s="176" t="s">
        <v>901</v>
      </c>
      <c r="J328" s="177" t="s">
        <v>22</v>
      </c>
      <c r="K328" s="178">
        <f t="shared" si="30"/>
        <v>3011.2870081310043</v>
      </c>
      <c r="L328" s="176"/>
      <c r="M328" s="178">
        <v>3000</v>
      </c>
      <c r="O328" s="175">
        <v>3011.2870081310043</v>
      </c>
      <c r="P328" s="175"/>
      <c r="Q328" s="175"/>
      <c r="R328" s="175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H328" s="175"/>
      <c r="AI328" s="175"/>
    </row>
    <row r="329" spans="1:35" s="178" customFormat="1" x14ac:dyDescent="0.25">
      <c r="A329" s="176">
        <v>3</v>
      </c>
      <c r="B329" s="176"/>
      <c r="C329" s="176">
        <f t="shared" si="26"/>
        <v>16</v>
      </c>
      <c r="D329" s="176">
        <f t="shared" si="27"/>
        <v>1</v>
      </c>
      <c r="E329" s="176">
        <f t="shared" si="28"/>
        <v>18</v>
      </c>
      <c r="F329" s="176" t="str">
        <f t="shared" si="29"/>
        <v>pm</v>
      </c>
      <c r="G329" s="176" t="s">
        <v>902</v>
      </c>
      <c r="H329" s="176" t="s">
        <v>694</v>
      </c>
      <c r="I329" s="176" t="s">
        <v>903</v>
      </c>
      <c r="J329" s="177" t="s">
        <v>22</v>
      </c>
      <c r="K329" s="178">
        <f t="shared" si="30"/>
        <v>3073.5430014703875</v>
      </c>
      <c r="L329" s="176"/>
      <c r="M329" s="178">
        <v>3000</v>
      </c>
      <c r="O329" s="178">
        <v>3073.5430014703875</v>
      </c>
      <c r="AH329" s="175"/>
      <c r="AI329" s="175"/>
    </row>
    <row r="330" spans="1:35" s="178" customFormat="1" x14ac:dyDescent="0.25">
      <c r="A330" s="176">
        <v>3</v>
      </c>
      <c r="B330" s="176"/>
      <c r="C330" s="176">
        <f t="shared" si="26"/>
        <v>17</v>
      </c>
      <c r="D330" s="176">
        <f t="shared" si="27"/>
        <v>1</v>
      </c>
      <c r="E330" s="176">
        <f t="shared" si="28"/>
        <v>18</v>
      </c>
      <c r="F330" s="176" t="str">
        <f t="shared" si="29"/>
        <v>pm</v>
      </c>
      <c r="G330" s="176" t="s">
        <v>904</v>
      </c>
      <c r="H330" s="176" t="s">
        <v>694</v>
      </c>
      <c r="I330" s="176" t="s">
        <v>905</v>
      </c>
      <c r="J330" s="177" t="s">
        <v>22</v>
      </c>
      <c r="K330" s="178">
        <f t="shared" si="30"/>
        <v>2827.8864358589581</v>
      </c>
      <c r="L330" s="176"/>
      <c r="M330" s="178">
        <v>3000</v>
      </c>
      <c r="O330" s="178">
        <v>2827.8864358589581</v>
      </c>
      <c r="AH330" s="175"/>
      <c r="AI330" s="175"/>
    </row>
    <row r="331" spans="1:35" s="178" customFormat="1" x14ac:dyDescent="0.25">
      <c r="A331" s="176">
        <v>5</v>
      </c>
      <c r="B331" s="176"/>
      <c r="C331" s="176">
        <f t="shared" si="26"/>
        <v>18</v>
      </c>
      <c r="D331" s="176">
        <f t="shared" si="27"/>
        <v>18</v>
      </c>
      <c r="E331" s="176">
        <f t="shared" si="28"/>
        <v>18</v>
      </c>
      <c r="F331" s="176" t="str">
        <f t="shared" si="29"/>
        <v>pm</v>
      </c>
      <c r="G331" s="176" t="s">
        <v>906</v>
      </c>
      <c r="H331" s="176" t="s">
        <v>392</v>
      </c>
      <c r="I331" s="176" t="s">
        <v>907</v>
      </c>
      <c r="J331" s="177" t="s">
        <v>22</v>
      </c>
      <c r="K331" s="178">
        <f t="shared" si="30"/>
        <v>2856.7353094689088</v>
      </c>
      <c r="L331" s="176"/>
      <c r="M331" s="178">
        <v>2920</v>
      </c>
      <c r="T331" s="178">
        <v>2856.7353094689088</v>
      </c>
      <c r="AH331" s="175"/>
      <c r="AI331" s="175"/>
    </row>
    <row r="332" spans="1:35" s="178" customFormat="1" x14ac:dyDescent="0.25">
      <c r="A332" s="176">
        <v>3</v>
      </c>
      <c r="B332" s="176"/>
      <c r="C332" s="176">
        <f t="shared" si="26"/>
        <v>19</v>
      </c>
      <c r="D332" s="176">
        <f t="shared" si="27"/>
        <v>19</v>
      </c>
      <c r="E332" s="176">
        <f t="shared" si="28"/>
        <v>18</v>
      </c>
      <c r="F332" s="176" t="str">
        <f t="shared" si="29"/>
        <v>pm</v>
      </c>
      <c r="G332" s="176" t="s">
        <v>908</v>
      </c>
      <c r="H332" s="176" t="s">
        <v>515</v>
      </c>
      <c r="I332" s="176" t="s">
        <v>909</v>
      </c>
      <c r="J332" s="177" t="s">
        <v>22</v>
      </c>
      <c r="K332" s="178">
        <f t="shared" si="30"/>
        <v>2909.4290210334657</v>
      </c>
      <c r="L332" s="176"/>
      <c r="M332" s="178">
        <v>2866.6666666666665</v>
      </c>
      <c r="Q332" s="178">
        <v>2901.9683293212579</v>
      </c>
      <c r="R332" s="178">
        <v>2909.4290210334657</v>
      </c>
      <c r="AH332" s="175"/>
      <c r="AI332" s="175"/>
    </row>
    <row r="333" spans="1:35" s="178" customFormat="1" x14ac:dyDescent="0.25">
      <c r="A333" s="176">
        <v>2</v>
      </c>
      <c r="B333" s="176"/>
      <c r="C333" s="176">
        <f t="shared" si="26"/>
        <v>20</v>
      </c>
      <c r="D333" s="176">
        <f t="shared" si="27"/>
        <v>20</v>
      </c>
      <c r="E333" s="176">
        <f t="shared" si="28"/>
        <v>18</v>
      </c>
      <c r="F333" s="176" t="str">
        <f t="shared" si="29"/>
        <v>pm</v>
      </c>
      <c r="G333" s="176" t="s">
        <v>910</v>
      </c>
      <c r="H333" s="176" t="s">
        <v>614</v>
      </c>
      <c r="I333" s="176" t="s">
        <v>911</v>
      </c>
      <c r="J333" s="177" t="s">
        <v>22</v>
      </c>
      <c r="K333" s="178">
        <f t="shared" si="30"/>
        <v>2800</v>
      </c>
      <c r="L333" s="176"/>
      <c r="M333" s="178">
        <v>2800</v>
      </c>
      <c r="AH333" s="175"/>
      <c r="AI333" s="175"/>
    </row>
    <row r="334" spans="1:35" s="178" customFormat="1" x14ac:dyDescent="0.25">
      <c r="A334" s="176"/>
      <c r="B334" s="176"/>
      <c r="C334" s="176">
        <f t="shared" si="26"/>
        <v>21</v>
      </c>
      <c r="D334" s="176">
        <f t="shared" si="27"/>
        <v>21</v>
      </c>
      <c r="E334" s="176">
        <f t="shared" si="28"/>
        <v>18</v>
      </c>
      <c r="F334" s="176" t="str">
        <f t="shared" si="29"/>
        <v>odx</v>
      </c>
      <c r="G334" s="176" t="s">
        <v>912</v>
      </c>
      <c r="H334" s="176"/>
      <c r="I334" s="176" t="s">
        <v>913</v>
      </c>
      <c r="J334" s="177" t="s">
        <v>21</v>
      </c>
      <c r="K334" s="178">
        <f t="shared" si="30"/>
        <v>2602.9185670807669</v>
      </c>
      <c r="L334" s="176"/>
      <c r="M334" s="178">
        <v>2600</v>
      </c>
      <c r="O334" s="175"/>
      <c r="P334" s="175">
        <v>2602.9185670807669</v>
      </c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H334" s="175"/>
      <c r="AI334" s="175"/>
    </row>
    <row r="335" spans="1:35" s="178" customFormat="1" x14ac:dyDescent="0.25">
      <c r="A335" s="176">
        <v>6</v>
      </c>
      <c r="B335" s="176"/>
      <c r="C335" s="176">
        <f t="shared" si="26"/>
        <v>22</v>
      </c>
      <c r="D335" s="176">
        <f t="shared" si="27"/>
        <v>21</v>
      </c>
      <c r="E335" s="176">
        <f t="shared" si="28"/>
        <v>18</v>
      </c>
      <c r="F335" s="176" t="str">
        <f t="shared" si="29"/>
        <v>pm</v>
      </c>
      <c r="G335" s="176" t="s">
        <v>914</v>
      </c>
      <c r="H335" s="176" t="s">
        <v>798</v>
      </c>
      <c r="I335" s="176" t="s">
        <v>915</v>
      </c>
      <c r="J335" s="177" t="s">
        <v>21</v>
      </c>
      <c r="K335" s="178">
        <f t="shared" si="30"/>
        <v>2553.4369337621843</v>
      </c>
      <c r="L335" s="176"/>
      <c r="M335" s="178">
        <v>2600</v>
      </c>
      <c r="O335" s="175"/>
      <c r="P335" s="175">
        <v>2574.5250405208717</v>
      </c>
      <c r="Q335" s="175"/>
      <c r="R335" s="175">
        <v>2596.2496974466353</v>
      </c>
      <c r="S335" s="175"/>
      <c r="T335" s="175">
        <v>2553.4369337621843</v>
      </c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</row>
    <row r="336" spans="1:35" s="178" customFormat="1" x14ac:dyDescent="0.25">
      <c r="A336" s="176">
        <v>5</v>
      </c>
      <c r="B336" s="176"/>
      <c r="C336" s="176">
        <f t="shared" si="26"/>
        <v>23</v>
      </c>
      <c r="D336" s="176">
        <f t="shared" si="27"/>
        <v>21</v>
      </c>
      <c r="E336" s="176">
        <f t="shared" si="28"/>
        <v>18</v>
      </c>
      <c r="F336" s="176" t="str">
        <f t="shared" si="29"/>
        <v>pm</v>
      </c>
      <c r="G336" s="176" t="s">
        <v>916</v>
      </c>
      <c r="H336" s="176" t="s">
        <v>701</v>
      </c>
      <c r="I336" s="176" t="s">
        <v>917</v>
      </c>
      <c r="J336" s="177" t="s">
        <v>21</v>
      </c>
      <c r="K336" s="178">
        <f t="shared" si="30"/>
        <v>2473.7158443350222</v>
      </c>
      <c r="L336" s="176"/>
      <c r="M336" s="178">
        <v>2600</v>
      </c>
      <c r="O336" s="175"/>
      <c r="P336" s="175">
        <v>2557.8851549220831</v>
      </c>
      <c r="Q336" s="175"/>
      <c r="R336" s="175">
        <v>2473.7158443350222</v>
      </c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</row>
    <row r="337" spans="1:35" s="178" customFormat="1" x14ac:dyDescent="0.25">
      <c r="A337" s="176">
        <v>6</v>
      </c>
      <c r="B337" s="176"/>
      <c r="C337" s="176">
        <f t="shared" si="26"/>
        <v>24</v>
      </c>
      <c r="D337" s="176">
        <f t="shared" si="27"/>
        <v>21</v>
      </c>
      <c r="E337" s="176">
        <f t="shared" si="28"/>
        <v>18</v>
      </c>
      <c r="F337" s="176" t="str">
        <f t="shared" si="29"/>
        <v>pm</v>
      </c>
      <c r="G337" s="176" t="s">
        <v>918</v>
      </c>
      <c r="H337" s="176" t="s">
        <v>615</v>
      </c>
      <c r="I337" s="176" t="s">
        <v>919</v>
      </c>
      <c r="J337" s="177" t="s">
        <v>21</v>
      </c>
      <c r="K337" s="178">
        <f t="shared" si="30"/>
        <v>2433.6821061109645</v>
      </c>
      <c r="L337" s="176"/>
      <c r="M337" s="178">
        <v>2600</v>
      </c>
      <c r="P337" s="178">
        <v>2514.7294899987492</v>
      </c>
      <c r="R337" s="178">
        <v>2509.4195548725629</v>
      </c>
      <c r="T337" s="178">
        <v>2433.6821061109645</v>
      </c>
      <c r="AH337" s="175"/>
      <c r="AI337" s="175"/>
    </row>
    <row r="338" spans="1:35" s="178" customFormat="1" x14ac:dyDescent="0.25">
      <c r="A338" s="176"/>
      <c r="B338" s="176"/>
      <c r="C338" s="176">
        <f t="shared" si="26"/>
        <v>25</v>
      </c>
      <c r="D338" s="176">
        <f t="shared" si="27"/>
        <v>21</v>
      </c>
      <c r="E338" s="176">
        <f t="shared" si="28"/>
        <v>18</v>
      </c>
      <c r="F338" s="176" t="str">
        <f t="shared" si="29"/>
        <v>crx</v>
      </c>
      <c r="G338" s="176" t="s">
        <v>920</v>
      </c>
      <c r="H338" s="176"/>
      <c r="I338" s="176" t="s">
        <v>921</v>
      </c>
      <c r="J338" s="177" t="s">
        <v>21</v>
      </c>
      <c r="K338" s="178">
        <f t="shared" si="30"/>
        <v>2400.0726824600274</v>
      </c>
      <c r="L338" s="176"/>
      <c r="M338" s="178">
        <v>2600</v>
      </c>
      <c r="O338" s="175"/>
      <c r="P338" s="175">
        <v>2475.4152379667557</v>
      </c>
      <c r="Q338" s="175"/>
      <c r="R338" s="175">
        <v>2472.4288388686223</v>
      </c>
      <c r="S338" s="175">
        <v>2400.0726824600274</v>
      </c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H338" s="175"/>
      <c r="AI338" s="175"/>
    </row>
    <row r="339" spans="1:35" s="178" customFormat="1" x14ac:dyDescent="0.25">
      <c r="A339" s="176">
        <v>4</v>
      </c>
      <c r="B339" s="176"/>
      <c r="C339" s="176">
        <f t="shared" si="26"/>
        <v>26</v>
      </c>
      <c r="D339" s="176">
        <f t="shared" si="27"/>
        <v>21</v>
      </c>
      <c r="E339" s="176">
        <f t="shared" si="28"/>
        <v>18</v>
      </c>
      <c r="F339" s="176" t="str">
        <f t="shared" si="29"/>
        <v>pm</v>
      </c>
      <c r="G339" s="176" t="s">
        <v>922</v>
      </c>
      <c r="H339" s="176" t="s">
        <v>715</v>
      </c>
      <c r="I339" s="176" t="s">
        <v>923</v>
      </c>
      <c r="J339" s="177" t="s">
        <v>21</v>
      </c>
      <c r="K339" s="178">
        <f t="shared" si="30"/>
        <v>2553.2237594256922</v>
      </c>
      <c r="L339" s="176"/>
      <c r="M339" s="178">
        <v>2600</v>
      </c>
      <c r="P339" s="178">
        <v>2553.2237594256922</v>
      </c>
      <c r="AH339" s="175"/>
      <c r="AI339" s="175"/>
    </row>
    <row r="340" spans="1:35" s="178" customFormat="1" x14ac:dyDescent="0.25">
      <c r="A340" s="176">
        <v>5</v>
      </c>
      <c r="B340" s="176"/>
      <c r="C340" s="176">
        <f t="shared" si="26"/>
        <v>27</v>
      </c>
      <c r="D340" s="176">
        <f t="shared" si="27"/>
        <v>21</v>
      </c>
      <c r="E340" s="176">
        <f t="shared" si="28"/>
        <v>18</v>
      </c>
      <c r="F340" s="176" t="str">
        <f t="shared" si="29"/>
        <v>pm</v>
      </c>
      <c r="G340" s="176" t="s">
        <v>924</v>
      </c>
      <c r="H340" s="176" t="s">
        <v>528</v>
      </c>
      <c r="I340" s="176" t="s">
        <v>925</v>
      </c>
      <c r="J340" s="177" t="s">
        <v>21</v>
      </c>
      <c r="K340" s="178">
        <f t="shared" si="30"/>
        <v>2524.5863454487444</v>
      </c>
      <c r="L340" s="176"/>
      <c r="M340" s="178">
        <v>2600</v>
      </c>
      <c r="R340" s="178">
        <v>2578.5617945802783</v>
      </c>
      <c r="T340" s="178">
        <v>2524.5863454487444</v>
      </c>
      <c r="AH340" s="175"/>
      <c r="AI340" s="175"/>
    </row>
    <row r="342" spans="1:35" s="178" customFormat="1" x14ac:dyDescent="0.25">
      <c r="A342" s="176"/>
      <c r="B342" s="176"/>
      <c r="C342" s="176">
        <f t="shared" ref="C342:C354" si="31">IF(E342=E341,C341+1,1)</f>
        <v>1</v>
      </c>
      <c r="D342" s="176">
        <f t="shared" ref="D342:D354" si="32">IF(M342=M341,D341,C342)</f>
        <v>1</v>
      </c>
      <c r="E342" s="176">
        <f t="shared" ref="E342:E354" si="33">10+VALUE(RIGHT(LEFT(G342,3),1))</f>
        <v>12</v>
      </c>
      <c r="F342" s="176" t="str">
        <f t="shared" ref="F342:F354" si="34">RIGHT(G342,2) &amp; IF(A342&lt;2,"x","")</f>
        <v>crx</v>
      </c>
      <c r="G342" s="176" t="s">
        <v>926</v>
      </c>
      <c r="H342" s="176"/>
      <c r="I342" s="176" t="s">
        <v>927</v>
      </c>
      <c r="J342" s="177" t="s">
        <v>21</v>
      </c>
      <c r="K342" s="178">
        <f t="shared" ref="K342:K354" si="35">LOOKUP(1E+100,M342:AC342)</f>
        <v>1320.4862658830502</v>
      </c>
      <c r="L342" s="176"/>
      <c r="M342" s="178">
        <v>1400</v>
      </c>
      <c r="O342" s="175"/>
      <c r="P342" s="175"/>
      <c r="Q342" s="175"/>
      <c r="R342" s="175">
        <v>1320.4862658830502</v>
      </c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H342" s="175"/>
      <c r="AI342" s="175"/>
    </row>
    <row r="343" spans="1:35" s="178" customFormat="1" x14ac:dyDescent="0.25">
      <c r="A343" s="176"/>
      <c r="B343" s="176"/>
      <c r="C343" s="176">
        <f t="shared" si="31"/>
        <v>2</v>
      </c>
      <c r="D343" s="176">
        <f t="shared" si="32"/>
        <v>1</v>
      </c>
      <c r="E343" s="176">
        <f t="shared" si="33"/>
        <v>12</v>
      </c>
      <c r="F343" s="176" t="str">
        <f t="shared" si="34"/>
        <v>crx</v>
      </c>
      <c r="G343" s="176" t="s">
        <v>928</v>
      </c>
      <c r="H343" s="176"/>
      <c r="I343" s="176" t="s">
        <v>929</v>
      </c>
      <c r="J343" s="177" t="s">
        <v>21</v>
      </c>
      <c r="K343" s="178">
        <f t="shared" si="35"/>
        <v>1391.8137915140383</v>
      </c>
      <c r="L343" s="176"/>
      <c r="M343" s="178">
        <v>1400</v>
      </c>
      <c r="O343" s="175"/>
      <c r="P343" s="175"/>
      <c r="Q343" s="175"/>
      <c r="R343" s="175">
        <v>1391.8137915140383</v>
      </c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H343" s="175"/>
      <c r="AI343" s="175"/>
    </row>
    <row r="344" spans="1:35" s="178" customFormat="1" x14ac:dyDescent="0.25">
      <c r="A344" s="176"/>
      <c r="B344" s="176"/>
      <c r="C344" s="176">
        <f t="shared" si="31"/>
        <v>1</v>
      </c>
      <c r="D344" s="176">
        <f t="shared" si="32"/>
        <v>1</v>
      </c>
      <c r="E344" s="176">
        <f t="shared" si="33"/>
        <v>13</v>
      </c>
      <c r="F344" s="176" t="str">
        <f t="shared" si="34"/>
        <v>crx</v>
      </c>
      <c r="G344" s="176" t="s">
        <v>930</v>
      </c>
      <c r="H344" s="176"/>
      <c r="I344" s="176" t="s">
        <v>931</v>
      </c>
      <c r="J344" s="177" t="s">
        <v>21</v>
      </c>
      <c r="K344" s="178">
        <f t="shared" si="35"/>
        <v>1581.7793548939239</v>
      </c>
      <c r="L344" s="176"/>
      <c r="M344" s="178">
        <v>1600</v>
      </c>
      <c r="O344" s="175"/>
      <c r="P344" s="175"/>
      <c r="Q344" s="175"/>
      <c r="R344" s="175">
        <v>1581.7793548939239</v>
      </c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H344" s="175"/>
      <c r="AI344" s="175"/>
    </row>
    <row r="345" spans="1:35" s="178" customFormat="1" x14ac:dyDescent="0.25">
      <c r="A345" s="176"/>
      <c r="B345" s="176"/>
      <c r="C345" s="176">
        <f t="shared" si="31"/>
        <v>2</v>
      </c>
      <c r="D345" s="176">
        <f t="shared" si="32"/>
        <v>1</v>
      </c>
      <c r="E345" s="176">
        <f t="shared" si="33"/>
        <v>13</v>
      </c>
      <c r="F345" s="176" t="str">
        <f t="shared" si="34"/>
        <v>crx</v>
      </c>
      <c r="G345" s="176" t="s">
        <v>932</v>
      </c>
      <c r="H345" s="176"/>
      <c r="I345" s="176" t="s">
        <v>933</v>
      </c>
      <c r="J345" s="177" t="s">
        <v>21</v>
      </c>
      <c r="K345" s="178">
        <f t="shared" si="35"/>
        <v>1538.2512759206038</v>
      </c>
      <c r="L345" s="176"/>
      <c r="M345" s="178">
        <v>1600</v>
      </c>
      <c r="O345" s="175"/>
      <c r="P345" s="175"/>
      <c r="Q345" s="175"/>
      <c r="R345" s="175">
        <v>1538.2512759206038</v>
      </c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H345" s="175"/>
      <c r="AI345" s="175"/>
    </row>
    <row r="346" spans="1:35" s="178" customFormat="1" x14ac:dyDescent="0.25">
      <c r="A346" s="176"/>
      <c r="B346" s="176"/>
      <c r="C346" s="176">
        <f t="shared" si="31"/>
        <v>3</v>
      </c>
      <c r="D346" s="176">
        <f t="shared" si="32"/>
        <v>1</v>
      </c>
      <c r="E346" s="176">
        <f t="shared" si="33"/>
        <v>13</v>
      </c>
      <c r="F346" s="176" t="str">
        <f t="shared" si="34"/>
        <v>sox</v>
      </c>
      <c r="G346" s="176" t="s">
        <v>934</v>
      </c>
      <c r="H346" s="176"/>
      <c r="I346" s="176" t="s">
        <v>935</v>
      </c>
      <c r="J346" s="177" t="s">
        <v>21</v>
      </c>
      <c r="K346" s="178">
        <f t="shared" si="35"/>
        <v>1588.274267499768</v>
      </c>
      <c r="L346" s="176"/>
      <c r="M346" s="178">
        <v>1600</v>
      </c>
      <c r="O346" s="175"/>
      <c r="P346" s="175"/>
      <c r="Q346" s="175"/>
      <c r="R346" s="175">
        <v>1588.274267499768</v>
      </c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H346" s="175"/>
      <c r="AI346" s="175"/>
    </row>
    <row r="347" spans="1:35" s="178" customFormat="1" x14ac:dyDescent="0.25">
      <c r="A347" s="176"/>
      <c r="B347" s="176"/>
      <c r="C347" s="176">
        <f t="shared" si="31"/>
        <v>4</v>
      </c>
      <c r="D347" s="176">
        <f t="shared" si="32"/>
        <v>1</v>
      </c>
      <c r="E347" s="176">
        <f t="shared" si="33"/>
        <v>13</v>
      </c>
      <c r="F347" s="176" t="str">
        <f t="shared" si="34"/>
        <v>crx</v>
      </c>
      <c r="G347" s="176" t="s">
        <v>936</v>
      </c>
      <c r="H347" s="176"/>
      <c r="I347" s="176" t="s">
        <v>937</v>
      </c>
      <c r="J347" s="177" t="s">
        <v>21</v>
      </c>
      <c r="K347" s="178">
        <f t="shared" si="35"/>
        <v>1691.8845030087787</v>
      </c>
      <c r="L347" s="176"/>
      <c r="M347" s="178">
        <v>1600</v>
      </c>
      <c r="O347" s="175"/>
      <c r="P347" s="175"/>
      <c r="Q347" s="175"/>
      <c r="R347" s="175">
        <v>1691.8845030087787</v>
      </c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H347" s="175"/>
      <c r="AI347" s="175"/>
    </row>
    <row r="348" spans="1:35" s="178" customFormat="1" x14ac:dyDescent="0.25">
      <c r="A348" s="176"/>
      <c r="B348" s="176"/>
      <c r="C348" s="176">
        <f t="shared" si="31"/>
        <v>5</v>
      </c>
      <c r="D348" s="176">
        <f t="shared" si="32"/>
        <v>1</v>
      </c>
      <c r="E348" s="176">
        <f t="shared" si="33"/>
        <v>13</v>
      </c>
      <c r="F348" s="176" t="str">
        <f t="shared" si="34"/>
        <v>crx</v>
      </c>
      <c r="G348" s="176" t="s">
        <v>938</v>
      </c>
      <c r="H348" s="176"/>
      <c r="I348" s="176" t="s">
        <v>939</v>
      </c>
      <c r="J348" s="177" t="s">
        <v>21</v>
      </c>
      <c r="K348" s="178">
        <f t="shared" si="35"/>
        <v>1677.7593858620078</v>
      </c>
      <c r="L348" s="176"/>
      <c r="M348" s="178">
        <v>1600</v>
      </c>
      <c r="O348" s="175"/>
      <c r="P348" s="175"/>
      <c r="Q348" s="175"/>
      <c r="R348" s="175">
        <v>1677.7593858620078</v>
      </c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H348" s="175"/>
      <c r="AI348" s="175"/>
    </row>
    <row r="349" spans="1:35" s="178" customFormat="1" x14ac:dyDescent="0.25">
      <c r="A349" s="176"/>
      <c r="B349" s="176"/>
      <c r="C349" s="176">
        <f t="shared" si="31"/>
        <v>6</v>
      </c>
      <c r="D349" s="176">
        <f t="shared" si="32"/>
        <v>1</v>
      </c>
      <c r="E349" s="176">
        <f t="shared" si="33"/>
        <v>13</v>
      </c>
      <c r="F349" s="176" t="str">
        <f t="shared" si="34"/>
        <v>crx</v>
      </c>
      <c r="G349" s="176" t="s">
        <v>940</v>
      </c>
      <c r="H349" s="176"/>
      <c r="I349" s="176" t="s">
        <v>941</v>
      </c>
      <c r="J349" s="177" t="s">
        <v>21</v>
      </c>
      <c r="K349" s="178">
        <f t="shared" si="35"/>
        <v>1502.6816418788346</v>
      </c>
      <c r="L349" s="176"/>
      <c r="M349" s="178">
        <v>1600</v>
      </c>
      <c r="O349" s="175"/>
      <c r="P349" s="175"/>
      <c r="Q349" s="175"/>
      <c r="R349" s="175">
        <v>1502.6816418788346</v>
      </c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H349" s="175"/>
      <c r="AI349" s="175"/>
    </row>
    <row r="350" spans="1:35" s="178" customFormat="1" x14ac:dyDescent="0.25">
      <c r="A350" s="176"/>
      <c r="B350" s="176"/>
      <c r="C350" s="176">
        <f t="shared" si="31"/>
        <v>7</v>
      </c>
      <c r="D350" s="176">
        <f t="shared" si="32"/>
        <v>1</v>
      </c>
      <c r="E350" s="176">
        <f t="shared" si="33"/>
        <v>13</v>
      </c>
      <c r="F350" s="176" t="str">
        <f t="shared" si="34"/>
        <v>crx</v>
      </c>
      <c r="G350" s="176" t="s">
        <v>942</v>
      </c>
      <c r="H350" s="176"/>
      <c r="I350" s="176" t="s">
        <v>943</v>
      </c>
      <c r="J350" s="177" t="s">
        <v>21</v>
      </c>
      <c r="K350" s="178">
        <f t="shared" si="35"/>
        <v>1601.009624497224</v>
      </c>
      <c r="L350" s="176"/>
      <c r="M350" s="178">
        <v>1600</v>
      </c>
      <c r="O350" s="175"/>
      <c r="P350" s="175"/>
      <c r="Q350" s="175"/>
      <c r="R350" s="175">
        <v>1601.009624497224</v>
      </c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H350" s="175"/>
      <c r="AI350" s="175"/>
    </row>
    <row r="351" spans="1:35" s="178" customFormat="1" x14ac:dyDescent="0.25">
      <c r="A351" s="176"/>
      <c r="B351" s="176"/>
      <c r="C351" s="176">
        <f t="shared" si="31"/>
        <v>8</v>
      </c>
      <c r="D351" s="176">
        <f t="shared" si="32"/>
        <v>1</v>
      </c>
      <c r="E351" s="176">
        <f t="shared" si="33"/>
        <v>13</v>
      </c>
      <c r="F351" s="176" t="str">
        <f t="shared" si="34"/>
        <v>sox</v>
      </c>
      <c r="G351" s="176" t="s">
        <v>944</v>
      </c>
      <c r="H351" s="176"/>
      <c r="I351" s="176" t="s">
        <v>945</v>
      </c>
      <c r="J351" s="177" t="s">
        <v>21</v>
      </c>
      <c r="K351" s="178">
        <f t="shared" si="35"/>
        <v>1600</v>
      </c>
      <c r="L351" s="176"/>
      <c r="M351" s="178">
        <v>1600</v>
      </c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H351" s="175"/>
      <c r="AI351" s="175"/>
    </row>
    <row r="352" spans="1:35" s="178" customFormat="1" x14ac:dyDescent="0.25">
      <c r="A352" s="176"/>
      <c r="B352" s="176"/>
      <c r="C352" s="176">
        <f t="shared" si="31"/>
        <v>1</v>
      </c>
      <c r="D352" s="176">
        <f t="shared" si="32"/>
        <v>1</v>
      </c>
      <c r="E352" s="176">
        <f t="shared" si="33"/>
        <v>14</v>
      </c>
      <c r="F352" s="176" t="str">
        <f t="shared" si="34"/>
        <v>crx</v>
      </c>
      <c r="G352" s="176" t="s">
        <v>946</v>
      </c>
      <c r="H352" s="176"/>
      <c r="I352" s="176" t="s">
        <v>947</v>
      </c>
      <c r="J352" s="177" t="s">
        <v>21</v>
      </c>
      <c r="K352" s="178">
        <f t="shared" si="35"/>
        <v>1875.7442994050036</v>
      </c>
      <c r="L352" s="176"/>
      <c r="M352" s="178">
        <v>1800</v>
      </c>
      <c r="O352" s="175"/>
      <c r="P352" s="175"/>
      <c r="Q352" s="175"/>
      <c r="R352" s="175">
        <v>1875.7442994050036</v>
      </c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H352" s="175"/>
      <c r="AI352" s="175"/>
    </row>
    <row r="353" spans="1:35" s="178" customFormat="1" x14ac:dyDescent="0.25">
      <c r="A353" s="176"/>
      <c r="B353" s="176"/>
      <c r="C353" s="176">
        <f t="shared" si="31"/>
        <v>2</v>
      </c>
      <c r="D353" s="176">
        <f t="shared" si="32"/>
        <v>1</v>
      </c>
      <c r="E353" s="176">
        <f t="shared" si="33"/>
        <v>14</v>
      </c>
      <c r="F353" s="176" t="str">
        <f t="shared" si="34"/>
        <v>sox</v>
      </c>
      <c r="G353" s="176" t="s">
        <v>948</v>
      </c>
      <c r="H353" s="176"/>
      <c r="I353" s="176" t="s">
        <v>949</v>
      </c>
      <c r="J353" s="177" t="s">
        <v>21</v>
      </c>
      <c r="K353" s="178">
        <f t="shared" si="35"/>
        <v>1798.0859561642374</v>
      </c>
      <c r="L353" s="176"/>
      <c r="M353" s="178">
        <v>1800</v>
      </c>
      <c r="O353" s="175"/>
      <c r="P353" s="175"/>
      <c r="Q353" s="175"/>
      <c r="R353" s="175">
        <v>1798.0859561642374</v>
      </c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H353" s="175"/>
      <c r="AI353" s="175"/>
    </row>
    <row r="354" spans="1:35" s="178" customFormat="1" x14ac:dyDescent="0.25">
      <c r="A354" s="176"/>
      <c r="B354" s="176"/>
      <c r="C354" s="176">
        <f t="shared" si="31"/>
        <v>3</v>
      </c>
      <c r="D354" s="176">
        <f t="shared" si="32"/>
        <v>3</v>
      </c>
      <c r="E354" s="176">
        <f t="shared" si="33"/>
        <v>14</v>
      </c>
      <c r="F354" s="176" t="str">
        <f t="shared" si="34"/>
        <v>crx</v>
      </c>
      <c r="G354" s="176" t="s">
        <v>950</v>
      </c>
      <c r="H354" s="176"/>
      <c r="I354" s="176" t="s">
        <v>951</v>
      </c>
      <c r="J354" s="177" t="s">
        <v>22</v>
      </c>
      <c r="K354" s="178">
        <f t="shared" si="35"/>
        <v>2288.9906609979612</v>
      </c>
      <c r="L354" s="176"/>
      <c r="M354" s="178">
        <v>2200</v>
      </c>
      <c r="O354" s="175"/>
      <c r="P354" s="175"/>
      <c r="Q354" s="175">
        <v>2288.9906609979612</v>
      </c>
      <c r="R354" s="175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H354" s="175"/>
      <c r="AI354" s="175"/>
    </row>
    <row r="356" spans="1:35" s="178" customFormat="1" x14ac:dyDescent="0.25">
      <c r="A356" s="176"/>
      <c r="B356" s="176"/>
      <c r="C356" s="176">
        <f t="shared" ref="C356:C358" si="36">IF(E356=E355,C355+1,1)</f>
        <v>1</v>
      </c>
      <c r="D356" s="176">
        <f t="shared" ref="D356:D358" si="37">IF(M356=M355,D355,C356)</f>
        <v>1</v>
      </c>
      <c r="E356" s="176">
        <f t="shared" ref="E356:E358" si="38">10+VALUE(RIGHT(LEFT(G356,3),1))</f>
        <v>16</v>
      </c>
      <c r="F356" s="176" t="str">
        <f t="shared" ref="F356:F358" si="39">RIGHT(G356,2) &amp; IF(A356&lt;2,"x","")</f>
        <v>crx</v>
      </c>
      <c r="G356" s="176" t="s">
        <v>952</v>
      </c>
      <c r="H356" s="176"/>
      <c r="I356" s="176" t="s">
        <v>953</v>
      </c>
      <c r="J356" s="177" t="s">
        <v>22</v>
      </c>
      <c r="K356" s="178">
        <f t="shared" ref="K356:K358" si="40">LOOKUP(1E+100,M356:AC356)</f>
        <v>2623.9261077264655</v>
      </c>
      <c r="L356" s="176"/>
      <c r="M356" s="178">
        <v>2600</v>
      </c>
      <c r="O356" s="175"/>
      <c r="P356" s="175"/>
      <c r="Q356" s="175"/>
      <c r="R356" s="175">
        <v>2622.8602349278954</v>
      </c>
      <c r="S356" s="175">
        <v>2623.9261077264655</v>
      </c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H356" s="175"/>
      <c r="AI356" s="175"/>
    </row>
    <row r="357" spans="1:35" s="178" customFormat="1" x14ac:dyDescent="0.25">
      <c r="A357" s="176"/>
      <c r="B357" s="176"/>
      <c r="C357" s="176">
        <f t="shared" si="36"/>
        <v>1</v>
      </c>
      <c r="D357" s="176">
        <f t="shared" si="37"/>
        <v>1</v>
      </c>
      <c r="E357" s="176">
        <f t="shared" si="38"/>
        <v>17</v>
      </c>
      <c r="F357" s="176" t="str">
        <f t="shared" si="39"/>
        <v>sox</v>
      </c>
      <c r="G357" s="176" t="s">
        <v>954</v>
      </c>
      <c r="H357" s="176"/>
      <c r="I357" s="176" t="s">
        <v>955</v>
      </c>
      <c r="J357" s="177" t="s">
        <v>21</v>
      </c>
      <c r="K357" s="178">
        <f t="shared" si="40"/>
        <v>2491.8670047450555</v>
      </c>
      <c r="L357" s="176"/>
      <c r="M357" s="178">
        <v>2400</v>
      </c>
      <c r="O357" s="175"/>
      <c r="P357" s="175"/>
      <c r="Q357" s="175"/>
      <c r="R357" s="175">
        <v>2491.8670047450555</v>
      </c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H357" s="175"/>
      <c r="AI357" s="175"/>
    </row>
    <row r="358" spans="1:35" s="178" customFormat="1" x14ac:dyDescent="0.25">
      <c r="A358" s="176"/>
      <c r="B358" s="176"/>
      <c r="C358" s="176">
        <f t="shared" si="36"/>
        <v>2</v>
      </c>
      <c r="D358" s="176">
        <f t="shared" si="37"/>
        <v>1</v>
      </c>
      <c r="E358" s="176">
        <f t="shared" si="38"/>
        <v>17</v>
      </c>
      <c r="F358" s="176" t="str">
        <f t="shared" si="39"/>
        <v>crx</v>
      </c>
      <c r="G358" s="176" t="s">
        <v>956</v>
      </c>
      <c r="H358" s="176"/>
      <c r="I358" s="176" t="s">
        <v>957</v>
      </c>
      <c r="J358" s="177" t="s">
        <v>21</v>
      </c>
      <c r="K358" s="178">
        <f t="shared" si="40"/>
        <v>2454.7946956693254</v>
      </c>
      <c r="L358" s="176"/>
      <c r="M358" s="178">
        <v>2400</v>
      </c>
      <c r="O358" s="175"/>
      <c r="P358" s="175"/>
      <c r="Q358" s="175"/>
      <c r="R358" s="175">
        <v>2454.7946956693254</v>
      </c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H358" s="175"/>
      <c r="AI358" s="175"/>
    </row>
    <row r="360" spans="1:35" s="178" customFormat="1" x14ac:dyDescent="0.25">
      <c r="A360" s="176"/>
      <c r="B360" s="176"/>
      <c r="C360" s="176">
        <f t="shared" ref="C360:C363" si="41">IF(E360=E359,C359+1,1)</f>
        <v>1</v>
      </c>
      <c r="D360" s="176">
        <f t="shared" ref="D360:D363" si="42">IF(M360=M359,D359,C360)</f>
        <v>1</v>
      </c>
      <c r="E360" s="176">
        <f t="shared" ref="E360:E363" si="43">10+VALUE(RIGHT(LEFT(G360,3),1))</f>
        <v>18</v>
      </c>
      <c r="F360" s="176" t="str">
        <f t="shared" ref="F360:F363" si="44">RIGHT(G360,2) &amp; IF(A360&lt;2,"x","")</f>
        <v>crx</v>
      </c>
      <c r="G360" s="176" t="s">
        <v>958</v>
      </c>
      <c r="H360" s="176"/>
      <c r="I360" s="176" t="s">
        <v>959</v>
      </c>
      <c r="J360" s="177" t="s">
        <v>21</v>
      </c>
      <c r="K360" s="178">
        <f t="shared" ref="K360:K363" si="45">LOOKUP(1E+100,M360:AC360)</f>
        <v>2680.7915657736075</v>
      </c>
      <c r="L360" s="176"/>
      <c r="M360" s="178">
        <v>2600</v>
      </c>
      <c r="O360" s="175"/>
      <c r="P360" s="175"/>
      <c r="Q360" s="175"/>
      <c r="R360" s="175">
        <v>2680.7915657736075</v>
      </c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H360" s="175"/>
      <c r="AI360" s="175"/>
    </row>
    <row r="361" spans="1:35" s="178" customFormat="1" x14ac:dyDescent="0.25">
      <c r="A361" s="176"/>
      <c r="B361" s="176"/>
      <c r="C361" s="176">
        <f t="shared" si="41"/>
        <v>2</v>
      </c>
      <c r="D361" s="176">
        <f t="shared" si="42"/>
        <v>1</v>
      </c>
      <c r="E361" s="176">
        <f t="shared" si="43"/>
        <v>18</v>
      </c>
      <c r="F361" s="176" t="str">
        <f t="shared" si="44"/>
        <v>crx</v>
      </c>
      <c r="G361" s="176" t="s">
        <v>960</v>
      </c>
      <c r="H361" s="176"/>
      <c r="I361" s="176" t="s">
        <v>961</v>
      </c>
      <c r="J361" s="177" t="s">
        <v>21</v>
      </c>
      <c r="K361" s="178">
        <f t="shared" si="45"/>
        <v>2479.0590832625021</v>
      </c>
      <c r="L361" s="176"/>
      <c r="M361" s="178">
        <v>2600</v>
      </c>
      <c r="O361" s="175"/>
      <c r="P361" s="175"/>
      <c r="Q361" s="175"/>
      <c r="R361" s="175">
        <v>2515.8622226546854</v>
      </c>
      <c r="S361" s="175"/>
      <c r="T361" s="175">
        <v>2479.0590832625021</v>
      </c>
      <c r="U361" s="175"/>
      <c r="V361" s="175"/>
      <c r="W361" s="175"/>
      <c r="X361" s="175"/>
      <c r="Y361" s="175"/>
      <c r="Z361" s="175"/>
      <c r="AA361" s="175"/>
      <c r="AB361" s="175"/>
      <c r="AC361" s="175"/>
      <c r="AH361" s="175"/>
      <c r="AI361" s="175"/>
    </row>
    <row r="362" spans="1:35" s="178" customFormat="1" x14ac:dyDescent="0.25">
      <c r="A362" s="176"/>
      <c r="B362" s="176"/>
      <c r="C362" s="176">
        <f t="shared" si="41"/>
        <v>1</v>
      </c>
      <c r="D362" s="176">
        <f t="shared" si="42"/>
        <v>1</v>
      </c>
      <c r="E362" s="176">
        <f t="shared" si="43"/>
        <v>17</v>
      </c>
      <c r="F362" s="176" t="str">
        <f t="shared" si="44"/>
        <v>crx</v>
      </c>
      <c r="G362" s="176" t="s">
        <v>962</v>
      </c>
      <c r="H362" s="176"/>
      <c r="I362" s="176" t="s">
        <v>963</v>
      </c>
      <c r="J362" s="177" t="s">
        <v>21</v>
      </c>
      <c r="K362" s="178">
        <f t="shared" si="45"/>
        <v>2687.9979265524926</v>
      </c>
      <c r="L362" s="176"/>
      <c r="M362" s="178">
        <v>2600</v>
      </c>
      <c r="O362" s="175"/>
      <c r="P362" s="175"/>
      <c r="Q362" s="175"/>
      <c r="R362" s="175">
        <v>2687.9979265524926</v>
      </c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H362" s="175"/>
      <c r="AI362" s="175"/>
    </row>
    <row r="363" spans="1:35" s="178" customFormat="1" x14ac:dyDescent="0.25">
      <c r="A363" s="176"/>
      <c r="B363" s="176"/>
      <c r="C363" s="176">
        <f t="shared" si="41"/>
        <v>2</v>
      </c>
      <c r="D363" s="176">
        <f t="shared" si="42"/>
        <v>2</v>
      </c>
      <c r="E363" s="176">
        <f t="shared" si="43"/>
        <v>17</v>
      </c>
      <c r="F363" s="176" t="str">
        <f t="shared" si="44"/>
        <v>sox</v>
      </c>
      <c r="G363" s="176" t="s">
        <v>964</v>
      </c>
      <c r="H363" s="176"/>
      <c r="I363" s="176" t="s">
        <v>965</v>
      </c>
      <c r="J363" s="177" t="s">
        <v>21</v>
      </c>
      <c r="K363" s="178">
        <f t="shared" si="45"/>
        <v>2400.0667866123454</v>
      </c>
      <c r="L363" s="176"/>
      <c r="M363" s="178">
        <v>2400</v>
      </c>
      <c r="O363" s="175"/>
      <c r="P363" s="175"/>
      <c r="Q363" s="175"/>
      <c r="R363" s="175">
        <v>2400.0667866123454</v>
      </c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H363" s="175"/>
      <c r="AI363" s="175"/>
    </row>
    <row r="364" spans="1:35" s="178" customFormat="1" x14ac:dyDescent="0.25">
      <c r="A364" s="176"/>
      <c r="B364" s="176"/>
      <c r="C364" s="176"/>
      <c r="D364" s="176"/>
      <c r="E364" s="176"/>
      <c r="F364" s="176"/>
      <c r="G364" s="176"/>
      <c r="H364" s="176"/>
      <c r="I364" s="176"/>
      <c r="J364" s="177"/>
      <c r="L364" s="176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H364" s="175"/>
      <c r="AI364" s="175"/>
    </row>
    <row r="365" spans="1:35" s="178" customFormat="1" x14ac:dyDescent="0.25">
      <c r="A365" s="176"/>
      <c r="B365" s="176"/>
      <c r="C365" s="176">
        <f t="shared" ref="C365" si="46">IF(E365=E364,C364+1,1)</f>
        <v>1</v>
      </c>
      <c r="D365" s="176">
        <f t="shared" ref="D365" si="47">IF(M365=M364,D364,C365)</f>
        <v>1</v>
      </c>
      <c r="E365" s="176">
        <f t="shared" ref="E365" si="48">10+VALUE(RIGHT(LEFT(G365,3),1))</f>
        <v>12</v>
      </c>
      <c r="F365" s="176" t="str">
        <f t="shared" ref="F365" si="49">RIGHT(G365,2) &amp; IF(A365&lt;2,"x","")</f>
        <v>crx</v>
      </c>
      <c r="G365" s="176" t="s">
        <v>966</v>
      </c>
      <c r="H365" s="176"/>
      <c r="I365" s="176" t="s">
        <v>967</v>
      </c>
      <c r="J365" s="177" t="s">
        <v>360</v>
      </c>
      <c r="K365" s="178">
        <f t="shared" ref="K365" si="50">LOOKUP(1E+100,M365:AC365)</f>
        <v>1164.7076277056995</v>
      </c>
      <c r="L365" s="176"/>
      <c r="M365" s="178">
        <v>1200</v>
      </c>
      <c r="O365" s="175"/>
      <c r="P365" s="175"/>
      <c r="Q365" s="175"/>
      <c r="R365" s="175">
        <v>1142.0989828300185</v>
      </c>
      <c r="S365" s="175"/>
      <c r="T365" s="175">
        <v>1164.7076277056995</v>
      </c>
      <c r="U365" s="175"/>
      <c r="V365" s="175"/>
      <c r="W365" s="175"/>
      <c r="X365" s="175"/>
      <c r="Y365" s="175"/>
      <c r="Z365" s="175"/>
      <c r="AA365" s="175"/>
      <c r="AB365" s="175"/>
      <c r="AC365" s="175"/>
      <c r="AH365" s="175"/>
      <c r="AI365" s="175"/>
    </row>
    <row r="366" spans="1:35" s="178" customFormat="1" x14ac:dyDescent="0.25">
      <c r="A366" s="176"/>
      <c r="B366" s="176"/>
      <c r="C366" s="176"/>
      <c r="D366" s="176"/>
      <c r="E366" s="176"/>
      <c r="F366" s="176"/>
      <c r="G366" s="176"/>
      <c r="H366" s="176"/>
      <c r="I366" s="176"/>
      <c r="J366" s="177"/>
      <c r="L366" s="176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H366" s="175"/>
      <c r="AI366" s="175"/>
    </row>
    <row r="367" spans="1:35" s="178" customFormat="1" x14ac:dyDescent="0.25">
      <c r="A367" s="176"/>
      <c r="B367" s="176"/>
      <c r="C367" s="176">
        <f t="shared" ref="C367" si="51">IF(E367=E366,C366+1,1)</f>
        <v>1</v>
      </c>
      <c r="D367" s="176">
        <f t="shared" ref="D367" si="52">IF(M367=M366,D366,C367)</f>
        <v>1</v>
      </c>
      <c r="E367" s="176">
        <f t="shared" ref="E367" si="53">10+VALUE(RIGHT(LEFT(G367,3),1))</f>
        <v>14</v>
      </c>
      <c r="F367" s="176" t="str">
        <f t="shared" ref="F367" si="54">RIGHT(G367,2) &amp; IF(A367&lt;2,"x","")</f>
        <v>crx</v>
      </c>
      <c r="G367" s="176" t="s">
        <v>968</v>
      </c>
      <c r="H367" s="176"/>
      <c r="I367" s="176" t="s">
        <v>969</v>
      </c>
      <c r="J367" s="177" t="s">
        <v>22</v>
      </c>
      <c r="K367" s="178">
        <f t="shared" ref="K367" si="55">LOOKUP(1E+100,M367:AC367)</f>
        <v>2248.4174188999796</v>
      </c>
      <c r="L367" s="176"/>
      <c r="M367" s="178">
        <v>2200</v>
      </c>
      <c r="O367" s="175"/>
      <c r="P367" s="175"/>
      <c r="Q367" s="175"/>
      <c r="R367" s="175"/>
      <c r="S367" s="175">
        <v>2248.4174188999796</v>
      </c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H367" s="175"/>
      <c r="AI367" s="175"/>
    </row>
    <row r="368" spans="1:35" s="178" customFormat="1" x14ac:dyDescent="0.25">
      <c r="A368" s="176"/>
      <c r="B368" s="176"/>
      <c r="C368" s="176"/>
      <c r="D368" s="176"/>
      <c r="E368" s="176"/>
      <c r="F368" s="176"/>
      <c r="G368" s="176"/>
      <c r="H368" s="176"/>
      <c r="I368" s="176"/>
      <c r="J368" s="177"/>
      <c r="L368" s="176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H368" s="175"/>
      <c r="AI368" s="175"/>
    </row>
    <row r="369" spans="1:35" s="178" customFormat="1" x14ac:dyDescent="0.25">
      <c r="A369" s="176"/>
      <c r="B369" s="176"/>
      <c r="C369" s="176"/>
      <c r="D369" s="176"/>
      <c r="E369" s="176"/>
      <c r="F369" s="176"/>
      <c r="G369" s="176"/>
      <c r="H369" s="176"/>
      <c r="I369" s="176"/>
      <c r="J369" s="177"/>
      <c r="L369" s="176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  <c r="AA369" s="175"/>
      <c r="AB369" s="175"/>
      <c r="AC369" s="175"/>
      <c r="AH369" s="175"/>
      <c r="AI369" s="175"/>
    </row>
    <row r="370" spans="1:35" s="178" customFormat="1" x14ac:dyDescent="0.25">
      <c r="A370" s="176"/>
      <c r="B370" s="176"/>
      <c r="C370" s="176">
        <f t="shared" ref="C370:C375" si="56">IF(E370=E369,C369+1,1)</f>
        <v>1</v>
      </c>
      <c r="D370" s="176">
        <f t="shared" ref="D370:D375" si="57">IF(M370=M369,D369,C370)</f>
        <v>1</v>
      </c>
      <c r="E370" s="176">
        <f t="shared" ref="E370:E375" si="58">10+VALUE(RIGHT(LEFT(G370,3),1))</f>
        <v>12</v>
      </c>
      <c r="F370" s="176" t="str">
        <f t="shared" ref="F370:F375" si="59">RIGHT(G370,2) &amp; IF(A370&lt;2,"x","")</f>
        <v>sox</v>
      </c>
      <c r="G370" s="176" t="s">
        <v>31</v>
      </c>
      <c r="H370" s="176"/>
      <c r="I370" s="176" t="s">
        <v>30</v>
      </c>
      <c r="J370" s="177" t="s">
        <v>21</v>
      </c>
      <c r="K370" s="178">
        <f t="shared" ref="K370:K375" si="60">LOOKUP(1E+100,M370:AC370)</f>
        <v>1417.5351435170446</v>
      </c>
      <c r="L370" s="176"/>
      <c r="M370" s="178">
        <v>1400</v>
      </c>
      <c r="O370" s="175"/>
      <c r="P370" s="175"/>
      <c r="Q370" s="175"/>
      <c r="R370" s="175"/>
      <c r="S370" s="175"/>
      <c r="T370" s="175">
        <v>1417.5351435170446</v>
      </c>
      <c r="U370" s="175"/>
      <c r="V370" s="175"/>
      <c r="W370" s="175"/>
      <c r="X370" s="175"/>
      <c r="Y370" s="175"/>
      <c r="Z370" s="175"/>
      <c r="AA370" s="175"/>
      <c r="AB370" s="175"/>
      <c r="AC370" s="175"/>
      <c r="AH370" s="175"/>
      <c r="AI370" s="175"/>
    </row>
    <row r="371" spans="1:35" s="178" customFormat="1" x14ac:dyDescent="0.25">
      <c r="A371" s="176"/>
      <c r="B371" s="176"/>
      <c r="C371" s="176">
        <f t="shared" si="56"/>
        <v>2</v>
      </c>
      <c r="D371" s="176">
        <f t="shared" si="57"/>
        <v>1</v>
      </c>
      <c r="E371" s="176">
        <f t="shared" si="58"/>
        <v>12</v>
      </c>
      <c r="F371" s="176" t="str">
        <f t="shared" si="59"/>
        <v>crx</v>
      </c>
      <c r="G371" s="176" t="s">
        <v>34</v>
      </c>
      <c r="H371" s="176"/>
      <c r="I371" s="176" t="s">
        <v>33</v>
      </c>
      <c r="J371" s="177" t="s">
        <v>21</v>
      </c>
      <c r="K371" s="178">
        <f t="shared" si="60"/>
        <v>1480.592748992279</v>
      </c>
      <c r="L371" s="176"/>
      <c r="M371" s="178">
        <v>1400</v>
      </c>
      <c r="O371" s="175"/>
      <c r="P371" s="175"/>
      <c r="Q371" s="175"/>
      <c r="R371" s="175"/>
      <c r="S371" s="175"/>
      <c r="T371" s="175">
        <v>1480.592748992279</v>
      </c>
      <c r="U371" s="175"/>
      <c r="V371" s="175"/>
      <c r="W371" s="175"/>
      <c r="X371" s="175"/>
      <c r="Y371" s="175"/>
      <c r="Z371" s="175"/>
      <c r="AA371" s="175"/>
      <c r="AB371" s="175"/>
      <c r="AC371" s="175"/>
      <c r="AH371" s="175"/>
      <c r="AI371" s="175"/>
    </row>
    <row r="372" spans="1:35" s="178" customFormat="1" x14ac:dyDescent="0.25">
      <c r="A372" s="176"/>
      <c r="B372" s="176"/>
      <c r="C372" s="176">
        <f t="shared" si="56"/>
        <v>1</v>
      </c>
      <c r="D372" s="176">
        <f t="shared" si="57"/>
        <v>1</v>
      </c>
      <c r="E372" s="176">
        <f t="shared" si="58"/>
        <v>13</v>
      </c>
      <c r="F372" s="176" t="str">
        <f t="shared" si="59"/>
        <v>crx</v>
      </c>
      <c r="G372" s="176" t="s">
        <v>224</v>
      </c>
      <c r="H372" s="176"/>
      <c r="I372" s="176" t="s">
        <v>223</v>
      </c>
      <c r="J372" s="177" t="s">
        <v>21</v>
      </c>
      <c r="K372" s="178">
        <f t="shared" si="60"/>
        <v>1733.815637065888</v>
      </c>
      <c r="L372" s="176"/>
      <c r="M372" s="178">
        <v>1600</v>
      </c>
      <c r="O372" s="175"/>
      <c r="P372" s="175"/>
      <c r="Q372" s="175"/>
      <c r="R372" s="175"/>
      <c r="S372" s="175"/>
      <c r="T372" s="175">
        <v>1733.815637065888</v>
      </c>
      <c r="U372" s="175"/>
      <c r="V372" s="175"/>
      <c r="W372" s="175"/>
      <c r="X372" s="175"/>
      <c r="Y372" s="175"/>
      <c r="Z372" s="175"/>
      <c r="AA372" s="175"/>
      <c r="AB372" s="175"/>
      <c r="AC372" s="175"/>
      <c r="AH372" s="175"/>
      <c r="AI372" s="175"/>
    </row>
    <row r="373" spans="1:35" s="178" customFormat="1" x14ac:dyDescent="0.25">
      <c r="A373" s="176"/>
      <c r="B373" s="176"/>
      <c r="C373" s="176">
        <f t="shared" si="56"/>
        <v>2</v>
      </c>
      <c r="D373" s="176">
        <f t="shared" si="57"/>
        <v>1</v>
      </c>
      <c r="E373" s="176">
        <f t="shared" si="58"/>
        <v>13</v>
      </c>
      <c r="F373" s="176" t="str">
        <f t="shared" si="59"/>
        <v>crx</v>
      </c>
      <c r="G373" s="176" t="s">
        <v>226</v>
      </c>
      <c r="H373" s="176"/>
      <c r="I373" s="176" t="s">
        <v>225</v>
      </c>
      <c r="J373" s="177" t="s">
        <v>21</v>
      </c>
      <c r="K373" s="178">
        <f t="shared" si="60"/>
        <v>1658.2208637871806</v>
      </c>
      <c r="L373" s="176"/>
      <c r="M373" s="178">
        <v>1600</v>
      </c>
      <c r="O373" s="175"/>
      <c r="P373" s="175"/>
      <c r="Q373" s="175"/>
      <c r="R373" s="175"/>
      <c r="S373" s="175"/>
      <c r="T373" s="175">
        <v>1658.2208637871806</v>
      </c>
      <c r="U373" s="175"/>
      <c r="V373" s="175"/>
      <c r="W373" s="175"/>
      <c r="X373" s="175"/>
      <c r="Y373" s="175"/>
      <c r="Z373" s="175"/>
      <c r="AA373" s="175"/>
      <c r="AB373" s="175"/>
      <c r="AC373" s="175"/>
      <c r="AH373" s="175"/>
      <c r="AI373" s="175"/>
    </row>
    <row r="374" spans="1:35" s="178" customFormat="1" x14ac:dyDescent="0.25">
      <c r="A374" s="176"/>
      <c r="B374" s="176"/>
      <c r="C374" s="176">
        <f t="shared" si="56"/>
        <v>1</v>
      </c>
      <c r="D374" s="176">
        <f t="shared" si="57"/>
        <v>1</v>
      </c>
      <c r="E374" s="176">
        <f t="shared" si="58"/>
        <v>14</v>
      </c>
      <c r="F374" s="176" t="str">
        <f t="shared" si="59"/>
        <v>sox</v>
      </c>
      <c r="G374" s="176" t="s">
        <v>270</v>
      </c>
      <c r="H374" s="176"/>
      <c r="I374" s="176" t="s">
        <v>269</v>
      </c>
      <c r="J374" s="177" t="s">
        <v>21</v>
      </c>
      <c r="K374" s="178">
        <f t="shared" si="60"/>
        <v>1881.2483836659826</v>
      </c>
      <c r="L374" s="176"/>
      <c r="M374" s="178">
        <v>1800</v>
      </c>
      <c r="O374" s="175"/>
      <c r="P374" s="175"/>
      <c r="Q374" s="175"/>
      <c r="R374" s="175"/>
      <c r="S374" s="175"/>
      <c r="T374" s="175">
        <v>1881.2483836659826</v>
      </c>
      <c r="U374" s="175"/>
      <c r="V374" s="175"/>
      <c r="W374" s="175"/>
      <c r="X374" s="175"/>
      <c r="Y374" s="175"/>
      <c r="Z374" s="175"/>
      <c r="AA374" s="175"/>
      <c r="AB374" s="175"/>
      <c r="AC374" s="175"/>
      <c r="AH374" s="175"/>
      <c r="AI374" s="175"/>
    </row>
    <row r="375" spans="1:35" s="178" customFormat="1" x14ac:dyDescent="0.25">
      <c r="A375" s="176"/>
      <c r="B375" s="176"/>
      <c r="C375" s="176">
        <f t="shared" si="56"/>
        <v>2</v>
      </c>
      <c r="D375" s="176">
        <f t="shared" si="57"/>
        <v>1</v>
      </c>
      <c r="E375" s="176">
        <f t="shared" si="58"/>
        <v>14</v>
      </c>
      <c r="F375" s="176" t="str">
        <f t="shared" si="59"/>
        <v>sox</v>
      </c>
      <c r="G375" s="176" t="s">
        <v>274</v>
      </c>
      <c r="H375" s="176"/>
      <c r="I375" s="176" t="s">
        <v>273</v>
      </c>
      <c r="J375" s="177" t="s">
        <v>21</v>
      </c>
      <c r="K375" s="178">
        <f t="shared" si="60"/>
        <v>1890.7449469245469</v>
      </c>
      <c r="L375" s="176"/>
      <c r="M375" s="178">
        <v>1800</v>
      </c>
      <c r="O375" s="175"/>
      <c r="P375" s="175"/>
      <c r="Q375" s="175"/>
      <c r="R375" s="175"/>
      <c r="S375" s="175"/>
      <c r="T375" s="175">
        <v>1890.7449469245469</v>
      </c>
      <c r="U375" s="175"/>
      <c r="V375" s="175"/>
      <c r="W375" s="175"/>
      <c r="X375" s="175"/>
      <c r="Y375" s="175"/>
      <c r="Z375" s="175"/>
      <c r="AA375" s="175"/>
      <c r="AB375" s="175"/>
      <c r="AC375" s="175"/>
      <c r="AH375" s="175"/>
      <c r="AI375" s="175"/>
    </row>
    <row r="376" spans="1:35" s="178" customFormat="1" x14ac:dyDescent="0.25">
      <c r="A376" s="176"/>
      <c r="B376" s="176"/>
      <c r="C376" s="176"/>
      <c r="D376" s="176"/>
      <c r="E376" s="176"/>
      <c r="F376" s="176"/>
      <c r="G376" s="176"/>
      <c r="H376" s="176"/>
      <c r="I376" s="176"/>
      <c r="J376" s="177"/>
      <c r="L376" s="176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H376" s="175"/>
      <c r="AI376" s="175"/>
    </row>
    <row r="377" spans="1:35" s="178" customFormat="1" x14ac:dyDescent="0.25">
      <c r="A377" s="176"/>
      <c r="B377" s="176"/>
      <c r="C377" s="176"/>
      <c r="D377" s="176"/>
      <c r="E377" s="176"/>
      <c r="F377" s="176"/>
      <c r="G377" s="176"/>
      <c r="H377" s="176"/>
      <c r="I377" s="176"/>
      <c r="J377" s="177"/>
      <c r="L377" s="176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H377" s="175"/>
      <c r="AI377" s="175"/>
    </row>
    <row r="378" spans="1:35" s="178" customFormat="1" x14ac:dyDescent="0.25">
      <c r="A378" s="176"/>
      <c r="B378" s="176"/>
      <c r="C378" s="176">
        <f t="shared" ref="C378:C382" si="61">IF(E378=E377,C377+1,1)</f>
        <v>1</v>
      </c>
      <c r="D378" s="176">
        <f t="shared" ref="D378:D382" si="62">IF(M378=M377,D377,C378)</f>
        <v>1</v>
      </c>
      <c r="E378" s="176">
        <f t="shared" ref="E378:E382" si="63">10+VALUE(RIGHT(LEFT(G378,3),1))</f>
        <v>16</v>
      </c>
      <c r="F378" s="176" t="str">
        <f t="shared" ref="F378:F382" si="64">RIGHT(G378,2) &amp; IF(A378&lt;2,"x","")</f>
        <v>crx</v>
      </c>
      <c r="G378" s="176" t="s">
        <v>978</v>
      </c>
      <c r="H378" s="176"/>
      <c r="I378" s="176" t="s">
        <v>977</v>
      </c>
      <c r="J378" s="177" t="s">
        <v>21</v>
      </c>
      <c r="K378" s="178">
        <f t="shared" ref="K378:K382" si="65">LOOKUP(1E+100,M378:AC378)</f>
        <v>2311.4565337056633</v>
      </c>
      <c r="L378" s="176"/>
      <c r="M378" s="178">
        <v>2200</v>
      </c>
      <c r="O378" s="175"/>
      <c r="P378" s="175"/>
      <c r="Q378" s="175"/>
      <c r="R378" s="175"/>
      <c r="S378" s="175"/>
      <c r="T378" s="175">
        <v>2311.4565337056633</v>
      </c>
      <c r="U378" s="175"/>
      <c r="V378" s="175"/>
      <c r="W378" s="175"/>
      <c r="X378" s="175"/>
      <c r="Y378" s="175"/>
      <c r="Z378" s="175"/>
      <c r="AA378" s="175"/>
      <c r="AB378" s="175"/>
      <c r="AC378" s="175"/>
      <c r="AH378" s="175"/>
      <c r="AI378" s="175"/>
    </row>
    <row r="379" spans="1:35" s="178" customFormat="1" x14ac:dyDescent="0.25">
      <c r="A379" s="176"/>
      <c r="B379" s="176"/>
      <c r="C379" s="176">
        <f t="shared" si="61"/>
        <v>2</v>
      </c>
      <c r="D379" s="176">
        <f t="shared" si="62"/>
        <v>1</v>
      </c>
      <c r="E379" s="176">
        <f t="shared" si="63"/>
        <v>16</v>
      </c>
      <c r="F379" s="176" t="str">
        <f t="shared" si="64"/>
        <v>crx</v>
      </c>
      <c r="G379" s="176" t="s">
        <v>980</v>
      </c>
      <c r="H379" s="176"/>
      <c r="I379" s="176" t="s">
        <v>979</v>
      </c>
      <c r="J379" s="177" t="s">
        <v>21</v>
      </c>
      <c r="K379" s="178">
        <f t="shared" si="65"/>
        <v>2175.394029072223</v>
      </c>
      <c r="L379" s="176"/>
      <c r="M379" s="178">
        <v>2200</v>
      </c>
      <c r="O379" s="175"/>
      <c r="P379" s="175"/>
      <c r="Q379" s="175"/>
      <c r="R379" s="175"/>
      <c r="S379" s="175"/>
      <c r="T379" s="175">
        <v>2175.394029072223</v>
      </c>
      <c r="U379" s="175"/>
      <c r="V379" s="175"/>
      <c r="W379" s="175"/>
      <c r="X379" s="175"/>
      <c r="Y379" s="175"/>
      <c r="Z379" s="175"/>
      <c r="AA379" s="175"/>
      <c r="AB379" s="175"/>
      <c r="AC379" s="175"/>
      <c r="AH379" s="175"/>
      <c r="AI379" s="175"/>
    </row>
    <row r="380" spans="1:35" s="178" customFormat="1" x14ac:dyDescent="0.25">
      <c r="A380" s="176"/>
      <c r="B380" s="176"/>
      <c r="C380" s="176">
        <f t="shared" si="61"/>
        <v>3</v>
      </c>
      <c r="D380" s="176">
        <f t="shared" si="62"/>
        <v>1</v>
      </c>
      <c r="E380" s="176">
        <f t="shared" si="63"/>
        <v>16</v>
      </c>
      <c r="F380" s="176" t="str">
        <f t="shared" si="64"/>
        <v>crx</v>
      </c>
      <c r="G380" s="176" t="s">
        <v>982</v>
      </c>
      <c r="H380" s="176"/>
      <c r="I380" s="176" t="s">
        <v>981</v>
      </c>
      <c r="J380" s="177" t="s">
        <v>21</v>
      </c>
      <c r="K380" s="178">
        <f t="shared" si="65"/>
        <v>2261.9361846103438</v>
      </c>
      <c r="L380" s="176"/>
      <c r="M380" s="178">
        <v>2200</v>
      </c>
      <c r="O380" s="175"/>
      <c r="P380" s="175"/>
      <c r="Q380" s="175"/>
      <c r="R380" s="175"/>
      <c r="S380" s="175"/>
      <c r="T380" s="175">
        <v>2261.9361846103438</v>
      </c>
      <c r="U380" s="175"/>
      <c r="V380" s="175"/>
      <c r="W380" s="175"/>
      <c r="X380" s="175"/>
      <c r="Y380" s="175"/>
      <c r="Z380" s="175"/>
      <c r="AA380" s="175"/>
      <c r="AB380" s="175"/>
      <c r="AC380" s="175"/>
      <c r="AH380" s="175"/>
      <c r="AI380" s="175"/>
    </row>
    <row r="381" spans="1:35" s="178" customFormat="1" x14ac:dyDescent="0.25">
      <c r="A381" s="176"/>
      <c r="B381" s="176"/>
      <c r="C381" s="176">
        <f t="shared" si="61"/>
        <v>4</v>
      </c>
      <c r="D381" s="176">
        <f t="shared" si="62"/>
        <v>1</v>
      </c>
      <c r="E381" s="176">
        <f t="shared" si="63"/>
        <v>16</v>
      </c>
      <c r="F381" s="176" t="str">
        <f t="shared" si="64"/>
        <v>SOx</v>
      </c>
      <c r="G381" s="176" t="s">
        <v>984</v>
      </c>
      <c r="H381" s="176"/>
      <c r="I381" s="176" t="s">
        <v>983</v>
      </c>
      <c r="J381" s="177" t="s">
        <v>21</v>
      </c>
      <c r="K381" s="178">
        <f t="shared" si="65"/>
        <v>2108.5454805199915</v>
      </c>
      <c r="L381" s="176"/>
      <c r="M381" s="178">
        <v>2200</v>
      </c>
      <c r="O381" s="175"/>
      <c r="P381" s="175"/>
      <c r="Q381" s="175"/>
      <c r="R381" s="175"/>
      <c r="S381" s="175"/>
      <c r="T381" s="175">
        <v>2108.5454805199915</v>
      </c>
      <c r="U381" s="175"/>
      <c r="V381" s="175"/>
      <c r="W381" s="175"/>
      <c r="X381" s="175"/>
      <c r="Y381" s="175"/>
      <c r="Z381" s="175"/>
      <c r="AA381" s="175"/>
      <c r="AB381" s="175"/>
      <c r="AC381" s="175"/>
      <c r="AH381" s="175"/>
      <c r="AI381" s="175"/>
    </row>
    <row r="382" spans="1:35" s="178" customFormat="1" x14ac:dyDescent="0.25">
      <c r="A382" s="176"/>
      <c r="B382" s="176"/>
      <c r="C382" s="176">
        <f t="shared" si="61"/>
        <v>1</v>
      </c>
      <c r="D382" s="176">
        <f t="shared" si="62"/>
        <v>1</v>
      </c>
      <c r="E382" s="176">
        <f t="shared" si="63"/>
        <v>13</v>
      </c>
      <c r="F382" s="176" t="str">
        <f t="shared" si="64"/>
        <v>crx</v>
      </c>
      <c r="G382" s="176" t="s">
        <v>974</v>
      </c>
      <c r="H382" s="176"/>
      <c r="I382" s="176" t="s">
        <v>973</v>
      </c>
      <c r="J382" s="177" t="s">
        <v>21</v>
      </c>
      <c r="K382" s="178">
        <f t="shared" si="65"/>
        <v>1534.2030414472588</v>
      </c>
      <c r="L382" s="176"/>
      <c r="M382" s="178">
        <v>1600</v>
      </c>
      <c r="O382" s="175"/>
      <c r="P382" s="175"/>
      <c r="Q382" s="175"/>
      <c r="R382" s="175"/>
      <c r="S382" s="175"/>
      <c r="T382" s="175">
        <v>1534.2030414472588</v>
      </c>
      <c r="U382" s="175"/>
      <c r="V382" s="175"/>
      <c r="W382" s="175"/>
      <c r="X382" s="175"/>
      <c r="Y382" s="175"/>
      <c r="Z382" s="175"/>
      <c r="AA382" s="175"/>
      <c r="AB382" s="175"/>
      <c r="AC382" s="175"/>
      <c r="AH382" s="175"/>
      <c r="AI382" s="175"/>
    </row>
    <row r="383" spans="1:35" s="178" customFormat="1" x14ac:dyDescent="0.25">
      <c r="A383" s="176"/>
      <c r="B383" s="176"/>
      <c r="C383" s="176"/>
      <c r="D383" s="176"/>
      <c r="E383" s="176"/>
      <c r="F383" s="176"/>
      <c r="G383" s="176"/>
      <c r="H383" s="176"/>
      <c r="I383" s="176"/>
      <c r="J383" s="177"/>
      <c r="L383" s="176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  <c r="AA383" s="175"/>
      <c r="AB383" s="175"/>
      <c r="AC383" s="175"/>
      <c r="AH383" s="175"/>
      <c r="AI383" s="175"/>
    </row>
    <row r="384" spans="1:35" x14ac:dyDescent="0.25">
      <c r="K384" s="175"/>
      <c r="M384" s="175"/>
      <c r="N384" s="175"/>
    </row>
    <row r="385" spans="1:35" s="178" customFormat="1" x14ac:dyDescent="0.25">
      <c r="A385" s="176"/>
      <c r="B385" s="176"/>
      <c r="C385" s="176">
        <f t="shared" ref="C385" si="66">IF(E385=E384,C384+1,1)</f>
        <v>1</v>
      </c>
      <c r="D385" s="176">
        <f t="shared" ref="D385" si="67">IF(M385=M384,D384,C385)</f>
        <v>1</v>
      </c>
      <c r="E385" s="176">
        <f t="shared" ref="E385" si="68">10+VALUE(RIGHT(LEFT(G385,3),1))</f>
        <v>17</v>
      </c>
      <c r="F385" s="176" t="str">
        <f t="shared" ref="F385" si="69">RIGHT(G385,2) &amp; IF(A385&lt;2,"x","")</f>
        <v>crx</v>
      </c>
      <c r="G385" s="176" t="s">
        <v>987</v>
      </c>
      <c r="H385" s="176"/>
      <c r="I385" s="176" t="s">
        <v>986</v>
      </c>
      <c r="J385" s="177" t="s">
        <v>21</v>
      </c>
      <c r="K385" s="178">
        <f t="shared" ref="K385" si="70">LOOKUP(1E+100,M385:AC385)</f>
        <v>2454.1833326686874</v>
      </c>
      <c r="L385" s="176"/>
      <c r="M385" s="178">
        <v>2400</v>
      </c>
      <c r="O385" s="175"/>
      <c r="P385" s="175"/>
      <c r="Q385" s="175"/>
      <c r="R385" s="175"/>
      <c r="S385" s="175"/>
      <c r="T385" s="175">
        <v>2454.1833326686874</v>
      </c>
      <c r="U385" s="175"/>
      <c r="V385" s="175"/>
      <c r="W385" s="175"/>
      <c r="X385" s="175"/>
      <c r="Y385" s="175"/>
      <c r="Z385" s="175"/>
      <c r="AA385" s="175"/>
      <c r="AB385" s="175"/>
      <c r="AC385" s="175"/>
      <c r="AH385" s="175"/>
      <c r="AI385" s="175"/>
    </row>
    <row r="386" spans="1:35" x14ac:dyDescent="0.25">
      <c r="K386" s="175"/>
      <c r="M386" s="175"/>
      <c r="N386" s="175"/>
    </row>
    <row r="387" spans="1:35" s="178" customFormat="1" x14ac:dyDescent="0.25">
      <c r="A387" s="176"/>
      <c r="B387" s="176"/>
      <c r="C387" s="176">
        <f t="shared" ref="C387" si="71">IF(E387=E386,C386+1,1)</f>
        <v>1</v>
      </c>
      <c r="D387" s="176">
        <f t="shared" ref="D387" si="72">IF(M387=M386,D386,C387)</f>
        <v>1</v>
      </c>
      <c r="E387" s="176">
        <f t="shared" ref="E387" si="73">10+VALUE(RIGHT(LEFT(G387,3),1))</f>
        <v>13</v>
      </c>
      <c r="F387" s="176" t="str">
        <f t="shared" ref="F387" si="74">RIGHT(G387,2) &amp; IF(A387&lt;2,"x","")</f>
        <v>pmx</v>
      </c>
      <c r="G387" s="176" t="s">
        <v>999</v>
      </c>
      <c r="H387" s="176"/>
      <c r="I387" s="176" t="s">
        <v>998</v>
      </c>
      <c r="J387" s="177" t="s">
        <v>21</v>
      </c>
      <c r="K387" s="178">
        <f t="shared" ref="K387" si="75">LOOKUP(1E+100,M387:AC387)</f>
        <v>1139.4725405231391</v>
      </c>
      <c r="L387" s="176"/>
      <c r="M387" s="178">
        <v>1200</v>
      </c>
      <c r="O387" s="175"/>
      <c r="P387" s="175"/>
      <c r="Q387" s="175"/>
      <c r="R387" s="175"/>
      <c r="S387" s="175"/>
      <c r="T387" s="175">
        <v>1139.4725405231391</v>
      </c>
      <c r="U387" s="175"/>
      <c r="V387" s="175"/>
      <c r="W387" s="175"/>
      <c r="X387" s="175"/>
      <c r="Y387" s="175"/>
      <c r="Z387" s="175"/>
      <c r="AA387" s="175"/>
      <c r="AB387" s="175"/>
      <c r="AC387" s="175"/>
      <c r="AH387" s="175"/>
      <c r="AI387" s="175"/>
    </row>
    <row r="388" spans="1:35" x14ac:dyDescent="0.25">
      <c r="K388" s="175"/>
      <c r="M388" s="175"/>
      <c r="N388" s="175"/>
    </row>
    <row r="389" spans="1:35" x14ac:dyDescent="0.25">
      <c r="K389" s="175"/>
      <c r="M389" s="175"/>
      <c r="N389" s="175"/>
    </row>
    <row r="390" spans="1:35" x14ac:dyDescent="0.25">
      <c r="K390" s="175"/>
      <c r="M390" s="175"/>
      <c r="N390" s="175"/>
    </row>
    <row r="391" spans="1:35" x14ac:dyDescent="0.25">
      <c r="K391" s="175"/>
      <c r="M391" s="175"/>
      <c r="N391" s="175"/>
    </row>
    <row r="392" spans="1:35" x14ac:dyDescent="0.25">
      <c r="K392" s="175"/>
      <c r="M392" s="175"/>
      <c r="N392" s="175"/>
    </row>
    <row r="393" spans="1:35" x14ac:dyDescent="0.25">
      <c r="K393" s="175"/>
      <c r="M393" s="175"/>
      <c r="N393" s="175"/>
    </row>
    <row r="394" spans="1:35" x14ac:dyDescent="0.25">
      <c r="K394" s="175"/>
      <c r="M394" s="175"/>
      <c r="N394" s="175"/>
    </row>
    <row r="395" spans="1:35" x14ac:dyDescent="0.25">
      <c r="K395" s="175"/>
      <c r="M395" s="175"/>
      <c r="N395" s="175"/>
    </row>
    <row r="396" spans="1:35" x14ac:dyDescent="0.25">
      <c r="K396" s="175"/>
      <c r="M396" s="175"/>
      <c r="N396" s="175"/>
    </row>
    <row r="397" spans="1:35" x14ac:dyDescent="0.25">
      <c r="K397" s="175"/>
      <c r="M397" s="175"/>
      <c r="N397" s="175"/>
    </row>
    <row r="398" spans="1:35" x14ac:dyDescent="0.25">
      <c r="K398" s="175"/>
      <c r="M398" s="175"/>
      <c r="N398" s="175"/>
    </row>
    <row r="399" spans="1:35" x14ac:dyDescent="0.25">
      <c r="K399" s="175"/>
      <c r="M399" s="175"/>
      <c r="N399" s="175"/>
    </row>
    <row r="400" spans="1:35" x14ac:dyDescent="0.25">
      <c r="K400" s="175"/>
      <c r="M400" s="175"/>
      <c r="N400" s="175"/>
    </row>
    <row r="401" spans="11:14" x14ac:dyDescent="0.25">
      <c r="K401" s="175"/>
      <c r="M401" s="175"/>
      <c r="N401" s="175"/>
    </row>
    <row r="402" spans="11:14" x14ac:dyDescent="0.25">
      <c r="K402" s="175"/>
      <c r="M402" s="175"/>
      <c r="N402" s="175"/>
    </row>
    <row r="403" spans="11:14" x14ac:dyDescent="0.25">
      <c r="K403" s="175"/>
      <c r="M403" s="175"/>
      <c r="N403" s="175"/>
    </row>
    <row r="404" spans="11:14" x14ac:dyDescent="0.25">
      <c r="K404" s="175"/>
      <c r="M404" s="175"/>
      <c r="N404" s="175"/>
    </row>
    <row r="405" spans="11:14" x14ac:dyDescent="0.25">
      <c r="K405" s="175"/>
      <c r="M405" s="175"/>
      <c r="N405" s="175"/>
    </row>
    <row r="406" spans="11:14" x14ac:dyDescent="0.25">
      <c r="K406" s="175"/>
      <c r="M406" s="175"/>
      <c r="N406" s="175"/>
    </row>
    <row r="407" spans="11:14" x14ac:dyDescent="0.25">
      <c r="K407" s="175"/>
      <c r="M407" s="175"/>
      <c r="N407" s="175"/>
    </row>
    <row r="408" spans="11:14" x14ac:dyDescent="0.25">
      <c r="K408" s="175"/>
      <c r="M408" s="175"/>
      <c r="N408" s="175"/>
    </row>
    <row r="409" spans="11:14" x14ac:dyDescent="0.25">
      <c r="K409" s="175"/>
      <c r="M409" s="175"/>
      <c r="N409" s="175"/>
    </row>
    <row r="410" spans="11:14" x14ac:dyDescent="0.25">
      <c r="K410" s="175"/>
      <c r="M410" s="175"/>
      <c r="N410" s="175"/>
    </row>
    <row r="411" spans="11:14" x14ac:dyDescent="0.25">
      <c r="K411" s="175"/>
      <c r="M411" s="175"/>
      <c r="N411" s="175"/>
    </row>
    <row r="412" spans="11:14" x14ac:dyDescent="0.25">
      <c r="K412" s="175"/>
      <c r="M412" s="175"/>
      <c r="N412" s="175"/>
    </row>
    <row r="413" spans="11:14" x14ac:dyDescent="0.25">
      <c r="K413" s="175"/>
      <c r="M413" s="175"/>
      <c r="N413" s="175"/>
    </row>
    <row r="414" spans="11:14" x14ac:dyDescent="0.25">
      <c r="K414" s="175"/>
      <c r="M414" s="175"/>
      <c r="N414" s="175"/>
    </row>
    <row r="415" spans="11:14" x14ac:dyDescent="0.25">
      <c r="K415" s="175"/>
      <c r="M415" s="175"/>
      <c r="N415" s="175"/>
    </row>
    <row r="416" spans="11:14" x14ac:dyDescent="0.25">
      <c r="K416" s="175"/>
      <c r="M416" s="175"/>
      <c r="N416" s="175"/>
    </row>
    <row r="417" spans="11:14" x14ac:dyDescent="0.25">
      <c r="K417" s="175"/>
      <c r="M417" s="175"/>
      <c r="N417" s="175"/>
    </row>
    <row r="418" spans="11:14" x14ac:dyDescent="0.25">
      <c r="K418" s="175"/>
      <c r="M418" s="175"/>
      <c r="N418" s="175"/>
    </row>
    <row r="419" spans="11:14" x14ac:dyDescent="0.25">
      <c r="K419" s="175"/>
      <c r="M419" s="175"/>
      <c r="N419" s="175"/>
    </row>
    <row r="420" spans="11:14" x14ac:dyDescent="0.25">
      <c r="K420" s="175"/>
      <c r="M420" s="175"/>
      <c r="N420" s="175"/>
    </row>
    <row r="421" spans="11:14" x14ac:dyDescent="0.25">
      <c r="K421" s="175"/>
      <c r="M421" s="175"/>
      <c r="N421" s="175"/>
    </row>
    <row r="422" spans="11:14" x14ac:dyDescent="0.25">
      <c r="K422" s="175"/>
      <c r="M422" s="175"/>
      <c r="N422" s="175"/>
    </row>
    <row r="423" spans="11:14" x14ac:dyDescent="0.25">
      <c r="K423" s="175"/>
      <c r="M423" s="175"/>
      <c r="N423" s="175"/>
    </row>
    <row r="424" spans="11:14" x14ac:dyDescent="0.25">
      <c r="K424" s="175"/>
      <c r="M424" s="175"/>
      <c r="N424" s="175"/>
    </row>
    <row r="425" spans="11:14" x14ac:dyDescent="0.25">
      <c r="K425" s="175"/>
      <c r="M425" s="175"/>
      <c r="N425" s="175"/>
    </row>
    <row r="426" spans="11:14" x14ac:dyDescent="0.25">
      <c r="K426" s="175"/>
      <c r="M426" s="175"/>
      <c r="N426" s="175"/>
    </row>
    <row r="427" spans="11:14" x14ac:dyDescent="0.25">
      <c r="K427" s="175"/>
      <c r="M427" s="175"/>
      <c r="N427" s="175"/>
    </row>
    <row r="428" spans="11:14" x14ac:dyDescent="0.25">
      <c r="K428" s="175"/>
      <c r="M428" s="175"/>
      <c r="N428" s="175"/>
    </row>
    <row r="429" spans="11:14" x14ac:dyDescent="0.25">
      <c r="K429" s="175"/>
      <c r="M429" s="175"/>
      <c r="N429" s="175"/>
    </row>
    <row r="430" spans="11:14" x14ac:dyDescent="0.25">
      <c r="K430" s="175"/>
      <c r="M430" s="175"/>
      <c r="N430" s="175"/>
    </row>
    <row r="431" spans="11:14" x14ac:dyDescent="0.25">
      <c r="K431" s="175"/>
      <c r="M431" s="175"/>
      <c r="N431" s="175"/>
    </row>
    <row r="432" spans="11:14" x14ac:dyDescent="0.25">
      <c r="K432" s="175"/>
      <c r="M432" s="175"/>
      <c r="N432" s="175"/>
    </row>
    <row r="433" spans="11:14" x14ac:dyDescent="0.25">
      <c r="K433" s="175"/>
      <c r="M433" s="175"/>
      <c r="N433" s="175"/>
    </row>
    <row r="434" spans="11:14" x14ac:dyDescent="0.25">
      <c r="K434" s="175"/>
      <c r="M434" s="175"/>
      <c r="N434" s="175"/>
    </row>
    <row r="435" spans="11:14" x14ac:dyDescent="0.25">
      <c r="K435" s="175"/>
      <c r="M435" s="175"/>
      <c r="N435" s="175"/>
    </row>
    <row r="436" spans="11:14" x14ac:dyDescent="0.25">
      <c r="K436" s="175"/>
      <c r="M436" s="175"/>
      <c r="N436" s="175"/>
    </row>
    <row r="437" spans="11:14" x14ac:dyDescent="0.25">
      <c r="K437" s="175"/>
      <c r="M437" s="175"/>
      <c r="N437" s="175"/>
    </row>
    <row r="438" spans="11:14" x14ac:dyDescent="0.25">
      <c r="K438" s="175"/>
      <c r="M438" s="175"/>
      <c r="N438" s="175"/>
    </row>
    <row r="439" spans="11:14" x14ac:dyDescent="0.25">
      <c r="K439" s="175"/>
      <c r="M439" s="175"/>
      <c r="N439" s="175"/>
    </row>
    <row r="440" spans="11:14" x14ac:dyDescent="0.25">
      <c r="K440" s="175"/>
      <c r="M440" s="175"/>
      <c r="N440" s="175"/>
    </row>
    <row r="441" spans="11:14" x14ac:dyDescent="0.25">
      <c r="K441" s="175"/>
      <c r="M441" s="175"/>
      <c r="N441" s="175"/>
    </row>
    <row r="442" spans="11:14" x14ac:dyDescent="0.25">
      <c r="K442" s="175"/>
      <c r="M442" s="175"/>
      <c r="N442" s="175"/>
    </row>
    <row r="443" spans="11:14" x14ac:dyDescent="0.25">
      <c r="K443" s="175"/>
      <c r="M443" s="175"/>
      <c r="N443" s="175"/>
    </row>
    <row r="444" spans="11:14" x14ac:dyDescent="0.25">
      <c r="K444" s="175"/>
      <c r="M444" s="175"/>
      <c r="N444" s="175"/>
    </row>
    <row r="445" spans="11:14" x14ac:dyDescent="0.25">
      <c r="K445" s="175"/>
      <c r="M445" s="175"/>
      <c r="N445" s="175"/>
    </row>
    <row r="446" spans="11:14" x14ac:dyDescent="0.25">
      <c r="K446" s="175"/>
      <c r="M446" s="175"/>
      <c r="N446" s="175"/>
    </row>
    <row r="447" spans="11:14" x14ac:dyDescent="0.25">
      <c r="K447" s="175"/>
      <c r="M447" s="175"/>
      <c r="N447" s="175"/>
    </row>
    <row r="448" spans="11:14" x14ac:dyDescent="0.25">
      <c r="K448" s="175"/>
      <c r="M448" s="175"/>
      <c r="N448" s="175"/>
    </row>
    <row r="449" spans="11:14" x14ac:dyDescent="0.25">
      <c r="K449" s="175"/>
      <c r="M449" s="175"/>
      <c r="N449" s="175"/>
    </row>
    <row r="450" spans="11:14" x14ac:dyDescent="0.25">
      <c r="K450" s="175"/>
      <c r="M450" s="175"/>
      <c r="N450" s="175"/>
    </row>
    <row r="451" spans="11:14" x14ac:dyDescent="0.25">
      <c r="K451" s="175"/>
      <c r="M451" s="175"/>
      <c r="N451" s="175"/>
    </row>
    <row r="452" spans="11:14" x14ac:dyDescent="0.25">
      <c r="K452" s="175"/>
      <c r="M452" s="175"/>
      <c r="N452" s="175"/>
    </row>
    <row r="453" spans="11:14" x14ac:dyDescent="0.25">
      <c r="K453" s="175"/>
      <c r="M453" s="175"/>
      <c r="N453" s="175"/>
    </row>
    <row r="454" spans="11:14" x14ac:dyDescent="0.25">
      <c r="K454" s="175"/>
      <c r="M454" s="175"/>
      <c r="N454" s="175"/>
    </row>
    <row r="455" spans="11:14" x14ac:dyDescent="0.25">
      <c r="K455" s="175"/>
      <c r="M455" s="175"/>
      <c r="N455" s="175"/>
    </row>
    <row r="456" spans="11:14" x14ac:dyDescent="0.25">
      <c r="K456" s="175"/>
      <c r="M456" s="175"/>
      <c r="N456" s="175"/>
    </row>
    <row r="457" spans="11:14" x14ac:dyDescent="0.25">
      <c r="K457" s="175"/>
      <c r="M457" s="175"/>
      <c r="N457" s="175"/>
    </row>
    <row r="458" spans="11:14" x14ac:dyDescent="0.25">
      <c r="K458" s="175"/>
      <c r="M458" s="175"/>
      <c r="N458" s="175"/>
    </row>
    <row r="459" spans="11:14" x14ac:dyDescent="0.25">
      <c r="K459" s="175"/>
      <c r="M459" s="175"/>
      <c r="N459" s="175"/>
    </row>
    <row r="460" spans="11:14" x14ac:dyDescent="0.25">
      <c r="K460" s="175"/>
      <c r="M460" s="175"/>
      <c r="N460" s="175"/>
    </row>
    <row r="461" spans="11:14" x14ac:dyDescent="0.25">
      <c r="K461" s="175"/>
      <c r="M461" s="175"/>
      <c r="N461" s="175"/>
    </row>
    <row r="462" spans="11:14" x14ac:dyDescent="0.25">
      <c r="K462" s="175"/>
      <c r="M462" s="175"/>
      <c r="N462" s="175"/>
    </row>
    <row r="463" spans="11:14" x14ac:dyDescent="0.25">
      <c r="K463" s="175"/>
      <c r="M463" s="175"/>
      <c r="N463" s="175"/>
    </row>
    <row r="464" spans="11:14" x14ac:dyDescent="0.25">
      <c r="K464" s="175"/>
      <c r="M464" s="175"/>
      <c r="N464" s="175"/>
    </row>
    <row r="465" spans="11:14" x14ac:dyDescent="0.25">
      <c r="K465" s="175"/>
      <c r="M465" s="175"/>
      <c r="N465" s="175"/>
    </row>
    <row r="466" spans="11:14" x14ac:dyDescent="0.25">
      <c r="K466" s="175"/>
      <c r="M466" s="175"/>
      <c r="N466" s="175"/>
    </row>
    <row r="467" spans="11:14" x14ac:dyDescent="0.25">
      <c r="K467" s="175"/>
      <c r="M467" s="175"/>
      <c r="N467" s="175"/>
    </row>
    <row r="468" spans="11:14" x14ac:dyDescent="0.25">
      <c r="K468" s="175"/>
      <c r="M468" s="175"/>
      <c r="N468" s="175"/>
    </row>
    <row r="469" spans="11:14" x14ac:dyDescent="0.25">
      <c r="K469" s="175"/>
      <c r="M469" s="175"/>
      <c r="N469" s="175"/>
    </row>
    <row r="470" spans="11:14" x14ac:dyDescent="0.25">
      <c r="K470" s="175"/>
      <c r="M470" s="175"/>
      <c r="N470" s="175"/>
    </row>
    <row r="471" spans="11:14" x14ac:dyDescent="0.25">
      <c r="K471" s="175"/>
      <c r="M471" s="175"/>
      <c r="N471" s="175"/>
    </row>
    <row r="472" spans="11:14" x14ac:dyDescent="0.25">
      <c r="K472" s="175"/>
      <c r="M472" s="175"/>
      <c r="N472" s="175"/>
    </row>
    <row r="473" spans="11:14" x14ac:dyDescent="0.25">
      <c r="K473" s="175"/>
      <c r="M473" s="175"/>
      <c r="N473" s="175"/>
    </row>
    <row r="474" spans="11:14" x14ac:dyDescent="0.25">
      <c r="K474" s="175"/>
      <c r="M474" s="175"/>
      <c r="N474" s="175"/>
    </row>
    <row r="475" spans="11:14" x14ac:dyDescent="0.25">
      <c r="K475" s="175"/>
      <c r="M475" s="175"/>
      <c r="N475" s="175"/>
    </row>
    <row r="476" spans="11:14" x14ac:dyDescent="0.25">
      <c r="K476" s="175"/>
      <c r="M476" s="175"/>
      <c r="N476" s="175"/>
    </row>
    <row r="477" spans="11:14" x14ac:dyDescent="0.25">
      <c r="K477" s="175"/>
      <c r="M477" s="175"/>
      <c r="N477" s="175"/>
    </row>
    <row r="478" spans="11:14" x14ac:dyDescent="0.25">
      <c r="K478" s="175"/>
      <c r="M478" s="175"/>
      <c r="N478" s="175"/>
    </row>
    <row r="479" spans="11:14" x14ac:dyDescent="0.25">
      <c r="K479" s="175"/>
      <c r="M479" s="175"/>
      <c r="N479" s="175"/>
    </row>
    <row r="480" spans="11:14" x14ac:dyDescent="0.25">
      <c r="K480" s="175"/>
      <c r="M480" s="175"/>
      <c r="N480" s="175"/>
    </row>
    <row r="481" spans="11:14" x14ac:dyDescent="0.25">
      <c r="K481" s="175"/>
      <c r="M481" s="175"/>
      <c r="N481" s="175"/>
    </row>
    <row r="482" spans="11:14" x14ac:dyDescent="0.25">
      <c r="K482" s="175"/>
      <c r="M482" s="175"/>
      <c r="N482" s="175"/>
    </row>
    <row r="483" spans="11:14" x14ac:dyDescent="0.25">
      <c r="K483" s="175"/>
      <c r="M483" s="175"/>
      <c r="N483" s="175"/>
    </row>
    <row r="484" spans="11:14" x14ac:dyDescent="0.25">
      <c r="K484" s="175"/>
      <c r="M484" s="175"/>
      <c r="N484" s="175"/>
    </row>
    <row r="485" spans="11:14" x14ac:dyDescent="0.25">
      <c r="K485" s="175"/>
      <c r="M485" s="175"/>
      <c r="N485" s="175"/>
    </row>
    <row r="486" spans="11:14" x14ac:dyDescent="0.25">
      <c r="K486" s="175"/>
      <c r="M486" s="175"/>
      <c r="N486" s="175"/>
    </row>
    <row r="487" spans="11:14" x14ac:dyDescent="0.25">
      <c r="K487" s="175"/>
      <c r="M487" s="175"/>
      <c r="N487" s="175"/>
    </row>
    <row r="488" spans="11:14" x14ac:dyDescent="0.25">
      <c r="K488" s="175"/>
      <c r="M488" s="175"/>
      <c r="N488" s="175"/>
    </row>
    <row r="489" spans="11:14" x14ac:dyDescent="0.25">
      <c r="K489" s="175"/>
      <c r="M489" s="175"/>
      <c r="N489" s="175"/>
    </row>
    <row r="490" spans="11:14" x14ac:dyDescent="0.25">
      <c r="K490" s="175"/>
      <c r="M490" s="175"/>
      <c r="N490" s="175"/>
    </row>
    <row r="491" spans="11:14" x14ac:dyDescent="0.25">
      <c r="K491" s="175"/>
      <c r="M491" s="175"/>
      <c r="N491" s="175"/>
    </row>
    <row r="492" spans="11:14" x14ac:dyDescent="0.25">
      <c r="K492" s="175"/>
      <c r="M492" s="175"/>
      <c r="N492" s="175"/>
    </row>
    <row r="493" spans="11:14" x14ac:dyDescent="0.25">
      <c r="K493" s="175"/>
      <c r="M493" s="175"/>
      <c r="N493" s="175"/>
    </row>
    <row r="494" spans="11:14" x14ac:dyDescent="0.25">
      <c r="K494" s="175"/>
      <c r="M494" s="175"/>
      <c r="N494" s="175"/>
    </row>
    <row r="495" spans="11:14" x14ac:dyDescent="0.25">
      <c r="K495" s="175"/>
      <c r="M495" s="175"/>
      <c r="N495" s="175"/>
    </row>
    <row r="496" spans="11:14" x14ac:dyDescent="0.25">
      <c r="K496" s="175"/>
      <c r="M496" s="175"/>
      <c r="N496" s="175"/>
    </row>
    <row r="497" spans="11:14" x14ac:dyDescent="0.25">
      <c r="K497" s="175"/>
      <c r="M497" s="175"/>
      <c r="N497" s="175"/>
    </row>
    <row r="498" spans="11:14" x14ac:dyDescent="0.25">
      <c r="K498" s="175"/>
      <c r="M498" s="175"/>
      <c r="N498" s="175"/>
    </row>
    <row r="499" spans="11:14" x14ac:dyDescent="0.25">
      <c r="K499" s="175"/>
      <c r="M499" s="175"/>
      <c r="N499" s="175"/>
    </row>
    <row r="500" spans="11:14" x14ac:dyDescent="0.25">
      <c r="K500" s="175"/>
      <c r="M500" s="175"/>
      <c r="N500" s="175"/>
    </row>
    <row r="501" spans="11:14" x14ac:dyDescent="0.25">
      <c r="K501" s="175"/>
      <c r="M501" s="175"/>
      <c r="N501" s="175"/>
    </row>
    <row r="502" spans="11:14" x14ac:dyDescent="0.25">
      <c r="K502" s="175"/>
      <c r="M502" s="175"/>
      <c r="N502" s="175"/>
    </row>
    <row r="503" spans="11:14" x14ac:dyDescent="0.25">
      <c r="K503" s="175"/>
      <c r="M503" s="175"/>
      <c r="N503" s="175"/>
    </row>
    <row r="504" spans="11:14" x14ac:dyDescent="0.25">
      <c r="K504" s="175"/>
      <c r="M504" s="175"/>
      <c r="N504" s="175"/>
    </row>
    <row r="505" spans="11:14" x14ac:dyDescent="0.25">
      <c r="K505" s="175"/>
      <c r="M505" s="175"/>
      <c r="N505" s="175"/>
    </row>
    <row r="506" spans="11:14" x14ac:dyDescent="0.25">
      <c r="K506" s="175"/>
      <c r="M506" s="175"/>
      <c r="N506" s="175"/>
    </row>
    <row r="507" spans="11:14" x14ac:dyDescent="0.25">
      <c r="K507" s="175"/>
      <c r="M507" s="175"/>
      <c r="N507" s="175"/>
    </row>
    <row r="508" spans="11:14" x14ac:dyDescent="0.25">
      <c r="K508" s="175"/>
      <c r="M508" s="175"/>
      <c r="N508" s="175"/>
    </row>
    <row r="509" spans="11:14" x14ac:dyDescent="0.25">
      <c r="K509" s="175"/>
      <c r="M509" s="175"/>
      <c r="N509" s="175"/>
    </row>
    <row r="510" spans="11:14" x14ac:dyDescent="0.25">
      <c r="K510" s="175"/>
      <c r="M510" s="175"/>
      <c r="N510" s="175"/>
    </row>
    <row r="511" spans="11:14" x14ac:dyDescent="0.25">
      <c r="K511" s="175"/>
      <c r="M511" s="175"/>
      <c r="N511" s="175"/>
    </row>
    <row r="512" spans="11:14" x14ac:dyDescent="0.25">
      <c r="K512" s="175"/>
      <c r="M512" s="175"/>
      <c r="N512" s="175"/>
    </row>
    <row r="513" spans="11:14" x14ac:dyDescent="0.25">
      <c r="K513" s="175"/>
      <c r="M513" s="175"/>
      <c r="N513" s="175"/>
    </row>
    <row r="514" spans="11:14" x14ac:dyDescent="0.25">
      <c r="K514" s="175"/>
      <c r="M514" s="175"/>
      <c r="N514" s="175"/>
    </row>
    <row r="515" spans="11:14" x14ac:dyDescent="0.25">
      <c r="K515" s="175"/>
      <c r="M515" s="175"/>
      <c r="N515" s="175"/>
    </row>
    <row r="516" spans="11:14" x14ac:dyDescent="0.25">
      <c r="K516" s="175"/>
      <c r="M516" s="175"/>
      <c r="N516" s="175"/>
    </row>
    <row r="517" spans="11:14" x14ac:dyDescent="0.25">
      <c r="K517" s="175"/>
      <c r="M517" s="175"/>
      <c r="N517" s="175"/>
    </row>
    <row r="518" spans="11:14" x14ac:dyDescent="0.25">
      <c r="K518" s="175"/>
      <c r="M518" s="175"/>
      <c r="N518" s="175"/>
    </row>
    <row r="519" spans="11:14" x14ac:dyDescent="0.25">
      <c r="K519" s="175"/>
      <c r="M519" s="175"/>
      <c r="N519" s="175"/>
    </row>
    <row r="520" spans="11:14" x14ac:dyDescent="0.25">
      <c r="K520" s="175"/>
      <c r="M520" s="175"/>
      <c r="N520" s="175"/>
    </row>
    <row r="521" spans="11:14" x14ac:dyDescent="0.25">
      <c r="K521" s="175"/>
      <c r="M521" s="175"/>
      <c r="N521" s="175"/>
    </row>
    <row r="522" spans="11:14" x14ac:dyDescent="0.25">
      <c r="K522" s="175"/>
      <c r="M522" s="175"/>
      <c r="N522" s="175"/>
    </row>
    <row r="523" spans="11:14" x14ac:dyDescent="0.25">
      <c r="K523" s="175"/>
      <c r="M523" s="175"/>
      <c r="N523" s="175"/>
    </row>
    <row r="524" spans="11:14" x14ac:dyDescent="0.25">
      <c r="K524" s="175"/>
      <c r="M524" s="175"/>
      <c r="N524" s="175"/>
    </row>
    <row r="525" spans="11:14" x14ac:dyDescent="0.25">
      <c r="K525" s="175"/>
      <c r="M525" s="175"/>
      <c r="N525" s="175"/>
    </row>
    <row r="526" spans="11:14" x14ac:dyDescent="0.25">
      <c r="K526" s="175"/>
      <c r="M526" s="175"/>
      <c r="N526" s="175"/>
    </row>
    <row r="527" spans="11:14" x14ac:dyDescent="0.25">
      <c r="K527" s="175"/>
      <c r="M527" s="175"/>
      <c r="N527" s="175"/>
    </row>
    <row r="528" spans="11:14" x14ac:dyDescent="0.25">
      <c r="K528" s="175"/>
      <c r="M528" s="175"/>
      <c r="N528" s="175"/>
    </row>
    <row r="529" spans="11:14" x14ac:dyDescent="0.25">
      <c r="K529" s="175"/>
      <c r="M529" s="175"/>
      <c r="N529" s="175"/>
    </row>
    <row r="530" spans="11:14" x14ac:dyDescent="0.25">
      <c r="K530" s="175"/>
      <c r="M530" s="175"/>
      <c r="N530" s="175"/>
    </row>
    <row r="531" spans="11:14" x14ac:dyDescent="0.25">
      <c r="K531" s="175"/>
      <c r="M531" s="175"/>
      <c r="N531" s="175"/>
    </row>
    <row r="532" spans="11:14" x14ac:dyDescent="0.25">
      <c r="K532" s="175"/>
      <c r="M532" s="175"/>
      <c r="N532" s="175"/>
    </row>
    <row r="533" spans="11:14" x14ac:dyDescent="0.25">
      <c r="K533" s="175"/>
      <c r="M533" s="175"/>
      <c r="N533" s="175"/>
    </row>
    <row r="534" spans="11:14" x14ac:dyDescent="0.25">
      <c r="K534" s="175"/>
      <c r="M534" s="175"/>
      <c r="N534" s="175"/>
    </row>
    <row r="535" spans="11:14" x14ac:dyDescent="0.25">
      <c r="K535" s="175"/>
      <c r="M535" s="175"/>
      <c r="N535" s="175"/>
    </row>
    <row r="536" spans="11:14" x14ac:dyDescent="0.25">
      <c r="K536" s="175"/>
      <c r="M536" s="175"/>
      <c r="N536" s="175"/>
    </row>
    <row r="537" spans="11:14" x14ac:dyDescent="0.25">
      <c r="K537" s="175"/>
      <c r="M537" s="175"/>
      <c r="N537" s="175"/>
    </row>
    <row r="538" spans="11:14" x14ac:dyDescent="0.25">
      <c r="K538" s="175"/>
      <c r="M538" s="175"/>
      <c r="N538" s="175"/>
    </row>
    <row r="539" spans="11:14" x14ac:dyDescent="0.25">
      <c r="K539" s="175"/>
      <c r="M539" s="175"/>
      <c r="N539" s="175"/>
    </row>
    <row r="540" spans="11:14" x14ac:dyDescent="0.25">
      <c r="K540" s="175"/>
      <c r="M540" s="175"/>
      <c r="N540" s="175"/>
    </row>
    <row r="541" spans="11:14" x14ac:dyDescent="0.25">
      <c r="K541" s="175"/>
      <c r="M541" s="175"/>
      <c r="N541" s="175"/>
    </row>
    <row r="542" spans="11:14" x14ac:dyDescent="0.25">
      <c r="K542" s="175"/>
      <c r="M542" s="175"/>
      <c r="N542" s="175"/>
    </row>
    <row r="543" spans="11:14" x14ac:dyDescent="0.25">
      <c r="K543" s="175"/>
      <c r="M543" s="175"/>
      <c r="N543" s="175"/>
    </row>
    <row r="544" spans="11:14" x14ac:dyDescent="0.25">
      <c r="K544" s="175"/>
      <c r="M544" s="175"/>
      <c r="N544" s="175"/>
    </row>
    <row r="545" spans="11:14" x14ac:dyDescent="0.25">
      <c r="K545" s="175"/>
      <c r="M545" s="175"/>
      <c r="N545" s="175"/>
    </row>
    <row r="546" spans="11:14" x14ac:dyDescent="0.25">
      <c r="K546" s="175"/>
      <c r="M546" s="175"/>
      <c r="N546" s="175"/>
    </row>
    <row r="547" spans="11:14" x14ac:dyDescent="0.25">
      <c r="K547" s="175"/>
      <c r="M547" s="175"/>
      <c r="N547" s="175"/>
    </row>
    <row r="548" spans="11:14" x14ac:dyDescent="0.25">
      <c r="K548" s="175"/>
      <c r="M548" s="175"/>
      <c r="N548" s="175"/>
    </row>
    <row r="549" spans="11:14" x14ac:dyDescent="0.25">
      <c r="K549" s="175"/>
      <c r="M549" s="175"/>
      <c r="N549" s="175"/>
    </row>
    <row r="550" spans="11:14" x14ac:dyDescent="0.25">
      <c r="K550" s="175"/>
      <c r="M550" s="175"/>
      <c r="N550" s="175"/>
    </row>
    <row r="551" spans="11:14" x14ac:dyDescent="0.25">
      <c r="K551" s="175"/>
      <c r="M551" s="175"/>
      <c r="N551" s="175"/>
    </row>
    <row r="552" spans="11:14" x14ac:dyDescent="0.25">
      <c r="K552" s="175"/>
      <c r="M552" s="175"/>
      <c r="N552" s="175"/>
    </row>
    <row r="553" spans="11:14" x14ac:dyDescent="0.25">
      <c r="K553" s="175"/>
      <c r="M553" s="175"/>
      <c r="N553" s="175"/>
    </row>
    <row r="554" spans="11:14" x14ac:dyDescent="0.25">
      <c r="K554" s="175"/>
      <c r="M554" s="175"/>
      <c r="N554" s="175"/>
    </row>
    <row r="555" spans="11:14" x14ac:dyDescent="0.25">
      <c r="K555" s="175"/>
      <c r="M555" s="175"/>
      <c r="N555" s="175"/>
    </row>
    <row r="556" spans="11:14" x14ac:dyDescent="0.25">
      <c r="K556" s="175"/>
      <c r="M556" s="175"/>
      <c r="N556" s="175"/>
    </row>
    <row r="557" spans="11:14" x14ac:dyDescent="0.25">
      <c r="K557" s="175"/>
      <c r="M557" s="175"/>
      <c r="N557" s="175"/>
    </row>
    <row r="558" spans="11:14" x14ac:dyDescent="0.25">
      <c r="K558" s="175"/>
      <c r="M558" s="175"/>
      <c r="N558" s="175"/>
    </row>
    <row r="559" spans="11:14" x14ac:dyDescent="0.25">
      <c r="K559" s="175"/>
      <c r="M559" s="175"/>
      <c r="N559" s="175"/>
    </row>
    <row r="560" spans="11:14" x14ac:dyDescent="0.25">
      <c r="K560" s="175"/>
      <c r="M560" s="175"/>
      <c r="N560" s="175"/>
    </row>
    <row r="561" spans="11:14" x14ac:dyDescent="0.25">
      <c r="K561" s="175"/>
      <c r="M561" s="175"/>
      <c r="N561" s="175"/>
    </row>
    <row r="562" spans="11:14" x14ac:dyDescent="0.25">
      <c r="K562" s="175"/>
      <c r="M562" s="175"/>
      <c r="N562" s="175"/>
    </row>
    <row r="563" spans="11:14" x14ac:dyDescent="0.25">
      <c r="K563" s="175"/>
      <c r="M563" s="175"/>
      <c r="N563" s="175"/>
    </row>
    <row r="564" spans="11:14" x14ac:dyDescent="0.25">
      <c r="K564" s="175"/>
      <c r="M564" s="175"/>
      <c r="N564" s="175"/>
    </row>
    <row r="565" spans="11:14" x14ac:dyDescent="0.25">
      <c r="K565" s="175"/>
      <c r="M565" s="175"/>
      <c r="N565" s="175"/>
    </row>
    <row r="566" spans="11:14" x14ac:dyDescent="0.25">
      <c r="K566" s="175"/>
      <c r="M566" s="175"/>
      <c r="N566" s="175"/>
    </row>
    <row r="567" spans="11:14" x14ac:dyDescent="0.25">
      <c r="K567" s="175"/>
      <c r="M567" s="175"/>
      <c r="N567" s="175"/>
    </row>
    <row r="568" spans="11:14" x14ac:dyDescent="0.25">
      <c r="K568" s="175"/>
      <c r="M568" s="175"/>
      <c r="N568" s="175"/>
    </row>
    <row r="569" spans="11:14" x14ac:dyDescent="0.25">
      <c r="K569" s="175"/>
      <c r="M569" s="175"/>
      <c r="N569" s="175"/>
    </row>
    <row r="570" spans="11:14" x14ac:dyDescent="0.25">
      <c r="K570" s="175"/>
      <c r="M570" s="175"/>
      <c r="N570" s="175"/>
    </row>
    <row r="571" spans="11:14" x14ac:dyDescent="0.25">
      <c r="K571" s="175"/>
      <c r="M571" s="175"/>
      <c r="N571" s="175"/>
    </row>
    <row r="572" spans="11:14" x14ac:dyDescent="0.25">
      <c r="K572" s="175"/>
      <c r="M572" s="175"/>
      <c r="N572" s="175"/>
    </row>
    <row r="573" spans="11:14" x14ac:dyDescent="0.25">
      <c r="K573" s="175"/>
      <c r="M573" s="175"/>
      <c r="N573" s="175"/>
    </row>
    <row r="574" spans="11:14" x14ac:dyDescent="0.25">
      <c r="K574" s="175"/>
      <c r="M574" s="175"/>
      <c r="N574" s="175"/>
    </row>
    <row r="575" spans="11:14" x14ac:dyDescent="0.25">
      <c r="K575" s="175"/>
      <c r="M575" s="175"/>
      <c r="N575" s="175"/>
    </row>
    <row r="576" spans="11:14" x14ac:dyDescent="0.25">
      <c r="K576" s="175"/>
      <c r="M576" s="175"/>
      <c r="N576" s="175"/>
    </row>
    <row r="577" spans="11:14" x14ac:dyDescent="0.25">
      <c r="K577" s="175"/>
      <c r="M577" s="175"/>
      <c r="N577" s="175"/>
    </row>
    <row r="578" spans="11:14" x14ac:dyDescent="0.25">
      <c r="K578" s="175"/>
      <c r="M578" s="175"/>
      <c r="N578" s="175"/>
    </row>
    <row r="579" spans="11:14" x14ac:dyDescent="0.25">
      <c r="K579" s="175"/>
      <c r="M579" s="175"/>
      <c r="N579" s="175"/>
    </row>
    <row r="580" spans="11:14" x14ac:dyDescent="0.25">
      <c r="K580" s="175"/>
      <c r="M580" s="175"/>
      <c r="N580" s="175"/>
    </row>
    <row r="581" spans="11:14" x14ac:dyDescent="0.25">
      <c r="K581" s="175"/>
      <c r="M581" s="175"/>
      <c r="N581" s="175"/>
    </row>
    <row r="582" spans="11:14" x14ac:dyDescent="0.25">
      <c r="K582" s="175"/>
      <c r="M582" s="175"/>
      <c r="N582" s="175"/>
    </row>
    <row r="583" spans="11:14" x14ac:dyDescent="0.25">
      <c r="K583" s="175"/>
      <c r="M583" s="175"/>
      <c r="N583" s="175"/>
    </row>
    <row r="584" spans="11:14" x14ac:dyDescent="0.25">
      <c r="K584" s="175"/>
      <c r="M584" s="175"/>
      <c r="N584" s="175"/>
    </row>
    <row r="585" spans="11:14" x14ac:dyDescent="0.25">
      <c r="K585" s="175"/>
      <c r="M585" s="175"/>
      <c r="N585" s="175"/>
    </row>
    <row r="586" spans="11:14" x14ac:dyDescent="0.25">
      <c r="K586" s="175"/>
      <c r="M586" s="175"/>
      <c r="N586" s="175"/>
    </row>
    <row r="587" spans="11:14" x14ac:dyDescent="0.25">
      <c r="K587" s="175"/>
      <c r="M587" s="175"/>
      <c r="N587" s="175"/>
    </row>
    <row r="588" spans="11:14" x14ac:dyDescent="0.25">
      <c r="K588" s="175"/>
      <c r="M588" s="175"/>
      <c r="N588" s="175"/>
    </row>
    <row r="589" spans="11:14" x14ac:dyDescent="0.25">
      <c r="K589" s="175"/>
      <c r="M589" s="175"/>
      <c r="N589" s="175"/>
    </row>
    <row r="590" spans="11:14" x14ac:dyDescent="0.25">
      <c r="K590" s="175"/>
      <c r="M590" s="175"/>
      <c r="N590" s="175"/>
    </row>
    <row r="591" spans="11:14" x14ac:dyDescent="0.25">
      <c r="K591" s="175"/>
      <c r="M591" s="175"/>
      <c r="N591" s="175"/>
    </row>
    <row r="592" spans="11:14" x14ac:dyDescent="0.25">
      <c r="K592" s="175"/>
      <c r="M592" s="175"/>
      <c r="N592" s="175"/>
    </row>
    <row r="593" spans="11:14" x14ac:dyDescent="0.25">
      <c r="K593" s="175"/>
      <c r="M593" s="175"/>
      <c r="N593" s="175"/>
    </row>
    <row r="594" spans="11:14" x14ac:dyDescent="0.25">
      <c r="K594" s="175"/>
      <c r="M594" s="175"/>
      <c r="N594" s="175"/>
    </row>
    <row r="595" spans="11:14" x14ac:dyDescent="0.25">
      <c r="K595" s="175"/>
      <c r="M595" s="175"/>
      <c r="N595" s="175"/>
    </row>
    <row r="596" spans="11:14" x14ac:dyDescent="0.25">
      <c r="K596" s="175"/>
      <c r="M596" s="175"/>
      <c r="N596" s="175"/>
    </row>
    <row r="597" spans="11:14" x14ac:dyDescent="0.25">
      <c r="K597" s="175"/>
      <c r="M597" s="175"/>
      <c r="N597" s="175"/>
    </row>
    <row r="598" spans="11:14" x14ac:dyDescent="0.25">
      <c r="K598" s="175"/>
      <c r="M598" s="175"/>
      <c r="N598" s="175"/>
    </row>
    <row r="599" spans="11:14" x14ac:dyDescent="0.25">
      <c r="K599" s="175"/>
      <c r="M599" s="175"/>
      <c r="N599" s="175"/>
    </row>
    <row r="600" spans="11:14" x14ac:dyDescent="0.25">
      <c r="K600" s="175"/>
      <c r="M600" s="175"/>
      <c r="N600" s="175"/>
    </row>
    <row r="601" spans="11:14" x14ac:dyDescent="0.25">
      <c r="K601" s="175"/>
      <c r="M601" s="175"/>
      <c r="N601" s="175"/>
    </row>
    <row r="602" spans="11:14" x14ac:dyDescent="0.25">
      <c r="K602" s="175"/>
      <c r="M602" s="175"/>
      <c r="N602" s="175"/>
    </row>
    <row r="603" spans="11:14" x14ac:dyDescent="0.25">
      <c r="K603" s="175"/>
      <c r="M603" s="175"/>
      <c r="N603" s="175"/>
    </row>
    <row r="604" spans="11:14" x14ac:dyDescent="0.25">
      <c r="K604" s="175"/>
      <c r="M604" s="175"/>
      <c r="N604" s="175"/>
    </row>
    <row r="605" spans="11:14" x14ac:dyDescent="0.25">
      <c r="K605" s="175"/>
      <c r="M605" s="175"/>
      <c r="N605" s="175"/>
    </row>
    <row r="606" spans="11:14" x14ac:dyDescent="0.25">
      <c r="K606" s="175"/>
      <c r="M606" s="175"/>
      <c r="N606" s="175"/>
    </row>
    <row r="607" spans="11:14" x14ac:dyDescent="0.25">
      <c r="K607" s="175"/>
      <c r="M607" s="175"/>
      <c r="N607" s="175"/>
    </row>
    <row r="608" spans="11:14" x14ac:dyDescent="0.25">
      <c r="K608" s="175"/>
      <c r="M608" s="175"/>
      <c r="N608" s="175"/>
    </row>
    <row r="609" spans="11:14" x14ac:dyDescent="0.25">
      <c r="K609" s="175"/>
      <c r="M609" s="175"/>
      <c r="N609" s="175"/>
    </row>
    <row r="610" spans="11:14" x14ac:dyDescent="0.25">
      <c r="K610" s="175"/>
      <c r="M610" s="175"/>
      <c r="N610" s="175"/>
    </row>
    <row r="611" spans="11:14" x14ac:dyDescent="0.25">
      <c r="K611" s="175"/>
      <c r="M611" s="175"/>
      <c r="N611" s="175"/>
    </row>
    <row r="612" spans="11:14" x14ac:dyDescent="0.25">
      <c r="K612" s="175"/>
      <c r="M612" s="175"/>
      <c r="N612" s="175"/>
    </row>
    <row r="613" spans="11:14" x14ac:dyDescent="0.25">
      <c r="K613" s="175"/>
      <c r="M613" s="175"/>
      <c r="N613" s="175"/>
    </row>
    <row r="614" spans="11:14" x14ac:dyDescent="0.25">
      <c r="K614" s="175"/>
      <c r="M614" s="175"/>
      <c r="N614" s="175"/>
    </row>
    <row r="615" spans="11:14" x14ac:dyDescent="0.25">
      <c r="K615" s="175"/>
      <c r="M615" s="175"/>
      <c r="N615" s="175"/>
    </row>
    <row r="616" spans="11:14" x14ac:dyDescent="0.25">
      <c r="K616" s="175"/>
      <c r="M616" s="175"/>
      <c r="N616" s="175"/>
    </row>
    <row r="617" spans="11:14" x14ac:dyDescent="0.25">
      <c r="K617" s="175"/>
      <c r="M617" s="175"/>
      <c r="N617" s="175"/>
    </row>
    <row r="618" spans="11:14" x14ac:dyDescent="0.25">
      <c r="K618" s="175"/>
      <c r="M618" s="175"/>
      <c r="N618" s="175"/>
    </row>
    <row r="619" spans="11:14" x14ac:dyDescent="0.25">
      <c r="K619" s="175"/>
      <c r="M619" s="175"/>
      <c r="N619" s="175"/>
    </row>
    <row r="620" spans="11:14" x14ac:dyDescent="0.25">
      <c r="K620" s="175"/>
      <c r="M620" s="175"/>
      <c r="N620" s="175"/>
    </row>
    <row r="621" spans="11:14" x14ac:dyDescent="0.25">
      <c r="K621" s="175"/>
      <c r="M621" s="175"/>
      <c r="N621" s="175"/>
    </row>
    <row r="622" spans="11:14" x14ac:dyDescent="0.25">
      <c r="K622" s="175"/>
      <c r="M622" s="175"/>
      <c r="N622" s="175"/>
    </row>
    <row r="623" spans="11:14" x14ac:dyDescent="0.25">
      <c r="K623" s="175"/>
      <c r="M623" s="175"/>
      <c r="N623" s="175"/>
    </row>
    <row r="624" spans="11:14" x14ac:dyDescent="0.25">
      <c r="K624" s="175"/>
      <c r="M624" s="175"/>
      <c r="N624" s="175"/>
    </row>
    <row r="625" spans="11:14" x14ac:dyDescent="0.25">
      <c r="K625" s="175"/>
      <c r="M625" s="175"/>
      <c r="N625" s="175"/>
    </row>
    <row r="626" spans="11:14" x14ac:dyDescent="0.25">
      <c r="K626" s="175"/>
      <c r="M626" s="175"/>
      <c r="N626" s="175"/>
    </row>
    <row r="627" spans="11:14" x14ac:dyDescent="0.25">
      <c r="K627" s="175"/>
      <c r="M627" s="175"/>
      <c r="N627" s="175"/>
    </row>
    <row r="628" spans="11:14" x14ac:dyDescent="0.25">
      <c r="K628" s="175"/>
      <c r="M628" s="175"/>
      <c r="N628" s="175"/>
    </row>
    <row r="629" spans="11:14" x14ac:dyDescent="0.25">
      <c r="K629" s="175"/>
      <c r="M629" s="175"/>
      <c r="N629" s="175"/>
    </row>
    <row r="630" spans="11:14" x14ac:dyDescent="0.25">
      <c r="K630" s="175"/>
      <c r="M630" s="175"/>
      <c r="N630" s="175"/>
    </row>
    <row r="631" spans="11:14" x14ac:dyDescent="0.25">
      <c r="K631" s="175"/>
      <c r="M631" s="175"/>
      <c r="N631" s="175"/>
    </row>
    <row r="632" spans="11:14" x14ac:dyDescent="0.25">
      <c r="K632" s="175"/>
      <c r="M632" s="175"/>
      <c r="N632" s="175"/>
    </row>
    <row r="633" spans="11:14" x14ac:dyDescent="0.25">
      <c r="K633" s="175"/>
      <c r="M633" s="175"/>
      <c r="N633" s="175"/>
    </row>
    <row r="634" spans="11:14" x14ac:dyDescent="0.25">
      <c r="K634" s="175"/>
      <c r="M634" s="175"/>
      <c r="N634" s="175"/>
    </row>
    <row r="635" spans="11:14" x14ac:dyDescent="0.25">
      <c r="K635" s="175"/>
      <c r="M635" s="175"/>
      <c r="N635" s="175"/>
    </row>
    <row r="636" spans="11:14" x14ac:dyDescent="0.25">
      <c r="K636" s="175"/>
      <c r="M636" s="175"/>
      <c r="N636" s="175"/>
    </row>
    <row r="637" spans="11:14" x14ac:dyDescent="0.25">
      <c r="K637" s="175"/>
      <c r="M637" s="175"/>
      <c r="N637" s="175"/>
    </row>
    <row r="638" spans="11:14" x14ac:dyDescent="0.25">
      <c r="K638" s="175"/>
      <c r="M638" s="175"/>
      <c r="N638" s="175"/>
    </row>
    <row r="639" spans="11:14" x14ac:dyDescent="0.25">
      <c r="K639" s="175"/>
      <c r="M639" s="175"/>
      <c r="N639" s="175"/>
    </row>
    <row r="640" spans="11:14" x14ac:dyDescent="0.25">
      <c r="K640" s="175"/>
      <c r="M640" s="175"/>
      <c r="N640" s="175"/>
    </row>
    <row r="641" spans="11:14" x14ac:dyDescent="0.25">
      <c r="K641" s="175"/>
      <c r="M641" s="175"/>
      <c r="N641" s="175"/>
    </row>
    <row r="642" spans="11:14" x14ac:dyDescent="0.25">
      <c r="K642" s="175"/>
      <c r="M642" s="175"/>
      <c r="N642" s="175"/>
    </row>
    <row r="643" spans="11:14" x14ac:dyDescent="0.25">
      <c r="K643" s="175"/>
      <c r="M643" s="175"/>
      <c r="N643" s="175"/>
    </row>
    <row r="644" spans="11:14" x14ac:dyDescent="0.25">
      <c r="K644" s="175"/>
      <c r="M644" s="175"/>
      <c r="N644" s="175"/>
    </row>
    <row r="645" spans="11:14" x14ac:dyDescent="0.25">
      <c r="K645" s="175"/>
      <c r="M645" s="175"/>
      <c r="N645" s="175"/>
    </row>
    <row r="646" spans="11:14" x14ac:dyDescent="0.25">
      <c r="K646" s="175"/>
      <c r="M646" s="175"/>
      <c r="N646" s="175"/>
    </row>
    <row r="647" spans="11:14" x14ac:dyDescent="0.25">
      <c r="K647" s="175"/>
      <c r="M647" s="175"/>
      <c r="N647" s="175"/>
    </row>
    <row r="648" spans="11:14" x14ac:dyDescent="0.25">
      <c r="K648" s="175"/>
      <c r="M648" s="175"/>
      <c r="N648" s="175"/>
    </row>
    <row r="649" spans="11:14" x14ac:dyDescent="0.25">
      <c r="K649" s="175"/>
      <c r="M649" s="175"/>
      <c r="N649" s="175"/>
    </row>
    <row r="650" spans="11:14" x14ac:dyDescent="0.25">
      <c r="K650" s="175"/>
      <c r="M650" s="175"/>
      <c r="N650" s="175"/>
    </row>
    <row r="651" spans="11:14" x14ac:dyDescent="0.25">
      <c r="K651" s="175"/>
      <c r="M651" s="175"/>
      <c r="N651" s="175"/>
    </row>
    <row r="652" spans="11:14" x14ac:dyDescent="0.25">
      <c r="K652" s="175"/>
      <c r="M652" s="175"/>
      <c r="N652" s="175"/>
    </row>
    <row r="653" spans="11:14" x14ac:dyDescent="0.25">
      <c r="K653" s="175"/>
      <c r="M653" s="175"/>
      <c r="N653" s="175"/>
    </row>
    <row r="654" spans="11:14" x14ac:dyDescent="0.25">
      <c r="K654" s="175"/>
      <c r="M654" s="175"/>
      <c r="N654" s="175"/>
    </row>
    <row r="655" spans="11:14" x14ac:dyDescent="0.25">
      <c r="K655" s="175"/>
      <c r="M655" s="175"/>
      <c r="N655" s="175"/>
    </row>
    <row r="656" spans="11:14" x14ac:dyDescent="0.25">
      <c r="K656" s="175"/>
      <c r="M656" s="175"/>
      <c r="N656" s="175"/>
    </row>
    <row r="657" spans="11:14" x14ac:dyDescent="0.25">
      <c r="K657" s="175"/>
      <c r="M657" s="175"/>
      <c r="N657" s="175"/>
    </row>
    <row r="658" spans="11:14" x14ac:dyDescent="0.25">
      <c r="K658" s="175"/>
      <c r="M658" s="175"/>
      <c r="N658" s="175"/>
    </row>
    <row r="659" spans="11:14" x14ac:dyDescent="0.25">
      <c r="K659" s="175"/>
      <c r="M659" s="175"/>
      <c r="N659" s="175"/>
    </row>
    <row r="660" spans="11:14" x14ac:dyDescent="0.25">
      <c r="K660" s="175"/>
      <c r="M660" s="175"/>
      <c r="N660" s="175"/>
    </row>
    <row r="661" spans="11:14" x14ac:dyDescent="0.25">
      <c r="K661" s="175"/>
      <c r="M661" s="175"/>
      <c r="N661" s="175"/>
    </row>
    <row r="662" spans="11:14" x14ac:dyDescent="0.25">
      <c r="K662" s="175"/>
      <c r="M662" s="175"/>
      <c r="N662" s="175"/>
    </row>
    <row r="663" spans="11:14" x14ac:dyDescent="0.25">
      <c r="K663" s="175"/>
      <c r="M663" s="175"/>
      <c r="N663" s="175"/>
    </row>
    <row r="664" spans="11:14" x14ac:dyDescent="0.25">
      <c r="K664" s="175"/>
      <c r="M664" s="175"/>
      <c r="N664" s="175"/>
    </row>
    <row r="665" spans="11:14" x14ac:dyDescent="0.25">
      <c r="K665" s="175"/>
      <c r="M665" s="175"/>
      <c r="N665" s="175"/>
    </row>
    <row r="666" spans="11:14" x14ac:dyDescent="0.25">
      <c r="K666" s="175"/>
      <c r="M666" s="175"/>
      <c r="N666" s="175"/>
    </row>
    <row r="667" spans="11:14" x14ac:dyDescent="0.25">
      <c r="K667" s="175"/>
      <c r="M667" s="175"/>
      <c r="N667" s="175"/>
    </row>
    <row r="668" spans="11:14" x14ac:dyDescent="0.25">
      <c r="K668" s="175"/>
      <c r="M668" s="175"/>
      <c r="N668" s="175"/>
    </row>
    <row r="669" spans="11:14" x14ac:dyDescent="0.25">
      <c r="K669" s="175"/>
      <c r="M669" s="175"/>
      <c r="N669" s="175"/>
    </row>
    <row r="670" spans="11:14" x14ac:dyDescent="0.25">
      <c r="K670" s="175"/>
      <c r="M670" s="175"/>
      <c r="N670" s="175"/>
    </row>
    <row r="671" spans="11:14" x14ac:dyDescent="0.25">
      <c r="K671" s="175"/>
      <c r="M671" s="175"/>
      <c r="N671" s="175"/>
    </row>
    <row r="672" spans="11:14" x14ac:dyDescent="0.25">
      <c r="K672" s="175"/>
      <c r="M672" s="175"/>
      <c r="N672" s="175"/>
    </row>
    <row r="673" spans="11:14" x14ac:dyDescent="0.25">
      <c r="K673" s="175"/>
      <c r="M673" s="175"/>
      <c r="N673" s="175"/>
    </row>
    <row r="674" spans="11:14" x14ac:dyDescent="0.25">
      <c r="K674" s="175"/>
      <c r="M674" s="175"/>
      <c r="N674" s="175"/>
    </row>
    <row r="675" spans="11:14" x14ac:dyDescent="0.25">
      <c r="K675" s="175"/>
      <c r="M675" s="175"/>
      <c r="N675" s="175"/>
    </row>
    <row r="676" spans="11:14" x14ac:dyDescent="0.25">
      <c r="K676" s="175"/>
      <c r="M676" s="175"/>
      <c r="N676" s="175"/>
    </row>
    <row r="677" spans="11:14" x14ac:dyDescent="0.25">
      <c r="K677" s="175"/>
      <c r="M677" s="175"/>
      <c r="N677" s="175"/>
    </row>
    <row r="678" spans="11:14" x14ac:dyDescent="0.25">
      <c r="K678" s="175"/>
      <c r="M678" s="175"/>
      <c r="N678" s="175"/>
    </row>
    <row r="679" spans="11:14" x14ac:dyDescent="0.25">
      <c r="K679" s="175"/>
      <c r="M679" s="175"/>
      <c r="N679" s="175"/>
    </row>
    <row r="680" spans="11:14" x14ac:dyDescent="0.25">
      <c r="K680" s="175"/>
      <c r="M680" s="175"/>
      <c r="N680" s="175"/>
    </row>
    <row r="681" spans="11:14" x14ac:dyDescent="0.25">
      <c r="K681" s="175"/>
      <c r="M681" s="175"/>
      <c r="N681" s="175"/>
    </row>
    <row r="682" spans="11:14" x14ac:dyDescent="0.25">
      <c r="K682" s="175"/>
      <c r="M682" s="175"/>
      <c r="N682" s="175"/>
    </row>
    <row r="683" spans="11:14" x14ac:dyDescent="0.25">
      <c r="K683" s="175"/>
      <c r="M683" s="175"/>
      <c r="N683" s="175"/>
    </row>
    <row r="684" spans="11:14" x14ac:dyDescent="0.25">
      <c r="K684" s="175"/>
      <c r="M684" s="175"/>
      <c r="N684" s="175"/>
    </row>
    <row r="685" spans="11:14" x14ac:dyDescent="0.25">
      <c r="K685" s="175"/>
      <c r="M685" s="175"/>
      <c r="N685" s="175"/>
    </row>
    <row r="686" spans="11:14" x14ac:dyDescent="0.25">
      <c r="K686" s="175"/>
      <c r="M686" s="175"/>
      <c r="N686" s="175"/>
    </row>
    <row r="687" spans="11:14" x14ac:dyDescent="0.25">
      <c r="K687" s="175"/>
      <c r="M687" s="175"/>
      <c r="N687" s="175"/>
    </row>
    <row r="688" spans="11:14" x14ac:dyDescent="0.25">
      <c r="K688" s="175"/>
      <c r="M688" s="175"/>
      <c r="N688" s="175"/>
    </row>
    <row r="689" spans="11:14" x14ac:dyDescent="0.25">
      <c r="K689" s="175"/>
      <c r="M689" s="175"/>
      <c r="N689" s="175"/>
    </row>
    <row r="690" spans="11:14" x14ac:dyDescent="0.25">
      <c r="K690" s="175"/>
      <c r="M690" s="175"/>
      <c r="N690" s="175"/>
    </row>
    <row r="691" spans="11:14" x14ac:dyDescent="0.25">
      <c r="K691" s="175"/>
      <c r="M691" s="175"/>
      <c r="N691" s="175"/>
    </row>
    <row r="692" spans="11:14" x14ac:dyDescent="0.25">
      <c r="K692" s="175"/>
      <c r="M692" s="175"/>
      <c r="N692" s="175"/>
    </row>
    <row r="693" spans="11:14" x14ac:dyDescent="0.25">
      <c r="K693" s="175"/>
      <c r="M693" s="175"/>
      <c r="N693" s="175"/>
    </row>
    <row r="694" spans="11:14" x14ac:dyDescent="0.25">
      <c r="K694" s="175"/>
      <c r="M694" s="175"/>
      <c r="N694" s="175"/>
    </row>
    <row r="695" spans="11:14" x14ac:dyDescent="0.25">
      <c r="K695" s="175"/>
      <c r="M695" s="175"/>
      <c r="N695" s="175"/>
    </row>
    <row r="696" spans="11:14" x14ac:dyDescent="0.25">
      <c r="K696" s="175"/>
      <c r="M696" s="175"/>
      <c r="N696" s="175"/>
    </row>
    <row r="697" spans="11:14" x14ac:dyDescent="0.25">
      <c r="K697" s="175"/>
      <c r="M697" s="175"/>
      <c r="N697" s="175"/>
    </row>
    <row r="698" spans="11:14" x14ac:dyDescent="0.25">
      <c r="K698" s="175"/>
      <c r="M698" s="175"/>
      <c r="N698" s="175"/>
    </row>
    <row r="699" spans="11:14" x14ac:dyDescent="0.25">
      <c r="K699" s="175"/>
      <c r="M699" s="175"/>
      <c r="N699" s="175"/>
    </row>
    <row r="700" spans="11:14" x14ac:dyDescent="0.25">
      <c r="K700" s="175"/>
      <c r="M700" s="175"/>
      <c r="N700" s="175"/>
    </row>
    <row r="701" spans="11:14" x14ac:dyDescent="0.25">
      <c r="K701" s="175"/>
      <c r="M701" s="175"/>
      <c r="N701" s="175"/>
    </row>
    <row r="702" spans="11:14" x14ac:dyDescent="0.25">
      <c r="K702" s="175"/>
      <c r="M702" s="175"/>
      <c r="N702" s="175"/>
    </row>
    <row r="703" spans="11:14" x14ac:dyDescent="0.25">
      <c r="K703" s="175"/>
      <c r="M703" s="175"/>
      <c r="N703" s="175"/>
    </row>
    <row r="704" spans="11:14" x14ac:dyDescent="0.25">
      <c r="K704" s="175"/>
      <c r="M704" s="175"/>
      <c r="N704" s="175"/>
    </row>
    <row r="705" spans="11:14" x14ac:dyDescent="0.25">
      <c r="K705" s="175"/>
      <c r="M705" s="175"/>
      <c r="N705" s="175"/>
    </row>
    <row r="706" spans="11:14" x14ac:dyDescent="0.25">
      <c r="K706" s="175"/>
      <c r="M706" s="175"/>
      <c r="N706" s="175"/>
    </row>
    <row r="707" spans="11:14" x14ac:dyDescent="0.25">
      <c r="K707" s="175"/>
      <c r="M707" s="175"/>
      <c r="N707" s="175"/>
    </row>
    <row r="708" spans="11:14" x14ac:dyDescent="0.25">
      <c r="K708" s="175"/>
      <c r="M708" s="175"/>
      <c r="N708" s="175"/>
    </row>
    <row r="709" spans="11:14" x14ac:dyDescent="0.25">
      <c r="K709" s="175"/>
      <c r="M709" s="175"/>
      <c r="N709" s="175"/>
    </row>
    <row r="710" spans="11:14" x14ac:dyDescent="0.25">
      <c r="K710" s="175"/>
      <c r="M710" s="175"/>
      <c r="N710" s="175"/>
    </row>
    <row r="711" spans="11:14" x14ac:dyDescent="0.25">
      <c r="K711" s="175"/>
      <c r="M711" s="175"/>
      <c r="N711" s="175"/>
    </row>
    <row r="712" spans="11:14" x14ac:dyDescent="0.25">
      <c r="K712" s="175"/>
      <c r="M712" s="175"/>
      <c r="N712" s="175"/>
    </row>
    <row r="713" spans="11:14" x14ac:dyDescent="0.25">
      <c r="K713" s="175"/>
      <c r="M713" s="175"/>
      <c r="N713" s="175"/>
    </row>
    <row r="714" spans="11:14" x14ac:dyDescent="0.25">
      <c r="K714" s="175"/>
      <c r="M714" s="175"/>
      <c r="N714" s="175"/>
    </row>
    <row r="715" spans="11:14" x14ac:dyDescent="0.25">
      <c r="K715" s="175"/>
      <c r="M715" s="175"/>
      <c r="N715" s="175"/>
    </row>
    <row r="716" spans="11:14" x14ac:dyDescent="0.25">
      <c r="K716" s="175"/>
      <c r="M716" s="175"/>
      <c r="N716" s="175"/>
    </row>
    <row r="717" spans="11:14" x14ac:dyDescent="0.25">
      <c r="K717" s="175"/>
      <c r="M717" s="175"/>
      <c r="N717" s="175"/>
    </row>
    <row r="718" spans="11:14" x14ac:dyDescent="0.25">
      <c r="K718" s="175"/>
      <c r="M718" s="175"/>
      <c r="N718" s="175"/>
    </row>
    <row r="719" spans="11:14" x14ac:dyDescent="0.25">
      <c r="K719" s="175"/>
      <c r="M719" s="175"/>
      <c r="N719" s="175"/>
    </row>
    <row r="720" spans="11:14" x14ac:dyDescent="0.25">
      <c r="K720" s="175"/>
      <c r="M720" s="175"/>
      <c r="N720" s="175"/>
    </row>
    <row r="721" spans="11:14" x14ac:dyDescent="0.25">
      <c r="K721" s="175"/>
      <c r="M721" s="175"/>
      <c r="N721" s="175"/>
    </row>
    <row r="722" spans="11:14" x14ac:dyDescent="0.25">
      <c r="K722" s="175"/>
      <c r="M722" s="175"/>
      <c r="N722" s="175"/>
    </row>
    <row r="723" spans="11:14" x14ac:dyDescent="0.25">
      <c r="K723" s="175"/>
      <c r="M723" s="175"/>
      <c r="N723" s="175"/>
    </row>
    <row r="724" spans="11:14" x14ac:dyDescent="0.25">
      <c r="K724" s="175"/>
      <c r="M724" s="175"/>
      <c r="N724" s="175"/>
    </row>
    <row r="725" spans="11:14" x14ac:dyDescent="0.25">
      <c r="K725" s="175"/>
      <c r="M725" s="175"/>
      <c r="N725" s="175"/>
    </row>
    <row r="726" spans="11:14" x14ac:dyDescent="0.25">
      <c r="K726" s="175"/>
      <c r="M726" s="175"/>
      <c r="N726" s="175"/>
    </row>
    <row r="727" spans="11:14" x14ac:dyDescent="0.25">
      <c r="K727" s="175"/>
      <c r="M727" s="175"/>
      <c r="N727" s="175"/>
    </row>
    <row r="728" spans="11:14" x14ac:dyDescent="0.25">
      <c r="K728" s="175"/>
      <c r="M728" s="175"/>
      <c r="N728" s="175"/>
    </row>
    <row r="729" spans="11:14" x14ac:dyDescent="0.25">
      <c r="K729" s="175"/>
      <c r="M729" s="175"/>
      <c r="N729" s="175"/>
    </row>
    <row r="730" spans="11:14" x14ac:dyDescent="0.25">
      <c r="K730" s="175"/>
      <c r="M730" s="175"/>
      <c r="N730" s="175"/>
    </row>
    <row r="731" spans="11:14" x14ac:dyDescent="0.25">
      <c r="K731" s="175"/>
      <c r="M731" s="175"/>
      <c r="N731" s="175"/>
    </row>
    <row r="732" spans="11:14" x14ac:dyDescent="0.25">
      <c r="K732" s="175"/>
      <c r="M732" s="175"/>
      <c r="N732" s="175"/>
    </row>
    <row r="733" spans="11:14" x14ac:dyDescent="0.25">
      <c r="K733" s="175"/>
      <c r="M733" s="175"/>
      <c r="N733" s="175"/>
    </row>
    <row r="734" spans="11:14" x14ac:dyDescent="0.25">
      <c r="K734" s="175"/>
      <c r="M734" s="175"/>
      <c r="N734" s="175"/>
    </row>
    <row r="735" spans="11:14" x14ac:dyDescent="0.25">
      <c r="K735" s="175"/>
      <c r="M735" s="175"/>
      <c r="N735" s="175"/>
    </row>
    <row r="736" spans="11:14" x14ac:dyDescent="0.25">
      <c r="K736" s="175"/>
      <c r="M736" s="175"/>
      <c r="N736" s="175"/>
    </row>
    <row r="737" spans="11:14" x14ac:dyDescent="0.25">
      <c r="K737" s="175"/>
      <c r="M737" s="175"/>
      <c r="N737" s="175"/>
    </row>
    <row r="738" spans="11:14" x14ac:dyDescent="0.25">
      <c r="K738" s="175"/>
      <c r="M738" s="175"/>
      <c r="N738" s="175"/>
    </row>
    <row r="739" spans="11:14" x14ac:dyDescent="0.25">
      <c r="K739" s="175"/>
      <c r="M739" s="175"/>
      <c r="N739" s="175"/>
    </row>
    <row r="740" spans="11:14" x14ac:dyDescent="0.25">
      <c r="K740" s="175"/>
      <c r="M740" s="175"/>
      <c r="N740" s="175"/>
    </row>
    <row r="741" spans="11:14" x14ac:dyDescent="0.25">
      <c r="K741" s="175"/>
      <c r="M741" s="175"/>
      <c r="N741" s="175"/>
    </row>
    <row r="742" spans="11:14" x14ac:dyDescent="0.25">
      <c r="K742" s="175"/>
      <c r="M742" s="175"/>
      <c r="N742" s="175"/>
    </row>
    <row r="743" spans="11:14" x14ac:dyDescent="0.25">
      <c r="K743" s="175"/>
      <c r="M743" s="175"/>
      <c r="N743" s="175"/>
    </row>
    <row r="744" spans="11:14" x14ac:dyDescent="0.25">
      <c r="K744" s="175"/>
      <c r="M744" s="175"/>
      <c r="N744" s="175"/>
    </row>
    <row r="745" spans="11:14" x14ac:dyDescent="0.25">
      <c r="K745" s="175"/>
      <c r="M745" s="175"/>
      <c r="N745" s="175"/>
    </row>
    <row r="746" spans="11:14" x14ac:dyDescent="0.25">
      <c r="K746" s="175"/>
      <c r="M746" s="175"/>
      <c r="N746" s="175"/>
    </row>
    <row r="747" spans="11:14" x14ac:dyDescent="0.25">
      <c r="K747" s="175"/>
      <c r="M747" s="175"/>
      <c r="N747" s="175"/>
    </row>
    <row r="748" spans="11:14" x14ac:dyDescent="0.25">
      <c r="K748" s="175"/>
      <c r="M748" s="175"/>
      <c r="N748" s="175"/>
    </row>
    <row r="749" spans="11:14" x14ac:dyDescent="0.25">
      <c r="K749" s="175"/>
      <c r="M749" s="175"/>
      <c r="N749" s="175"/>
    </row>
    <row r="750" spans="11:14" x14ac:dyDescent="0.25">
      <c r="K750" s="175"/>
      <c r="M750" s="175"/>
      <c r="N750" s="175"/>
    </row>
    <row r="751" spans="11:14" x14ac:dyDescent="0.25">
      <c r="K751" s="175"/>
      <c r="M751" s="175"/>
      <c r="N751" s="175"/>
    </row>
    <row r="752" spans="11:14" x14ac:dyDescent="0.25">
      <c r="K752" s="175"/>
      <c r="M752" s="175"/>
      <c r="N752" s="175"/>
    </row>
    <row r="753" spans="11:14" x14ac:dyDescent="0.25">
      <c r="K753" s="175"/>
      <c r="M753" s="175"/>
      <c r="N753" s="175"/>
    </row>
    <row r="754" spans="11:14" x14ac:dyDescent="0.25">
      <c r="K754" s="175"/>
      <c r="M754" s="175"/>
      <c r="N754" s="175"/>
    </row>
    <row r="755" spans="11:14" x14ac:dyDescent="0.25">
      <c r="K755" s="175"/>
      <c r="M755" s="175"/>
      <c r="N755" s="175"/>
    </row>
    <row r="756" spans="11:14" x14ac:dyDescent="0.25">
      <c r="K756" s="175"/>
      <c r="M756" s="175"/>
      <c r="N756" s="175"/>
    </row>
    <row r="757" spans="11:14" x14ac:dyDescent="0.25">
      <c r="K757" s="175"/>
      <c r="M757" s="175"/>
      <c r="N757" s="175"/>
    </row>
    <row r="758" spans="11:14" x14ac:dyDescent="0.25">
      <c r="K758" s="175"/>
      <c r="M758" s="175"/>
      <c r="N758" s="175"/>
    </row>
    <row r="759" spans="11:14" x14ac:dyDescent="0.25">
      <c r="K759" s="175"/>
      <c r="M759" s="175"/>
      <c r="N759" s="175"/>
    </row>
    <row r="760" spans="11:14" x14ac:dyDescent="0.25">
      <c r="K760" s="175"/>
      <c r="M760" s="175"/>
      <c r="N760" s="175"/>
    </row>
    <row r="761" spans="11:14" x14ac:dyDescent="0.25">
      <c r="K761" s="175"/>
      <c r="M761" s="175"/>
      <c r="N761" s="175"/>
    </row>
    <row r="762" spans="11:14" x14ac:dyDescent="0.25">
      <c r="K762" s="175"/>
      <c r="M762" s="175"/>
      <c r="N762" s="175"/>
    </row>
    <row r="763" spans="11:14" x14ac:dyDescent="0.25">
      <c r="K763" s="175"/>
      <c r="M763" s="175"/>
      <c r="N763" s="175"/>
    </row>
    <row r="764" spans="11:14" x14ac:dyDescent="0.25">
      <c r="K764" s="175"/>
      <c r="M764" s="175"/>
      <c r="N764" s="175"/>
    </row>
    <row r="765" spans="11:14" x14ac:dyDescent="0.25">
      <c r="K765" s="175"/>
      <c r="M765" s="175"/>
      <c r="N765" s="175"/>
    </row>
    <row r="766" spans="11:14" x14ac:dyDescent="0.25">
      <c r="K766" s="175"/>
      <c r="M766" s="175"/>
      <c r="N766" s="175"/>
    </row>
    <row r="767" spans="11:14" x14ac:dyDescent="0.25">
      <c r="K767" s="175"/>
      <c r="M767" s="175"/>
      <c r="N767" s="175"/>
    </row>
    <row r="768" spans="11:14" x14ac:dyDescent="0.25">
      <c r="K768" s="175"/>
      <c r="M768" s="175"/>
      <c r="N768" s="175"/>
    </row>
    <row r="769" spans="11:14" x14ac:dyDescent="0.25">
      <c r="K769" s="175"/>
      <c r="M769" s="175"/>
      <c r="N769" s="175"/>
    </row>
    <row r="770" spans="11:14" x14ac:dyDescent="0.25">
      <c r="K770" s="175"/>
      <c r="M770" s="175"/>
      <c r="N770" s="175"/>
    </row>
    <row r="771" spans="11:14" x14ac:dyDescent="0.25">
      <c r="K771" s="175"/>
      <c r="M771" s="175"/>
      <c r="N771" s="175"/>
    </row>
    <row r="772" spans="11:14" x14ac:dyDescent="0.25">
      <c r="K772" s="175"/>
      <c r="M772" s="175"/>
      <c r="N772" s="175"/>
    </row>
    <row r="773" spans="11:14" x14ac:dyDescent="0.25">
      <c r="K773" s="175"/>
      <c r="M773" s="175"/>
      <c r="N773" s="175"/>
    </row>
    <row r="774" spans="11:14" x14ac:dyDescent="0.25">
      <c r="K774" s="175"/>
      <c r="M774" s="175"/>
      <c r="N774" s="175"/>
    </row>
    <row r="775" spans="11:14" x14ac:dyDescent="0.25">
      <c r="K775" s="175"/>
      <c r="M775" s="175"/>
      <c r="N775" s="175"/>
    </row>
    <row r="776" spans="11:14" x14ac:dyDescent="0.25">
      <c r="K776" s="175"/>
      <c r="M776" s="175"/>
      <c r="N776" s="175"/>
    </row>
    <row r="777" spans="11:14" x14ac:dyDescent="0.25">
      <c r="K777" s="175"/>
      <c r="M777" s="175"/>
      <c r="N777" s="175"/>
    </row>
    <row r="778" spans="11:14" x14ac:dyDescent="0.25">
      <c r="K778" s="175"/>
      <c r="M778" s="175"/>
      <c r="N778" s="175"/>
    </row>
    <row r="779" spans="11:14" x14ac:dyDescent="0.25">
      <c r="K779" s="175"/>
      <c r="M779" s="175"/>
      <c r="N779" s="175"/>
    </row>
    <row r="780" spans="11:14" x14ac:dyDescent="0.25">
      <c r="K780" s="175"/>
      <c r="M780" s="175"/>
      <c r="N780" s="175"/>
    </row>
    <row r="781" spans="11:14" x14ac:dyDescent="0.25">
      <c r="K781" s="175"/>
      <c r="M781" s="175"/>
      <c r="N781" s="175"/>
    </row>
    <row r="782" spans="11:14" x14ac:dyDescent="0.25">
      <c r="K782" s="175"/>
      <c r="M782" s="175"/>
      <c r="N782" s="175"/>
    </row>
    <row r="783" spans="11:14" x14ac:dyDescent="0.25">
      <c r="K783" s="175"/>
      <c r="M783" s="175"/>
      <c r="N783" s="175"/>
    </row>
    <row r="784" spans="11:14" x14ac:dyDescent="0.25">
      <c r="K784" s="175"/>
      <c r="M784" s="175"/>
      <c r="N784" s="175"/>
    </row>
    <row r="785" spans="11:14" x14ac:dyDescent="0.25">
      <c r="K785" s="175"/>
      <c r="M785" s="175"/>
      <c r="N785" s="175"/>
    </row>
    <row r="786" spans="11:14" x14ac:dyDescent="0.25">
      <c r="K786" s="175"/>
      <c r="M786" s="175"/>
      <c r="N786" s="175"/>
    </row>
    <row r="787" spans="11:14" x14ac:dyDescent="0.25">
      <c r="K787" s="175"/>
      <c r="M787" s="175"/>
      <c r="N787" s="175"/>
    </row>
    <row r="788" spans="11:14" x14ac:dyDescent="0.25">
      <c r="K788" s="175"/>
      <c r="M788" s="175"/>
      <c r="N788" s="175"/>
    </row>
    <row r="789" spans="11:14" x14ac:dyDescent="0.25">
      <c r="K789" s="175"/>
      <c r="M789" s="175"/>
      <c r="N789" s="175"/>
    </row>
    <row r="790" spans="11:14" x14ac:dyDescent="0.25">
      <c r="K790" s="175"/>
      <c r="M790" s="175"/>
      <c r="N790" s="175"/>
    </row>
    <row r="791" spans="11:14" x14ac:dyDescent="0.25">
      <c r="K791" s="175"/>
      <c r="M791" s="175"/>
      <c r="N791" s="175"/>
    </row>
    <row r="792" spans="11:14" x14ac:dyDescent="0.25">
      <c r="K792" s="175"/>
      <c r="M792" s="175"/>
      <c r="N792" s="175"/>
    </row>
    <row r="793" spans="11:14" x14ac:dyDescent="0.25">
      <c r="K793" s="175"/>
      <c r="M793" s="175"/>
      <c r="N793" s="175"/>
    </row>
    <row r="794" spans="11:14" x14ac:dyDescent="0.25">
      <c r="K794" s="175"/>
      <c r="M794" s="175"/>
      <c r="N794" s="175"/>
    </row>
    <row r="795" spans="11:14" x14ac:dyDescent="0.25">
      <c r="K795" s="175"/>
      <c r="M795" s="175"/>
      <c r="N795" s="175"/>
    </row>
    <row r="796" spans="11:14" x14ac:dyDescent="0.25">
      <c r="K796" s="175"/>
      <c r="M796" s="175"/>
      <c r="N796" s="175"/>
    </row>
    <row r="797" spans="11:14" x14ac:dyDescent="0.25">
      <c r="K797" s="175"/>
      <c r="M797" s="175"/>
      <c r="N797" s="175"/>
    </row>
    <row r="798" spans="11:14" x14ac:dyDescent="0.25">
      <c r="K798" s="175"/>
      <c r="M798" s="175"/>
      <c r="N798" s="175"/>
    </row>
    <row r="799" spans="11:14" x14ac:dyDescent="0.25">
      <c r="K799" s="175"/>
      <c r="M799" s="175"/>
      <c r="N799" s="175"/>
    </row>
    <row r="800" spans="11:14" x14ac:dyDescent="0.25">
      <c r="K800" s="175"/>
      <c r="M800" s="175"/>
      <c r="N800" s="175"/>
    </row>
    <row r="801" spans="11:14" x14ac:dyDescent="0.25">
      <c r="K801" s="175"/>
      <c r="M801" s="175"/>
      <c r="N801" s="175"/>
    </row>
    <row r="802" spans="11:14" x14ac:dyDescent="0.25">
      <c r="K802" s="175"/>
      <c r="M802" s="175"/>
      <c r="N802" s="175"/>
    </row>
    <row r="803" spans="11:14" x14ac:dyDescent="0.25">
      <c r="K803" s="175"/>
      <c r="M803" s="175"/>
      <c r="N803" s="175"/>
    </row>
    <row r="804" spans="11:14" x14ac:dyDescent="0.25">
      <c r="K804" s="175"/>
      <c r="M804" s="175"/>
      <c r="N804" s="175"/>
    </row>
    <row r="805" spans="11:14" x14ac:dyDescent="0.25">
      <c r="K805" s="175"/>
      <c r="M805" s="175"/>
      <c r="N805" s="175"/>
    </row>
    <row r="806" spans="11:14" x14ac:dyDescent="0.25">
      <c r="K806" s="175"/>
      <c r="M806" s="175"/>
      <c r="N806" s="175"/>
    </row>
    <row r="807" spans="11:14" x14ac:dyDescent="0.25">
      <c r="K807" s="175"/>
      <c r="M807" s="175"/>
      <c r="N807" s="175"/>
    </row>
    <row r="808" spans="11:14" x14ac:dyDescent="0.25">
      <c r="K808" s="175"/>
      <c r="M808" s="175"/>
      <c r="N808" s="175"/>
    </row>
    <row r="809" spans="11:14" x14ac:dyDescent="0.25">
      <c r="K809" s="175"/>
      <c r="M809" s="175"/>
      <c r="N809" s="175"/>
    </row>
    <row r="810" spans="11:14" x14ac:dyDescent="0.25">
      <c r="K810" s="175"/>
      <c r="M810" s="175"/>
      <c r="N810" s="175"/>
    </row>
    <row r="811" spans="11:14" x14ac:dyDescent="0.25">
      <c r="K811" s="175"/>
      <c r="M811" s="175"/>
      <c r="N811" s="175"/>
    </row>
    <row r="812" spans="11:14" x14ac:dyDescent="0.25">
      <c r="K812" s="175"/>
      <c r="M812" s="175"/>
      <c r="N812" s="175"/>
    </row>
    <row r="813" spans="11:14" x14ac:dyDescent="0.25">
      <c r="K813" s="175"/>
      <c r="M813" s="175"/>
      <c r="N813" s="175"/>
    </row>
    <row r="814" spans="11:14" x14ac:dyDescent="0.25">
      <c r="K814" s="175"/>
      <c r="M814" s="175"/>
      <c r="N814" s="175"/>
    </row>
    <row r="815" spans="11:14" x14ac:dyDescent="0.25">
      <c r="K815" s="175"/>
      <c r="M815" s="175"/>
      <c r="N815" s="175"/>
    </row>
    <row r="816" spans="11:14" x14ac:dyDescent="0.25">
      <c r="K816" s="175"/>
      <c r="M816" s="175"/>
      <c r="N816" s="175"/>
    </row>
    <row r="817" spans="11:14" x14ac:dyDescent="0.25">
      <c r="K817" s="175"/>
      <c r="M817" s="175"/>
      <c r="N817" s="175"/>
    </row>
    <row r="818" spans="11:14" x14ac:dyDescent="0.25">
      <c r="K818" s="175"/>
      <c r="M818" s="175"/>
      <c r="N818" s="175"/>
    </row>
    <row r="819" spans="11:14" x14ac:dyDescent="0.25">
      <c r="K819" s="175"/>
      <c r="M819" s="175"/>
      <c r="N819" s="175"/>
    </row>
    <row r="820" spans="11:14" x14ac:dyDescent="0.25">
      <c r="K820" s="175"/>
      <c r="M820" s="175"/>
      <c r="N820" s="175"/>
    </row>
    <row r="821" spans="11:14" x14ac:dyDescent="0.25">
      <c r="K821" s="175"/>
      <c r="M821" s="175"/>
      <c r="N821" s="175"/>
    </row>
    <row r="822" spans="11:14" x14ac:dyDescent="0.25">
      <c r="K822" s="175"/>
      <c r="M822" s="175"/>
      <c r="N822" s="175"/>
    </row>
    <row r="823" spans="11:14" x14ac:dyDescent="0.25">
      <c r="K823" s="175"/>
      <c r="M823" s="175"/>
      <c r="N823" s="175"/>
    </row>
    <row r="824" spans="11:14" x14ac:dyDescent="0.25">
      <c r="K824" s="175"/>
      <c r="M824" s="175"/>
      <c r="N824" s="175"/>
    </row>
    <row r="825" spans="11:14" x14ac:dyDescent="0.25">
      <c r="K825" s="175"/>
      <c r="M825" s="175"/>
      <c r="N825" s="175"/>
    </row>
    <row r="826" spans="11:14" x14ac:dyDescent="0.25">
      <c r="K826" s="175"/>
      <c r="M826" s="175"/>
      <c r="N826" s="175"/>
    </row>
    <row r="827" spans="11:14" x14ac:dyDescent="0.25">
      <c r="K827" s="175"/>
      <c r="M827" s="175"/>
      <c r="N827" s="175"/>
    </row>
    <row r="828" spans="11:14" x14ac:dyDescent="0.25">
      <c r="K828" s="175"/>
      <c r="M828" s="175"/>
      <c r="N828" s="175"/>
    </row>
    <row r="829" spans="11:14" x14ac:dyDescent="0.25">
      <c r="K829" s="175"/>
      <c r="M829" s="175"/>
      <c r="N829" s="175"/>
    </row>
    <row r="830" spans="11:14" x14ac:dyDescent="0.25">
      <c r="K830" s="175"/>
      <c r="M830" s="175"/>
      <c r="N830" s="175"/>
    </row>
    <row r="831" spans="11:14" x14ac:dyDescent="0.25">
      <c r="K831" s="175"/>
      <c r="M831" s="175"/>
      <c r="N831" s="175"/>
    </row>
    <row r="832" spans="11:14" x14ac:dyDescent="0.25">
      <c r="K832" s="175"/>
      <c r="M832" s="175"/>
      <c r="N832" s="175"/>
    </row>
    <row r="833" spans="11:14" x14ac:dyDescent="0.25">
      <c r="K833" s="175"/>
      <c r="M833" s="175"/>
      <c r="N833" s="175"/>
    </row>
    <row r="834" spans="11:14" x14ac:dyDescent="0.25">
      <c r="K834" s="175"/>
      <c r="M834" s="175"/>
      <c r="N834" s="175"/>
    </row>
    <row r="835" spans="11:14" x14ac:dyDescent="0.25">
      <c r="K835" s="175"/>
      <c r="M835" s="175"/>
      <c r="N835" s="175"/>
    </row>
    <row r="836" spans="11:14" x14ac:dyDescent="0.25">
      <c r="K836" s="175"/>
      <c r="M836" s="175"/>
      <c r="N836" s="175"/>
    </row>
    <row r="837" spans="11:14" x14ac:dyDescent="0.25">
      <c r="K837" s="175"/>
      <c r="M837" s="175"/>
      <c r="N837" s="175"/>
    </row>
    <row r="838" spans="11:14" x14ac:dyDescent="0.25">
      <c r="K838" s="175"/>
      <c r="M838" s="175"/>
      <c r="N838" s="175"/>
    </row>
    <row r="839" spans="11:14" x14ac:dyDescent="0.25">
      <c r="K839" s="175"/>
      <c r="M839" s="175"/>
      <c r="N839" s="175"/>
    </row>
    <row r="840" spans="11:14" x14ac:dyDescent="0.25">
      <c r="K840" s="175"/>
      <c r="M840" s="175"/>
      <c r="N840" s="175"/>
    </row>
    <row r="841" spans="11:14" x14ac:dyDescent="0.25">
      <c r="K841" s="175"/>
      <c r="M841" s="175"/>
      <c r="N841" s="175"/>
    </row>
    <row r="842" spans="11:14" x14ac:dyDescent="0.25">
      <c r="K842" s="175"/>
      <c r="M842" s="175"/>
      <c r="N842" s="175"/>
    </row>
    <row r="843" spans="11:14" x14ac:dyDescent="0.25">
      <c r="K843" s="175"/>
      <c r="M843" s="175"/>
      <c r="N843" s="175"/>
    </row>
    <row r="844" spans="11:14" x14ac:dyDescent="0.25">
      <c r="K844" s="175"/>
      <c r="M844" s="175"/>
      <c r="N844" s="175"/>
    </row>
    <row r="845" spans="11:14" x14ac:dyDescent="0.25">
      <c r="K845" s="175"/>
      <c r="M845" s="175"/>
      <c r="N845" s="175"/>
    </row>
    <row r="846" spans="11:14" x14ac:dyDescent="0.25">
      <c r="K846" s="175"/>
      <c r="M846" s="175"/>
      <c r="N846" s="175"/>
    </row>
    <row r="847" spans="11:14" x14ac:dyDescent="0.25">
      <c r="K847" s="175"/>
      <c r="M847" s="175"/>
      <c r="N847" s="175"/>
    </row>
    <row r="848" spans="11:14" x14ac:dyDescent="0.25">
      <c r="K848" s="175"/>
      <c r="M848" s="175"/>
      <c r="N848" s="175"/>
    </row>
    <row r="849" spans="11:14" x14ac:dyDescent="0.25">
      <c r="K849" s="175"/>
      <c r="M849" s="175"/>
      <c r="N849" s="175"/>
    </row>
    <row r="850" spans="11:14" x14ac:dyDescent="0.25">
      <c r="K850" s="175"/>
      <c r="M850" s="175"/>
      <c r="N850" s="175"/>
    </row>
    <row r="851" spans="11:14" x14ac:dyDescent="0.25">
      <c r="K851" s="175"/>
      <c r="M851" s="175"/>
      <c r="N851" s="175"/>
    </row>
    <row r="852" spans="11:14" x14ac:dyDescent="0.25">
      <c r="K852" s="175"/>
      <c r="M852" s="175"/>
      <c r="N852" s="175"/>
    </row>
    <row r="853" spans="11:14" x14ac:dyDescent="0.25">
      <c r="K853" s="175"/>
      <c r="M853" s="175"/>
      <c r="N853" s="175"/>
    </row>
    <row r="854" spans="11:14" x14ac:dyDescent="0.25">
      <c r="K854" s="175"/>
      <c r="M854" s="175"/>
      <c r="N854" s="175"/>
    </row>
    <row r="855" spans="11:14" x14ac:dyDescent="0.25">
      <c r="K855" s="175"/>
      <c r="M855" s="175"/>
      <c r="N855" s="175"/>
    </row>
    <row r="856" spans="11:14" x14ac:dyDescent="0.25">
      <c r="K856" s="175"/>
      <c r="M856" s="175"/>
      <c r="N856" s="175"/>
    </row>
    <row r="857" spans="11:14" x14ac:dyDescent="0.25">
      <c r="K857" s="175"/>
      <c r="M857" s="175"/>
      <c r="N857" s="175"/>
    </row>
    <row r="858" spans="11:14" x14ac:dyDescent="0.25">
      <c r="K858" s="175"/>
      <c r="M858" s="175"/>
      <c r="N858" s="175"/>
    </row>
    <row r="859" spans="11:14" x14ac:dyDescent="0.25">
      <c r="K859" s="175"/>
      <c r="M859" s="175"/>
      <c r="N859" s="175"/>
    </row>
    <row r="860" spans="11:14" x14ac:dyDescent="0.25">
      <c r="K860" s="175"/>
      <c r="M860" s="175"/>
      <c r="N860" s="175"/>
    </row>
    <row r="861" spans="11:14" x14ac:dyDescent="0.25">
      <c r="K861" s="175"/>
      <c r="M861" s="175"/>
      <c r="N861" s="175"/>
    </row>
    <row r="862" spans="11:14" x14ac:dyDescent="0.25">
      <c r="K862" s="175"/>
      <c r="M862" s="175"/>
      <c r="N862" s="175"/>
    </row>
    <row r="863" spans="11:14" x14ac:dyDescent="0.25">
      <c r="K863" s="175"/>
      <c r="M863" s="175"/>
      <c r="N863" s="175"/>
    </row>
    <row r="864" spans="11:14" x14ac:dyDescent="0.25">
      <c r="K864" s="175"/>
      <c r="M864" s="175"/>
      <c r="N864" s="175"/>
    </row>
    <row r="865" spans="11:14" x14ac:dyDescent="0.25">
      <c r="K865" s="175"/>
      <c r="M865" s="175"/>
      <c r="N865" s="175"/>
    </row>
    <row r="866" spans="11:14" x14ac:dyDescent="0.25">
      <c r="K866" s="175"/>
      <c r="M866" s="175"/>
      <c r="N866" s="175"/>
    </row>
    <row r="867" spans="11:14" x14ac:dyDescent="0.25">
      <c r="K867" s="175"/>
      <c r="M867" s="175"/>
      <c r="N867" s="175"/>
    </row>
    <row r="868" spans="11:14" x14ac:dyDescent="0.25">
      <c r="K868" s="175"/>
      <c r="M868" s="175"/>
      <c r="N868" s="175"/>
    </row>
    <row r="869" spans="11:14" x14ac:dyDescent="0.25">
      <c r="K869" s="175"/>
      <c r="M869" s="175"/>
      <c r="N869" s="175"/>
    </row>
    <row r="870" spans="11:14" x14ac:dyDescent="0.25">
      <c r="K870" s="175"/>
      <c r="M870" s="175"/>
      <c r="N870" s="175"/>
    </row>
    <row r="871" spans="11:14" x14ac:dyDescent="0.25">
      <c r="K871" s="175"/>
      <c r="M871" s="175"/>
      <c r="N871" s="175"/>
    </row>
    <row r="872" spans="11:14" x14ac:dyDescent="0.25">
      <c r="K872" s="175"/>
      <c r="M872" s="175"/>
      <c r="N872" s="175"/>
    </row>
    <row r="873" spans="11:14" x14ac:dyDescent="0.25">
      <c r="K873" s="175"/>
      <c r="M873" s="175"/>
      <c r="N873" s="175"/>
    </row>
    <row r="874" spans="11:14" x14ac:dyDescent="0.25">
      <c r="K874" s="175"/>
      <c r="M874" s="175"/>
      <c r="N874" s="175"/>
    </row>
    <row r="875" spans="11:14" x14ac:dyDescent="0.25">
      <c r="K875" s="175"/>
      <c r="M875" s="175"/>
      <c r="N875" s="175"/>
    </row>
    <row r="876" spans="11:14" x14ac:dyDescent="0.25">
      <c r="K876" s="175"/>
      <c r="M876" s="175"/>
      <c r="N876" s="175"/>
    </row>
    <row r="877" spans="11:14" x14ac:dyDescent="0.25">
      <c r="K877" s="175"/>
      <c r="M877" s="175"/>
      <c r="N877" s="175"/>
    </row>
    <row r="878" spans="11:14" x14ac:dyDescent="0.25">
      <c r="K878" s="175"/>
      <c r="M878" s="175"/>
      <c r="N878" s="175"/>
    </row>
    <row r="879" spans="11:14" x14ac:dyDescent="0.25">
      <c r="K879" s="175"/>
      <c r="M879" s="175"/>
      <c r="N879" s="175"/>
    </row>
    <row r="880" spans="11:14" x14ac:dyDescent="0.25">
      <c r="K880" s="175"/>
      <c r="M880" s="175"/>
      <c r="N880" s="175"/>
    </row>
    <row r="881" spans="11:14" x14ac:dyDescent="0.25">
      <c r="K881" s="175"/>
      <c r="M881" s="175"/>
      <c r="N881" s="175"/>
    </row>
    <row r="882" spans="11:14" x14ac:dyDescent="0.25">
      <c r="K882" s="175"/>
      <c r="M882" s="175"/>
      <c r="N882" s="175"/>
    </row>
    <row r="883" spans="11:14" x14ac:dyDescent="0.25">
      <c r="K883" s="175"/>
      <c r="M883" s="175"/>
      <c r="N883" s="175"/>
    </row>
    <row r="884" spans="11:14" x14ac:dyDescent="0.25">
      <c r="K884" s="175"/>
      <c r="M884" s="175"/>
      <c r="N884" s="175"/>
    </row>
    <row r="885" spans="11:14" x14ac:dyDescent="0.25">
      <c r="K885" s="175"/>
      <c r="M885" s="175"/>
      <c r="N885" s="175"/>
    </row>
    <row r="886" spans="11:14" x14ac:dyDescent="0.25">
      <c r="K886" s="175"/>
      <c r="M886" s="175"/>
      <c r="N886" s="175"/>
    </row>
    <row r="887" spans="11:14" x14ac:dyDescent="0.25">
      <c r="K887" s="175"/>
      <c r="M887" s="175"/>
      <c r="N887" s="175"/>
    </row>
    <row r="888" spans="11:14" x14ac:dyDescent="0.25">
      <c r="K888" s="175"/>
      <c r="M888" s="175"/>
      <c r="N888" s="175"/>
    </row>
    <row r="889" spans="11:14" x14ac:dyDescent="0.25">
      <c r="K889" s="175"/>
      <c r="M889" s="175"/>
      <c r="N889" s="175"/>
    </row>
    <row r="890" spans="11:14" x14ac:dyDescent="0.25">
      <c r="K890" s="175"/>
      <c r="M890" s="175"/>
      <c r="N890" s="175"/>
    </row>
    <row r="891" spans="11:14" x14ac:dyDescent="0.25">
      <c r="K891" s="175"/>
      <c r="M891" s="175"/>
      <c r="N891" s="175"/>
    </row>
    <row r="892" spans="11:14" x14ac:dyDescent="0.25">
      <c r="K892" s="175"/>
      <c r="M892" s="175"/>
      <c r="N892" s="175"/>
    </row>
    <row r="893" spans="11:14" x14ac:dyDescent="0.25">
      <c r="K893" s="175"/>
      <c r="M893" s="175"/>
      <c r="N893" s="175"/>
    </row>
    <row r="894" spans="11:14" x14ac:dyDescent="0.25">
      <c r="K894" s="175"/>
      <c r="M894" s="175"/>
      <c r="N894" s="175"/>
    </row>
    <row r="895" spans="11:14" x14ac:dyDescent="0.25">
      <c r="K895" s="175"/>
      <c r="M895" s="175"/>
      <c r="N895" s="175"/>
    </row>
    <row r="896" spans="11:14" x14ac:dyDescent="0.25">
      <c r="K896" s="175"/>
      <c r="M896" s="175"/>
      <c r="N896" s="175"/>
    </row>
    <row r="897" spans="11:14" x14ac:dyDescent="0.25">
      <c r="K897" s="175"/>
      <c r="M897" s="175"/>
      <c r="N897" s="175"/>
    </row>
    <row r="898" spans="11:14" x14ac:dyDescent="0.25">
      <c r="K898" s="175"/>
      <c r="M898" s="175"/>
      <c r="N898" s="175"/>
    </row>
    <row r="899" spans="11:14" x14ac:dyDescent="0.25">
      <c r="K899" s="175"/>
      <c r="M899" s="175"/>
      <c r="N899" s="175"/>
    </row>
    <row r="900" spans="11:14" x14ac:dyDescent="0.25">
      <c r="K900" s="175"/>
      <c r="M900" s="175"/>
      <c r="N900" s="175"/>
    </row>
    <row r="901" spans="11:14" x14ac:dyDescent="0.25">
      <c r="K901" s="175"/>
      <c r="M901" s="175"/>
      <c r="N901" s="175"/>
    </row>
    <row r="902" spans="11:14" x14ac:dyDescent="0.25">
      <c r="K902" s="175"/>
      <c r="M902" s="175"/>
      <c r="N902" s="175"/>
    </row>
    <row r="903" spans="11:14" x14ac:dyDescent="0.25">
      <c r="K903" s="175"/>
      <c r="M903" s="175"/>
      <c r="N903" s="175"/>
    </row>
    <row r="904" spans="11:14" x14ac:dyDescent="0.25">
      <c r="K904" s="175"/>
      <c r="M904" s="175"/>
      <c r="N904" s="175"/>
    </row>
    <row r="905" spans="11:14" x14ac:dyDescent="0.25">
      <c r="K905" s="175"/>
      <c r="M905" s="175"/>
      <c r="N905" s="175"/>
    </row>
    <row r="906" spans="11:14" x14ac:dyDescent="0.25">
      <c r="K906" s="175"/>
      <c r="M906" s="175"/>
      <c r="N906" s="175"/>
    </row>
    <row r="907" spans="11:14" x14ac:dyDescent="0.25">
      <c r="K907" s="175"/>
      <c r="M907" s="175"/>
      <c r="N907" s="175"/>
    </row>
    <row r="908" spans="11:14" x14ac:dyDescent="0.25">
      <c r="K908" s="175"/>
      <c r="M908" s="175"/>
      <c r="N908" s="175"/>
    </row>
    <row r="909" spans="11:14" x14ac:dyDescent="0.25">
      <c r="K909" s="175"/>
      <c r="M909" s="175"/>
      <c r="N909" s="175"/>
    </row>
    <row r="910" spans="11:14" x14ac:dyDescent="0.25">
      <c r="K910" s="175"/>
      <c r="M910" s="175"/>
      <c r="N910" s="175"/>
    </row>
    <row r="911" spans="11:14" x14ac:dyDescent="0.25">
      <c r="K911" s="175"/>
      <c r="M911" s="175"/>
      <c r="N911" s="175"/>
    </row>
    <row r="912" spans="11:14" x14ac:dyDescent="0.25">
      <c r="K912" s="175"/>
      <c r="M912" s="175"/>
      <c r="N912" s="175"/>
    </row>
    <row r="913" spans="11:14" x14ac:dyDescent="0.25">
      <c r="K913" s="175"/>
      <c r="M913" s="175"/>
      <c r="N913" s="175"/>
    </row>
    <row r="914" spans="11:14" x14ac:dyDescent="0.25">
      <c r="K914" s="175"/>
      <c r="M914" s="175"/>
      <c r="N914" s="175"/>
    </row>
    <row r="915" spans="11:14" x14ac:dyDescent="0.25">
      <c r="K915" s="175"/>
      <c r="M915" s="175"/>
      <c r="N915" s="175"/>
    </row>
    <row r="916" spans="11:14" x14ac:dyDescent="0.25">
      <c r="K916" s="175"/>
      <c r="M916" s="175"/>
      <c r="N916" s="175"/>
    </row>
    <row r="917" spans="11:14" x14ac:dyDescent="0.25">
      <c r="K917" s="175"/>
      <c r="M917" s="175"/>
      <c r="N917" s="175"/>
    </row>
    <row r="918" spans="11:14" x14ac:dyDescent="0.25">
      <c r="K918" s="175"/>
      <c r="M918" s="175"/>
      <c r="N918" s="175"/>
    </row>
    <row r="919" spans="11:14" x14ac:dyDescent="0.25">
      <c r="K919" s="175"/>
      <c r="M919" s="175"/>
      <c r="N919" s="175"/>
    </row>
    <row r="920" spans="11:14" x14ac:dyDescent="0.25">
      <c r="K920" s="175"/>
      <c r="M920" s="175"/>
      <c r="N920" s="175"/>
    </row>
    <row r="921" spans="11:14" x14ac:dyDescent="0.25">
      <c r="K921" s="175"/>
      <c r="M921" s="175"/>
      <c r="N921" s="175"/>
    </row>
    <row r="922" spans="11:14" x14ac:dyDescent="0.25">
      <c r="K922" s="175"/>
      <c r="M922" s="175"/>
      <c r="N922" s="175"/>
    </row>
    <row r="923" spans="11:14" x14ac:dyDescent="0.25">
      <c r="K923" s="175"/>
      <c r="M923" s="175"/>
      <c r="N923" s="175"/>
    </row>
    <row r="924" spans="11:14" x14ac:dyDescent="0.25">
      <c r="K924" s="175"/>
      <c r="M924" s="175"/>
      <c r="N924" s="175"/>
    </row>
    <row r="925" spans="11:14" x14ac:dyDescent="0.25">
      <c r="K925" s="175"/>
      <c r="M925" s="175"/>
      <c r="N925" s="175"/>
    </row>
    <row r="926" spans="11:14" x14ac:dyDescent="0.25">
      <c r="K926" s="175"/>
      <c r="M926" s="175"/>
      <c r="N926" s="175"/>
    </row>
    <row r="927" spans="11:14" x14ac:dyDescent="0.25">
      <c r="K927" s="175"/>
      <c r="M927" s="175"/>
      <c r="N927" s="175"/>
    </row>
    <row r="928" spans="11:14" x14ac:dyDescent="0.25">
      <c r="K928" s="175"/>
      <c r="M928" s="175"/>
      <c r="N928" s="175"/>
    </row>
    <row r="929" spans="11:14" x14ac:dyDescent="0.25">
      <c r="K929" s="175"/>
      <c r="M929" s="175"/>
      <c r="N929" s="175"/>
    </row>
    <row r="930" spans="11:14" x14ac:dyDescent="0.25">
      <c r="K930" s="175"/>
      <c r="M930" s="175"/>
      <c r="N930" s="175"/>
    </row>
    <row r="931" spans="11:14" x14ac:dyDescent="0.25">
      <c r="K931" s="175"/>
      <c r="M931" s="175"/>
      <c r="N931" s="175"/>
    </row>
    <row r="932" spans="11:14" x14ac:dyDescent="0.25">
      <c r="K932" s="175"/>
      <c r="M932" s="175"/>
      <c r="N932" s="175"/>
    </row>
    <row r="933" spans="11:14" x14ac:dyDescent="0.25">
      <c r="K933" s="175"/>
      <c r="M933" s="175"/>
      <c r="N933" s="175"/>
    </row>
    <row r="934" spans="11:14" x14ac:dyDescent="0.25">
      <c r="K934" s="175"/>
      <c r="M934" s="175"/>
      <c r="N934" s="175"/>
    </row>
    <row r="935" spans="11:14" x14ac:dyDescent="0.25">
      <c r="K935" s="175"/>
      <c r="M935" s="175"/>
      <c r="N935" s="175"/>
    </row>
    <row r="936" spans="11:14" x14ac:dyDescent="0.25">
      <c r="K936" s="175"/>
      <c r="M936" s="175"/>
      <c r="N936" s="175"/>
    </row>
    <row r="937" spans="11:14" x14ac:dyDescent="0.25">
      <c r="K937" s="175"/>
      <c r="M937" s="175"/>
      <c r="N937" s="175"/>
    </row>
    <row r="938" spans="11:14" x14ac:dyDescent="0.25">
      <c r="K938" s="175"/>
      <c r="M938" s="175"/>
      <c r="N938" s="175"/>
    </row>
    <row r="939" spans="11:14" x14ac:dyDescent="0.25">
      <c r="K939" s="175"/>
      <c r="M939" s="175"/>
      <c r="N939" s="175"/>
    </row>
    <row r="940" spans="11:14" x14ac:dyDescent="0.25">
      <c r="K940" s="175"/>
      <c r="M940" s="175"/>
      <c r="N940" s="175"/>
    </row>
    <row r="941" spans="11:14" x14ac:dyDescent="0.25">
      <c r="K941" s="175"/>
      <c r="M941" s="175"/>
      <c r="N941" s="175"/>
    </row>
    <row r="942" spans="11:14" x14ac:dyDescent="0.25">
      <c r="K942" s="175"/>
      <c r="M942" s="175"/>
      <c r="N942" s="175"/>
    </row>
    <row r="943" spans="11:14" x14ac:dyDescent="0.25">
      <c r="K943" s="175"/>
      <c r="M943" s="175"/>
      <c r="N943" s="175"/>
    </row>
    <row r="944" spans="11:14" x14ac:dyDescent="0.25">
      <c r="K944" s="175"/>
      <c r="M944" s="175"/>
      <c r="N944" s="175"/>
    </row>
    <row r="945" spans="11:14" x14ac:dyDescent="0.25">
      <c r="K945" s="175"/>
      <c r="M945" s="175"/>
      <c r="N945" s="175"/>
    </row>
    <row r="946" spans="11:14" x14ac:dyDescent="0.25">
      <c r="K946" s="175"/>
      <c r="M946" s="175"/>
      <c r="N946" s="175"/>
    </row>
    <row r="947" spans="11:14" x14ac:dyDescent="0.25">
      <c r="K947" s="175"/>
      <c r="M947" s="175"/>
      <c r="N947" s="175"/>
    </row>
    <row r="948" spans="11:14" x14ac:dyDescent="0.25">
      <c r="K948" s="175"/>
      <c r="M948" s="175"/>
      <c r="N948" s="175"/>
    </row>
    <row r="949" spans="11:14" x14ac:dyDescent="0.25">
      <c r="K949" s="175"/>
      <c r="M949" s="175"/>
      <c r="N949" s="175"/>
    </row>
    <row r="950" spans="11:14" x14ac:dyDescent="0.25">
      <c r="K950" s="175"/>
      <c r="M950" s="175"/>
      <c r="N950" s="175"/>
    </row>
    <row r="951" spans="11:14" x14ac:dyDescent="0.25">
      <c r="K951" s="175"/>
      <c r="M951" s="175"/>
      <c r="N951" s="175"/>
    </row>
    <row r="952" spans="11:14" x14ac:dyDescent="0.25">
      <c r="K952" s="175"/>
      <c r="M952" s="175"/>
      <c r="N952" s="175"/>
    </row>
    <row r="953" spans="11:14" x14ac:dyDescent="0.25">
      <c r="K953" s="175"/>
      <c r="M953" s="175"/>
      <c r="N953" s="175"/>
    </row>
    <row r="954" spans="11:14" x14ac:dyDescent="0.25">
      <c r="K954" s="175"/>
      <c r="M954" s="175"/>
      <c r="N954" s="175"/>
    </row>
    <row r="955" spans="11:14" x14ac:dyDescent="0.25">
      <c r="K955" s="175"/>
      <c r="M955" s="175"/>
      <c r="N955" s="175"/>
    </row>
    <row r="956" spans="11:14" x14ac:dyDescent="0.25">
      <c r="K956" s="175"/>
      <c r="M956" s="175"/>
      <c r="N956" s="175"/>
    </row>
    <row r="957" spans="11:14" x14ac:dyDescent="0.25">
      <c r="K957" s="175"/>
      <c r="M957" s="175"/>
      <c r="N957" s="175"/>
    </row>
    <row r="958" spans="11:14" x14ac:dyDescent="0.25">
      <c r="K958" s="175"/>
      <c r="M958" s="175"/>
      <c r="N958" s="175"/>
    </row>
    <row r="959" spans="11:14" x14ac:dyDescent="0.25">
      <c r="K959" s="175"/>
      <c r="M959" s="175"/>
      <c r="N959" s="175"/>
    </row>
    <row r="960" spans="11:14" x14ac:dyDescent="0.25">
      <c r="K960" s="175"/>
      <c r="M960" s="175"/>
      <c r="N960" s="175"/>
    </row>
    <row r="961" spans="11:14" x14ac:dyDescent="0.25">
      <c r="K961" s="175"/>
      <c r="M961" s="175"/>
      <c r="N961" s="175"/>
    </row>
    <row r="962" spans="11:14" x14ac:dyDescent="0.25">
      <c r="K962" s="175"/>
      <c r="M962" s="175"/>
      <c r="N962" s="175"/>
    </row>
    <row r="963" spans="11:14" x14ac:dyDescent="0.25">
      <c r="K963" s="175"/>
      <c r="M963" s="175"/>
      <c r="N963" s="175"/>
    </row>
    <row r="964" spans="11:14" x14ac:dyDescent="0.25">
      <c r="K964" s="175"/>
      <c r="M964" s="175"/>
      <c r="N964" s="175"/>
    </row>
    <row r="965" spans="11:14" x14ac:dyDescent="0.25">
      <c r="K965" s="175"/>
      <c r="M965" s="175"/>
      <c r="N965" s="175"/>
    </row>
    <row r="966" spans="11:14" x14ac:dyDescent="0.25">
      <c r="K966" s="175"/>
      <c r="M966" s="175"/>
      <c r="N966" s="175"/>
    </row>
    <row r="967" spans="11:14" x14ac:dyDescent="0.25">
      <c r="K967" s="175"/>
      <c r="M967" s="175"/>
      <c r="N967" s="175"/>
    </row>
    <row r="968" spans="11:14" x14ac:dyDescent="0.25">
      <c r="K968" s="175"/>
      <c r="M968" s="175"/>
      <c r="N968" s="175"/>
    </row>
    <row r="969" spans="11:14" x14ac:dyDescent="0.25">
      <c r="K969" s="175"/>
      <c r="M969" s="175"/>
      <c r="N969" s="175"/>
    </row>
    <row r="970" spans="11:14" x14ac:dyDescent="0.25">
      <c r="K970" s="175"/>
      <c r="M970" s="175"/>
      <c r="N970" s="175"/>
    </row>
    <row r="971" spans="11:14" x14ac:dyDescent="0.25">
      <c r="K971" s="175"/>
      <c r="M971" s="175"/>
      <c r="N971" s="175"/>
    </row>
    <row r="972" spans="11:14" x14ac:dyDescent="0.25">
      <c r="K972" s="175"/>
      <c r="M972" s="175"/>
      <c r="N972" s="175"/>
    </row>
    <row r="973" spans="11:14" x14ac:dyDescent="0.25">
      <c r="K973" s="175"/>
      <c r="M973" s="175"/>
      <c r="N973" s="175"/>
    </row>
    <row r="974" spans="11:14" x14ac:dyDescent="0.25">
      <c r="K974" s="175"/>
      <c r="M974" s="175"/>
      <c r="N974" s="175"/>
    </row>
    <row r="975" spans="11:14" x14ac:dyDescent="0.25">
      <c r="K975" s="175"/>
      <c r="M975" s="175"/>
      <c r="N975" s="175"/>
    </row>
    <row r="976" spans="11:14" x14ac:dyDescent="0.25">
      <c r="K976" s="175"/>
      <c r="M976" s="175"/>
      <c r="N976" s="175"/>
    </row>
    <row r="977" spans="11:14" x14ac:dyDescent="0.25">
      <c r="K977" s="175"/>
      <c r="M977" s="175"/>
      <c r="N977" s="175"/>
    </row>
    <row r="978" spans="11:14" x14ac:dyDescent="0.25">
      <c r="K978" s="175"/>
      <c r="M978" s="175"/>
      <c r="N978" s="175"/>
    </row>
    <row r="979" spans="11:14" x14ac:dyDescent="0.25">
      <c r="K979" s="175"/>
      <c r="M979" s="175"/>
      <c r="N979" s="175"/>
    </row>
    <row r="980" spans="11:14" x14ac:dyDescent="0.25">
      <c r="K980" s="175"/>
      <c r="M980" s="175"/>
      <c r="N980" s="175"/>
    </row>
    <row r="981" spans="11:14" x14ac:dyDescent="0.25">
      <c r="K981" s="175"/>
      <c r="M981" s="175"/>
      <c r="N981" s="175"/>
    </row>
    <row r="982" spans="11:14" x14ac:dyDescent="0.25">
      <c r="K982" s="175"/>
      <c r="M982" s="175"/>
      <c r="N982" s="175"/>
    </row>
    <row r="983" spans="11:14" x14ac:dyDescent="0.25">
      <c r="K983" s="175"/>
      <c r="M983" s="175"/>
      <c r="N983" s="175"/>
    </row>
    <row r="984" spans="11:14" x14ac:dyDescent="0.25">
      <c r="K984" s="175"/>
      <c r="M984" s="175"/>
      <c r="N984" s="175"/>
    </row>
    <row r="985" spans="11:14" x14ac:dyDescent="0.25">
      <c r="K985" s="175"/>
      <c r="M985" s="175"/>
      <c r="N985" s="175"/>
    </row>
    <row r="986" spans="11:14" x14ac:dyDescent="0.25">
      <c r="K986" s="175"/>
      <c r="M986" s="175"/>
      <c r="N986" s="175"/>
    </row>
    <row r="987" spans="11:14" x14ac:dyDescent="0.25">
      <c r="K987" s="175"/>
      <c r="M987" s="175"/>
      <c r="N987" s="175"/>
    </row>
    <row r="988" spans="11:14" x14ac:dyDescent="0.25">
      <c r="K988" s="175"/>
      <c r="M988" s="175"/>
      <c r="N988" s="175"/>
    </row>
    <row r="989" spans="11:14" x14ac:dyDescent="0.25">
      <c r="K989" s="175"/>
      <c r="M989" s="175"/>
      <c r="N989" s="175"/>
    </row>
  </sheetData>
  <conditionalFormatting sqref="A1:J1 L1:N1 M355:N355 N2 N341 M3:N326 M359:N359 K359 K384 M384:N384 M386:N386 K386 K388:K65526 M388:N65526">
    <cfRule type="expression" dxfId="1701" priority="843">
      <formula>$E1&lt;12</formula>
    </cfRule>
    <cfRule type="expression" dxfId="1700" priority="844">
      <formula>$E1=18</formula>
    </cfRule>
    <cfRule type="expression" dxfId="1699" priority="845">
      <formula>$E1=17</formula>
    </cfRule>
    <cfRule type="expression" dxfId="1698" priority="846">
      <formula>$E1=16</formula>
    </cfRule>
    <cfRule type="expression" dxfId="1697" priority="847">
      <formula>$E1=15</formula>
    </cfRule>
    <cfRule type="expression" dxfId="1696" priority="848">
      <formula>$E1=14</formula>
    </cfRule>
    <cfRule type="expression" dxfId="1695" priority="849">
      <formula>$E1=13</formula>
    </cfRule>
    <cfRule type="expression" dxfId="1694" priority="850">
      <formula>$E1=12</formula>
    </cfRule>
  </conditionalFormatting>
  <conditionalFormatting sqref="A1:J1 L1:N1 M355:N355 N2 N341 M3:N326 M359:N359 K359 K384 M384:N384 M386:N386 K386 K388:K65526 M388:N65526">
    <cfRule type="expression" dxfId="1693" priority="834">
      <formula>$E1=10</formula>
    </cfRule>
    <cfRule type="expression" dxfId="1692" priority="835">
      <formula>$E1=11</formula>
    </cfRule>
    <cfRule type="expression" dxfId="1691" priority="836">
      <formula>$E1=18</formula>
    </cfRule>
    <cfRule type="expression" dxfId="1690" priority="837">
      <formula>$E1=17</formula>
    </cfRule>
    <cfRule type="expression" dxfId="1689" priority="838">
      <formula>$E1=16</formula>
    </cfRule>
    <cfRule type="expression" dxfId="1688" priority="839">
      <formula>$E1=15</formula>
    </cfRule>
    <cfRule type="expression" dxfId="1687" priority="840">
      <formula>$E1=14</formula>
    </cfRule>
    <cfRule type="expression" dxfId="1686" priority="841">
      <formula>$E1=13</formula>
    </cfRule>
    <cfRule type="expression" dxfId="1685" priority="842">
      <formula>$E1=12</formula>
    </cfRule>
  </conditionalFormatting>
  <conditionalFormatting sqref="L2:L146 A2:B2 G2:I2 A3:I3 A4:J325 J326:J333 L148:L325">
    <cfRule type="expression" dxfId="1684" priority="826">
      <formula>$E2&lt;12</formula>
    </cfRule>
    <cfRule type="expression" dxfId="1683" priority="827">
      <formula>$E2=18</formula>
    </cfRule>
    <cfRule type="expression" dxfId="1682" priority="828">
      <formula>$E2=17</formula>
    </cfRule>
    <cfRule type="expression" dxfId="1681" priority="829">
      <formula>$E2=16</formula>
    </cfRule>
    <cfRule type="expression" dxfId="1680" priority="830">
      <formula>$E2=15</formula>
    </cfRule>
    <cfRule type="expression" dxfId="1679" priority="831">
      <formula>$E2=14</formula>
    </cfRule>
    <cfRule type="expression" dxfId="1678" priority="832">
      <formula>$E2=13</formula>
    </cfRule>
    <cfRule type="expression" dxfId="1677" priority="833">
      <formula>$E2=12</formula>
    </cfRule>
  </conditionalFormatting>
  <conditionalFormatting sqref="L2:L146 A2:B2 G2:I2 A3:I3 A4:J325 J326:J333 L148:L325">
    <cfRule type="expression" dxfId="1676" priority="817">
      <formula>$E2=10</formula>
    </cfRule>
    <cfRule type="expression" dxfId="1675" priority="818">
      <formula>$E2=11</formula>
    </cfRule>
    <cfRule type="expression" dxfId="1674" priority="819">
      <formula>$E2=18</formula>
    </cfRule>
    <cfRule type="expression" dxfId="1673" priority="820">
      <formula>$E2=17</formula>
    </cfRule>
    <cfRule type="expression" dxfId="1672" priority="821">
      <formula>$E2=16</formula>
    </cfRule>
    <cfRule type="expression" dxfId="1671" priority="822">
      <formula>$E2=15</formula>
    </cfRule>
    <cfRule type="expression" dxfId="1670" priority="823">
      <formula>$E2=14</formula>
    </cfRule>
    <cfRule type="expression" dxfId="1669" priority="824">
      <formula>$E2=13</formula>
    </cfRule>
    <cfRule type="expression" dxfId="1668" priority="825">
      <formula>$E2=12</formula>
    </cfRule>
  </conditionalFormatting>
  <conditionalFormatting sqref="K1 K355 K3:K326">
    <cfRule type="expression" dxfId="1667" priority="809">
      <formula>$E1&lt;12</formula>
    </cfRule>
    <cfRule type="expression" dxfId="1666" priority="810">
      <formula>$E1=18</formula>
    </cfRule>
    <cfRule type="expression" dxfId="1665" priority="811">
      <formula>$E1=17</formula>
    </cfRule>
    <cfRule type="expression" dxfId="1664" priority="812">
      <formula>$E1=16</formula>
    </cfRule>
    <cfRule type="expression" dxfId="1663" priority="813">
      <formula>$E1=15</formula>
    </cfRule>
    <cfRule type="expression" dxfId="1662" priority="814">
      <formula>$E1=14</formula>
    </cfRule>
    <cfRule type="expression" dxfId="1661" priority="815">
      <formula>$E1=13</formula>
    </cfRule>
    <cfRule type="expression" dxfId="1660" priority="816">
      <formula>$E1=12</formula>
    </cfRule>
  </conditionalFormatting>
  <conditionalFormatting sqref="K1 K355 K3:K326">
    <cfRule type="expression" dxfId="1659" priority="800">
      <formula>$E1=10</formula>
    </cfRule>
    <cfRule type="expression" dxfId="1658" priority="801">
      <formula>$E1=11</formula>
    </cfRule>
    <cfRule type="expression" dxfId="1657" priority="802">
      <formula>$E1=18</formula>
    </cfRule>
    <cfRule type="expression" dxfId="1656" priority="803">
      <formula>$E1=17</formula>
    </cfRule>
    <cfRule type="expression" dxfId="1655" priority="804">
      <formula>$E1=16</formula>
    </cfRule>
    <cfRule type="expression" dxfId="1654" priority="805">
      <formula>$E1=15</formula>
    </cfRule>
    <cfRule type="expression" dxfId="1653" priority="806">
      <formula>$E1=14</formula>
    </cfRule>
    <cfRule type="expression" dxfId="1652" priority="807">
      <formula>$E1=13</formula>
    </cfRule>
    <cfRule type="expression" dxfId="1651" priority="808">
      <formula>$E1=12</formula>
    </cfRule>
  </conditionalFormatting>
  <conditionalFormatting sqref="N327:N332">
    <cfRule type="expression" dxfId="1650" priority="792">
      <formula>$E327&lt;12</formula>
    </cfRule>
    <cfRule type="expression" dxfId="1649" priority="793">
      <formula>$E327=18</formula>
    </cfRule>
    <cfRule type="expression" dxfId="1648" priority="794">
      <formula>$E327=17</formula>
    </cfRule>
    <cfRule type="expression" dxfId="1647" priority="795">
      <formula>$E327=16</formula>
    </cfRule>
    <cfRule type="expression" dxfId="1646" priority="796">
      <formula>$E327=15</formula>
    </cfRule>
    <cfRule type="expression" dxfId="1645" priority="797">
      <formula>$E327=14</formula>
    </cfRule>
    <cfRule type="expression" dxfId="1644" priority="798">
      <formula>$E327=13</formula>
    </cfRule>
    <cfRule type="expression" dxfId="1643" priority="799">
      <formula>$E327=12</formula>
    </cfRule>
  </conditionalFormatting>
  <conditionalFormatting sqref="N327:N332">
    <cfRule type="expression" dxfId="1642" priority="783">
      <formula>$E327=10</formula>
    </cfRule>
    <cfRule type="expression" dxfId="1641" priority="784">
      <formula>$E327=11</formula>
    </cfRule>
    <cfRule type="expression" dxfId="1640" priority="785">
      <formula>$E327=18</formula>
    </cfRule>
    <cfRule type="expression" dxfId="1639" priority="786">
      <formula>$E327=17</formula>
    </cfRule>
    <cfRule type="expression" dxfId="1638" priority="787">
      <formula>$E327=16</formula>
    </cfRule>
    <cfRule type="expression" dxfId="1637" priority="788">
      <formula>$E327=15</formula>
    </cfRule>
    <cfRule type="expression" dxfId="1636" priority="789">
      <formula>$E327=14</formula>
    </cfRule>
    <cfRule type="expression" dxfId="1635" priority="790">
      <formula>$E327=13</formula>
    </cfRule>
    <cfRule type="expression" dxfId="1634" priority="791">
      <formula>$E327=12</formula>
    </cfRule>
  </conditionalFormatting>
  <conditionalFormatting sqref="N333:N340">
    <cfRule type="expression" dxfId="1633" priority="775">
      <formula>$E333&lt;12</formula>
    </cfRule>
    <cfRule type="expression" dxfId="1632" priority="776">
      <formula>$E333=18</formula>
    </cfRule>
    <cfRule type="expression" dxfId="1631" priority="777">
      <formula>$E333=17</formula>
    </cfRule>
    <cfRule type="expression" dxfId="1630" priority="778">
      <formula>$E333=16</formula>
    </cfRule>
    <cfRule type="expression" dxfId="1629" priority="779">
      <formula>$E333=15</formula>
    </cfRule>
    <cfRule type="expression" dxfId="1628" priority="780">
      <formula>$E333=14</formula>
    </cfRule>
    <cfRule type="expression" dxfId="1627" priority="781">
      <formula>$E333=13</formula>
    </cfRule>
    <cfRule type="expression" dxfId="1626" priority="782">
      <formula>$E333=12</formula>
    </cfRule>
  </conditionalFormatting>
  <conditionalFormatting sqref="N333:N340">
    <cfRule type="expression" dxfId="1625" priority="766">
      <formula>$E333=10</formula>
    </cfRule>
    <cfRule type="expression" dxfId="1624" priority="767">
      <formula>$E333=11</formula>
    </cfRule>
    <cfRule type="expression" dxfId="1623" priority="768">
      <formula>$E333=18</formula>
    </cfRule>
    <cfRule type="expression" dxfId="1622" priority="769">
      <formula>$E333=17</formula>
    </cfRule>
    <cfRule type="expression" dxfId="1621" priority="770">
      <formula>$E333=16</formula>
    </cfRule>
    <cfRule type="expression" dxfId="1620" priority="771">
      <formula>$E333=15</formula>
    </cfRule>
    <cfRule type="expression" dxfId="1619" priority="772">
      <formula>$E333=14</formula>
    </cfRule>
    <cfRule type="expression" dxfId="1618" priority="773">
      <formula>$E333=13</formula>
    </cfRule>
    <cfRule type="expression" dxfId="1617" priority="774">
      <formula>$E333=12</formula>
    </cfRule>
  </conditionalFormatting>
  <conditionalFormatting sqref="M341">
    <cfRule type="expression" dxfId="1616" priority="707">
      <formula>$E341&lt;12</formula>
    </cfRule>
    <cfRule type="expression" dxfId="1615" priority="708">
      <formula>$E341=18</formula>
    </cfRule>
    <cfRule type="expression" dxfId="1614" priority="709">
      <formula>$E341=17</formula>
    </cfRule>
    <cfRule type="expression" dxfId="1613" priority="710">
      <formula>$E341=16</formula>
    </cfRule>
    <cfRule type="expression" dxfId="1612" priority="711">
      <formula>$E341=15</formula>
    </cfRule>
    <cfRule type="expression" dxfId="1611" priority="712">
      <formula>$E341=14</formula>
    </cfRule>
    <cfRule type="expression" dxfId="1610" priority="713">
      <formula>$E341=13</formula>
    </cfRule>
    <cfRule type="expression" dxfId="1609" priority="714">
      <formula>$E341=12</formula>
    </cfRule>
  </conditionalFormatting>
  <conditionalFormatting sqref="M341">
    <cfRule type="expression" dxfId="1608" priority="698">
      <formula>$E341=10</formula>
    </cfRule>
    <cfRule type="expression" dxfId="1607" priority="699">
      <formula>$E341=11</formula>
    </cfRule>
    <cfRule type="expression" dxfId="1606" priority="700">
      <formula>$E341=18</formula>
    </cfRule>
    <cfRule type="expression" dxfId="1605" priority="701">
      <formula>$E341=17</formula>
    </cfRule>
    <cfRule type="expression" dxfId="1604" priority="702">
      <formula>$E341=16</formula>
    </cfRule>
    <cfRule type="expression" dxfId="1603" priority="703">
      <formula>$E341=15</formula>
    </cfRule>
    <cfRule type="expression" dxfId="1602" priority="704">
      <formula>$E341=14</formula>
    </cfRule>
    <cfRule type="expression" dxfId="1601" priority="705">
      <formula>$E341=13</formula>
    </cfRule>
    <cfRule type="expression" dxfId="1600" priority="706">
      <formula>$E341=12</formula>
    </cfRule>
  </conditionalFormatting>
  <conditionalFormatting sqref="K341">
    <cfRule type="expression" dxfId="1599" priority="690">
      <formula>$E341&lt;12</formula>
    </cfRule>
    <cfRule type="expression" dxfId="1598" priority="691">
      <formula>$E341=18</formula>
    </cfRule>
    <cfRule type="expression" dxfId="1597" priority="692">
      <formula>$E341=17</formula>
    </cfRule>
    <cfRule type="expression" dxfId="1596" priority="693">
      <formula>$E341=16</formula>
    </cfRule>
    <cfRule type="expression" dxfId="1595" priority="694">
      <formula>$E341=15</formula>
    </cfRule>
    <cfRule type="expression" dxfId="1594" priority="695">
      <formula>$E341=14</formula>
    </cfRule>
    <cfRule type="expression" dxfId="1593" priority="696">
      <formula>$E341=13</formula>
    </cfRule>
    <cfRule type="expression" dxfId="1592" priority="697">
      <formula>$E341=12</formula>
    </cfRule>
  </conditionalFormatting>
  <conditionalFormatting sqref="K341">
    <cfRule type="expression" dxfId="1591" priority="681">
      <formula>$E341=10</formula>
    </cfRule>
    <cfRule type="expression" dxfId="1590" priority="682">
      <formula>$E341=11</formula>
    </cfRule>
    <cfRule type="expression" dxfId="1589" priority="683">
      <formula>$E341=18</formula>
    </cfRule>
    <cfRule type="expression" dxfId="1588" priority="684">
      <formula>$E341=17</formula>
    </cfRule>
    <cfRule type="expression" dxfId="1587" priority="685">
      <formula>$E341=16</formula>
    </cfRule>
    <cfRule type="expression" dxfId="1586" priority="686">
      <formula>$E341=15</formula>
    </cfRule>
    <cfRule type="expression" dxfId="1585" priority="687">
      <formula>$E341=14</formula>
    </cfRule>
    <cfRule type="expression" dxfId="1584" priority="688">
      <formula>$E341=13</formula>
    </cfRule>
    <cfRule type="expression" dxfId="1583" priority="689">
      <formula>$E341=12</formula>
    </cfRule>
  </conditionalFormatting>
  <conditionalFormatting sqref="M327:M332">
    <cfRule type="expression" dxfId="1582" priority="673">
      <formula>$E327&lt;12</formula>
    </cfRule>
    <cfRule type="expression" dxfId="1581" priority="674">
      <formula>$E327=18</formula>
    </cfRule>
    <cfRule type="expression" dxfId="1580" priority="675">
      <formula>$E327=17</formula>
    </cfRule>
    <cfRule type="expression" dxfId="1579" priority="676">
      <formula>$E327=16</formula>
    </cfRule>
    <cfRule type="expression" dxfId="1578" priority="677">
      <formula>$E327=15</formula>
    </cfRule>
    <cfRule type="expression" dxfId="1577" priority="678">
      <formula>$E327=14</formula>
    </cfRule>
    <cfRule type="expression" dxfId="1576" priority="679">
      <formula>$E327=13</formula>
    </cfRule>
    <cfRule type="expression" dxfId="1575" priority="680">
      <formula>$E327=12</formula>
    </cfRule>
  </conditionalFormatting>
  <conditionalFormatting sqref="M327:M332">
    <cfRule type="expression" dxfId="1574" priority="664">
      <formula>$E327=10</formula>
    </cfRule>
    <cfRule type="expression" dxfId="1573" priority="665">
      <formula>$E327=11</formula>
    </cfRule>
    <cfRule type="expression" dxfId="1572" priority="666">
      <formula>$E327=18</formula>
    </cfRule>
    <cfRule type="expression" dxfId="1571" priority="667">
      <formula>$E327=17</formula>
    </cfRule>
    <cfRule type="expression" dxfId="1570" priority="668">
      <formula>$E327=16</formula>
    </cfRule>
    <cfRule type="expression" dxfId="1569" priority="669">
      <formula>$E327=15</formula>
    </cfRule>
    <cfRule type="expression" dxfId="1568" priority="670">
      <formula>$E327=14</formula>
    </cfRule>
    <cfRule type="expression" dxfId="1567" priority="671">
      <formula>$E327=13</formula>
    </cfRule>
    <cfRule type="expression" dxfId="1566" priority="672">
      <formula>$E327=12</formula>
    </cfRule>
  </conditionalFormatting>
  <conditionalFormatting sqref="K2:K325">
    <cfRule type="expression" dxfId="1565" priority="724">
      <formula>$E2&lt;12</formula>
    </cfRule>
    <cfRule type="expression" dxfId="1564" priority="725">
      <formula>$E2=18</formula>
    </cfRule>
    <cfRule type="expression" dxfId="1563" priority="726">
      <formula>$E2=17</formula>
    </cfRule>
    <cfRule type="expression" dxfId="1562" priority="727">
      <formula>$E2=16</formula>
    </cfRule>
    <cfRule type="expression" dxfId="1561" priority="728">
      <formula>$E2=15</formula>
    </cfRule>
    <cfRule type="expression" dxfId="1560" priority="729">
      <formula>$E2=14</formula>
    </cfRule>
    <cfRule type="expression" dxfId="1559" priority="730">
      <formula>$E2=13</formula>
    </cfRule>
    <cfRule type="expression" dxfId="1558" priority="731">
      <formula>$E2=12</formula>
    </cfRule>
  </conditionalFormatting>
  <conditionalFormatting sqref="K2:K325">
    <cfRule type="expression" dxfId="1557" priority="715">
      <formula>$E2=10</formula>
    </cfRule>
    <cfRule type="expression" dxfId="1556" priority="716">
      <formula>$E2=11</formula>
    </cfRule>
    <cfRule type="expression" dxfId="1555" priority="717">
      <formula>$E2=18</formula>
    </cfRule>
    <cfRule type="expression" dxfId="1554" priority="718">
      <formula>$E2=17</formula>
    </cfRule>
    <cfRule type="expression" dxfId="1553" priority="719">
      <formula>$E2=16</formula>
    </cfRule>
    <cfRule type="expression" dxfId="1552" priority="720">
      <formula>$E2=15</formula>
    </cfRule>
    <cfRule type="expression" dxfId="1551" priority="721">
      <formula>$E2=14</formula>
    </cfRule>
    <cfRule type="expression" dxfId="1550" priority="722">
      <formula>$E2=13</formula>
    </cfRule>
    <cfRule type="expression" dxfId="1549" priority="723">
      <formula>$E2=12</formula>
    </cfRule>
  </conditionalFormatting>
  <conditionalFormatting sqref="C2:F325">
    <cfRule type="expression" dxfId="1548" priority="758">
      <formula>$E2&lt;12</formula>
    </cfRule>
    <cfRule type="expression" dxfId="1547" priority="759">
      <formula>$E2=18</formula>
    </cfRule>
    <cfRule type="expression" dxfId="1546" priority="760">
      <formula>$E2=17</formula>
    </cfRule>
    <cfRule type="expression" dxfId="1545" priority="761">
      <formula>$E2=16</formula>
    </cfRule>
    <cfRule type="expression" dxfId="1544" priority="762">
      <formula>$E2=15</formula>
    </cfRule>
    <cfRule type="expression" dxfId="1543" priority="763">
      <formula>$E2=14</formula>
    </cfRule>
    <cfRule type="expression" dxfId="1542" priority="764">
      <formula>$E2=13</formula>
    </cfRule>
    <cfRule type="expression" dxfId="1541" priority="765">
      <formula>$E2=12</formula>
    </cfRule>
  </conditionalFormatting>
  <conditionalFormatting sqref="C2:F325">
    <cfRule type="expression" dxfId="1540" priority="749">
      <formula>$E2=10</formula>
    </cfRule>
    <cfRule type="expression" dxfId="1539" priority="750">
      <formula>$E2=11</formula>
    </cfRule>
    <cfRule type="expression" dxfId="1538" priority="751">
      <formula>$E2=18</formula>
    </cfRule>
    <cfRule type="expression" dxfId="1537" priority="752">
      <formula>$E2=17</formula>
    </cfRule>
    <cfRule type="expression" dxfId="1536" priority="753">
      <formula>$E2=16</formula>
    </cfRule>
    <cfRule type="expression" dxfId="1535" priority="754">
      <formula>$E2=15</formula>
    </cfRule>
    <cfRule type="expression" dxfId="1534" priority="755">
      <formula>$E2=14</formula>
    </cfRule>
    <cfRule type="expression" dxfId="1533" priority="756">
      <formula>$E2=13</formula>
    </cfRule>
    <cfRule type="expression" dxfId="1532" priority="757">
      <formula>$E2=12</formula>
    </cfRule>
  </conditionalFormatting>
  <conditionalFormatting sqref="M2">
    <cfRule type="expression" dxfId="1531" priority="741">
      <formula>$E2&lt;12</formula>
    </cfRule>
    <cfRule type="expression" dxfId="1530" priority="742">
      <formula>$E2=18</formula>
    </cfRule>
    <cfRule type="expression" dxfId="1529" priority="743">
      <formula>$E2=17</formula>
    </cfRule>
    <cfRule type="expression" dxfId="1528" priority="744">
      <formula>$E2=16</formula>
    </cfRule>
    <cfRule type="expression" dxfId="1527" priority="745">
      <formula>$E2=15</formula>
    </cfRule>
    <cfRule type="expression" dxfId="1526" priority="746">
      <formula>$E2=14</formula>
    </cfRule>
    <cfRule type="expression" dxfId="1525" priority="747">
      <formula>$E2=13</formula>
    </cfRule>
    <cfRule type="expression" dxfId="1524" priority="748">
      <formula>$E2=12</formula>
    </cfRule>
  </conditionalFormatting>
  <conditionalFormatting sqref="M2">
    <cfRule type="expression" dxfId="1523" priority="732">
      <formula>$E2=10</formula>
    </cfRule>
    <cfRule type="expression" dxfId="1522" priority="733">
      <formula>$E2=11</formula>
    </cfRule>
    <cfRule type="expression" dxfId="1521" priority="734">
      <formula>$E2=18</formula>
    </cfRule>
    <cfRule type="expression" dxfId="1520" priority="735">
      <formula>$E2=17</formula>
    </cfRule>
    <cfRule type="expression" dxfId="1519" priority="736">
      <formula>$E2=16</formula>
    </cfRule>
    <cfRule type="expression" dxfId="1518" priority="737">
      <formula>$E2=15</formula>
    </cfRule>
    <cfRule type="expression" dxfId="1517" priority="738">
      <formula>$E2=14</formula>
    </cfRule>
    <cfRule type="expression" dxfId="1516" priority="739">
      <formula>$E2=13</formula>
    </cfRule>
    <cfRule type="expression" dxfId="1515" priority="740">
      <formula>$E2=12</formula>
    </cfRule>
  </conditionalFormatting>
  <conditionalFormatting sqref="L327:L332 A327:J340">
    <cfRule type="expression" dxfId="1514" priority="656">
      <formula>$E327&lt;12</formula>
    </cfRule>
    <cfRule type="expression" dxfId="1513" priority="657">
      <formula>$E327=18</formula>
    </cfRule>
    <cfRule type="expression" dxfId="1512" priority="658">
      <formula>$E327=17</formula>
    </cfRule>
    <cfRule type="expression" dxfId="1511" priority="659">
      <formula>$E327=16</formula>
    </cfRule>
    <cfRule type="expression" dxfId="1510" priority="660">
      <formula>$E327=15</formula>
    </cfRule>
    <cfRule type="expression" dxfId="1509" priority="661">
      <formula>$E327=14</formula>
    </cfRule>
    <cfRule type="expression" dxfId="1508" priority="662">
      <formula>$E327=13</formula>
    </cfRule>
    <cfRule type="expression" dxfId="1507" priority="663">
      <formula>$E327=12</formula>
    </cfRule>
  </conditionalFormatting>
  <conditionalFormatting sqref="L327:L332 A327:J340">
    <cfRule type="expression" dxfId="1506" priority="647">
      <formula>$E327=10</formula>
    </cfRule>
    <cfRule type="expression" dxfId="1505" priority="648">
      <formula>$E327=11</formula>
    </cfRule>
    <cfRule type="expression" dxfId="1504" priority="649">
      <formula>$E327=18</formula>
    </cfRule>
    <cfRule type="expression" dxfId="1503" priority="650">
      <formula>$E327=17</formula>
    </cfRule>
    <cfRule type="expression" dxfId="1502" priority="651">
      <formula>$E327=16</formula>
    </cfRule>
    <cfRule type="expression" dxfId="1501" priority="652">
      <formula>$E327=15</formula>
    </cfRule>
    <cfRule type="expression" dxfId="1500" priority="653">
      <formula>$E327=14</formula>
    </cfRule>
    <cfRule type="expression" dxfId="1499" priority="654">
      <formula>$E327=13</formula>
    </cfRule>
    <cfRule type="expression" dxfId="1498" priority="655">
      <formula>$E327=12</formula>
    </cfRule>
  </conditionalFormatting>
  <conditionalFormatting sqref="M333:M340">
    <cfRule type="expression" dxfId="1497" priority="622">
      <formula>$E333&lt;12</formula>
    </cfRule>
    <cfRule type="expression" dxfId="1496" priority="623">
      <formula>$E333=18</formula>
    </cfRule>
    <cfRule type="expression" dxfId="1495" priority="624">
      <formula>$E333=17</formula>
    </cfRule>
    <cfRule type="expression" dxfId="1494" priority="625">
      <formula>$E333=16</formula>
    </cfRule>
    <cfRule type="expression" dxfId="1493" priority="626">
      <formula>$E333=15</formula>
    </cfRule>
    <cfRule type="expression" dxfId="1492" priority="627">
      <formula>$E333=14</formula>
    </cfRule>
    <cfRule type="expression" dxfId="1491" priority="628">
      <formula>$E333=13</formula>
    </cfRule>
    <cfRule type="expression" dxfId="1490" priority="629">
      <formula>$E333=12</formula>
    </cfRule>
  </conditionalFormatting>
  <conditionalFormatting sqref="M333:M340">
    <cfRule type="expression" dxfId="1489" priority="613">
      <formula>$E333=10</formula>
    </cfRule>
    <cfRule type="expression" dxfId="1488" priority="614">
      <formula>$E333=11</formula>
    </cfRule>
    <cfRule type="expression" dxfId="1487" priority="615">
      <formula>$E333=18</formula>
    </cfRule>
    <cfRule type="expression" dxfId="1486" priority="616">
      <formula>$E333=17</formula>
    </cfRule>
    <cfRule type="expression" dxfId="1485" priority="617">
      <formula>$E333=16</formula>
    </cfRule>
    <cfRule type="expression" dxfId="1484" priority="618">
      <formula>$E333=15</formula>
    </cfRule>
    <cfRule type="expression" dxfId="1483" priority="619">
      <formula>$E333=14</formula>
    </cfRule>
    <cfRule type="expression" dxfId="1482" priority="620">
      <formula>$E333=13</formula>
    </cfRule>
    <cfRule type="expression" dxfId="1481" priority="621">
      <formula>$E333=12</formula>
    </cfRule>
  </conditionalFormatting>
  <conditionalFormatting sqref="L333:L340">
    <cfRule type="expression" dxfId="1480" priority="605">
      <formula>$E333&lt;12</formula>
    </cfRule>
    <cfRule type="expression" dxfId="1479" priority="606">
      <formula>$E333=18</formula>
    </cfRule>
    <cfRule type="expression" dxfId="1478" priority="607">
      <formula>$E333=17</formula>
    </cfRule>
    <cfRule type="expression" dxfId="1477" priority="608">
      <formula>$E333=16</formula>
    </cfRule>
    <cfRule type="expression" dxfId="1476" priority="609">
      <formula>$E333=15</formula>
    </cfRule>
    <cfRule type="expression" dxfId="1475" priority="610">
      <formula>$E333=14</formula>
    </cfRule>
    <cfRule type="expression" dxfId="1474" priority="611">
      <formula>$E333=13</formula>
    </cfRule>
    <cfRule type="expression" dxfId="1473" priority="612">
      <formula>$E333=12</formula>
    </cfRule>
  </conditionalFormatting>
  <conditionalFormatting sqref="L333:L340">
    <cfRule type="expression" dxfId="1472" priority="596">
      <formula>$E333=10</formula>
    </cfRule>
    <cfRule type="expression" dxfId="1471" priority="597">
      <formula>$E333=11</formula>
    </cfRule>
    <cfRule type="expression" dxfId="1470" priority="598">
      <formula>$E333=18</formula>
    </cfRule>
    <cfRule type="expression" dxfId="1469" priority="599">
      <formula>$E333=17</formula>
    </cfRule>
    <cfRule type="expression" dxfId="1468" priority="600">
      <formula>$E333=16</formula>
    </cfRule>
    <cfRule type="expression" dxfId="1467" priority="601">
      <formula>$E333=15</formula>
    </cfRule>
    <cfRule type="expression" dxfId="1466" priority="602">
      <formula>$E333=14</formula>
    </cfRule>
    <cfRule type="expression" dxfId="1465" priority="603">
      <formula>$E333=13</formula>
    </cfRule>
    <cfRule type="expression" dxfId="1464" priority="604">
      <formula>$E333=12</formula>
    </cfRule>
  </conditionalFormatting>
  <conditionalFormatting sqref="K333:K340">
    <cfRule type="expression" dxfId="1463" priority="588">
      <formula>$E333&lt;12</formula>
    </cfRule>
    <cfRule type="expression" dxfId="1462" priority="589">
      <formula>$E333=18</formula>
    </cfRule>
    <cfRule type="expression" dxfId="1461" priority="590">
      <formula>$E333=17</formula>
    </cfRule>
    <cfRule type="expression" dxfId="1460" priority="591">
      <formula>$E333=16</formula>
    </cfRule>
    <cfRule type="expression" dxfId="1459" priority="592">
      <formula>$E333=15</formula>
    </cfRule>
    <cfRule type="expression" dxfId="1458" priority="593">
      <formula>$E333=14</formula>
    </cfRule>
    <cfRule type="expression" dxfId="1457" priority="594">
      <formula>$E333=13</formula>
    </cfRule>
    <cfRule type="expression" dxfId="1456" priority="595">
      <formula>$E333=12</formula>
    </cfRule>
  </conditionalFormatting>
  <conditionalFormatting sqref="K333:K340">
    <cfRule type="expression" dxfId="1455" priority="579">
      <formula>$E333=10</formula>
    </cfRule>
    <cfRule type="expression" dxfId="1454" priority="580">
      <formula>$E333=11</formula>
    </cfRule>
    <cfRule type="expression" dxfId="1453" priority="581">
      <formula>$E333=18</formula>
    </cfRule>
    <cfRule type="expression" dxfId="1452" priority="582">
      <formula>$E333=17</formula>
    </cfRule>
    <cfRule type="expression" dxfId="1451" priority="583">
      <formula>$E333=16</formula>
    </cfRule>
    <cfRule type="expression" dxfId="1450" priority="584">
      <formula>$E333=15</formula>
    </cfRule>
    <cfRule type="expression" dxfId="1449" priority="585">
      <formula>$E333=14</formula>
    </cfRule>
    <cfRule type="expression" dxfId="1448" priority="586">
      <formula>$E333=13</formula>
    </cfRule>
    <cfRule type="expression" dxfId="1447" priority="587">
      <formula>$E333=12</formula>
    </cfRule>
  </conditionalFormatting>
  <conditionalFormatting sqref="K327:K332">
    <cfRule type="expression" dxfId="1446" priority="639">
      <formula>$E327&lt;12</formula>
    </cfRule>
    <cfRule type="expression" dxfId="1445" priority="640">
      <formula>$E327=18</formula>
    </cfRule>
    <cfRule type="expression" dxfId="1444" priority="641">
      <formula>$E327=17</formula>
    </cfRule>
    <cfRule type="expression" dxfId="1443" priority="642">
      <formula>$E327=16</formula>
    </cfRule>
    <cfRule type="expression" dxfId="1442" priority="643">
      <formula>$E327=15</formula>
    </cfRule>
    <cfRule type="expression" dxfId="1441" priority="644">
      <formula>$E327=14</formula>
    </cfRule>
    <cfRule type="expression" dxfId="1440" priority="645">
      <formula>$E327=13</formula>
    </cfRule>
    <cfRule type="expression" dxfId="1439" priority="646">
      <formula>$E327=12</formula>
    </cfRule>
  </conditionalFormatting>
  <conditionalFormatting sqref="K327:K332">
    <cfRule type="expression" dxfId="1438" priority="630">
      <formula>$E327=10</formula>
    </cfRule>
    <cfRule type="expression" dxfId="1437" priority="631">
      <formula>$E327=11</formula>
    </cfRule>
    <cfRule type="expression" dxfId="1436" priority="632">
      <formula>$E327=18</formula>
    </cfRule>
    <cfRule type="expression" dxfId="1435" priority="633">
      <formula>$E327=17</formula>
    </cfRule>
    <cfRule type="expression" dxfId="1434" priority="634">
      <formula>$E327=16</formula>
    </cfRule>
    <cfRule type="expression" dxfId="1433" priority="635">
      <formula>$E327=15</formula>
    </cfRule>
    <cfRule type="expression" dxfId="1432" priority="636">
      <formula>$E327=14</formula>
    </cfRule>
    <cfRule type="expression" dxfId="1431" priority="637">
      <formula>$E327=13</formula>
    </cfRule>
    <cfRule type="expression" dxfId="1430" priority="638">
      <formula>$E327=12</formula>
    </cfRule>
  </conditionalFormatting>
  <conditionalFormatting sqref="J2:J3">
    <cfRule type="expression" dxfId="1429" priority="571">
      <formula>$E2&lt;12</formula>
    </cfRule>
    <cfRule type="expression" dxfId="1428" priority="572">
      <formula>$E2=18</formula>
    </cfRule>
    <cfRule type="expression" dxfId="1427" priority="573">
      <formula>$E2=17</formula>
    </cfRule>
    <cfRule type="expression" dxfId="1426" priority="574">
      <formula>$E2=16</formula>
    </cfRule>
    <cfRule type="expression" dxfId="1425" priority="575">
      <formula>$E2=15</formula>
    </cfRule>
    <cfRule type="expression" dxfId="1424" priority="576">
      <formula>$E2=14</formula>
    </cfRule>
    <cfRule type="expression" dxfId="1423" priority="577">
      <formula>$E2=13</formula>
    </cfRule>
    <cfRule type="expression" dxfId="1422" priority="578">
      <formula>$E2=12</formula>
    </cfRule>
  </conditionalFormatting>
  <conditionalFormatting sqref="J2:J3">
    <cfRule type="expression" dxfId="1421" priority="562">
      <formula>$E2=10</formula>
    </cfRule>
    <cfRule type="expression" dxfId="1420" priority="563">
      <formula>$E2=11</formula>
    </cfRule>
    <cfRule type="expression" dxfId="1419" priority="564">
      <formula>$E2=18</formula>
    </cfRule>
    <cfRule type="expression" dxfId="1418" priority="565">
      <formula>$E2=17</formula>
    </cfRule>
    <cfRule type="expression" dxfId="1417" priority="566">
      <formula>$E2=16</formula>
    </cfRule>
    <cfRule type="expression" dxfId="1416" priority="567">
      <formula>$E2=15</formula>
    </cfRule>
    <cfRule type="expression" dxfId="1415" priority="568">
      <formula>$E2=14</formula>
    </cfRule>
    <cfRule type="expression" dxfId="1414" priority="569">
      <formula>$E2=13</formula>
    </cfRule>
    <cfRule type="expression" dxfId="1413" priority="570">
      <formula>$E2=12</formula>
    </cfRule>
  </conditionalFormatting>
  <conditionalFormatting sqref="L342:L353">
    <cfRule type="expression" dxfId="1412" priority="520">
      <formula>$E342&lt;12</formula>
    </cfRule>
    <cfRule type="expression" dxfId="1411" priority="521">
      <formula>$E342=18</formula>
    </cfRule>
    <cfRule type="expression" dxfId="1410" priority="522">
      <formula>$E342=17</formula>
    </cfRule>
    <cfRule type="expression" dxfId="1409" priority="523">
      <formula>$E342=16</formula>
    </cfRule>
    <cfRule type="expression" dxfId="1408" priority="524">
      <formula>$E342=15</formula>
    </cfRule>
    <cfRule type="expression" dxfId="1407" priority="525">
      <formula>$E342=14</formula>
    </cfRule>
    <cfRule type="expression" dxfId="1406" priority="526">
      <formula>$E342=13</formula>
    </cfRule>
    <cfRule type="expression" dxfId="1405" priority="527">
      <formula>$E342=12</formula>
    </cfRule>
  </conditionalFormatting>
  <conditionalFormatting sqref="L342:L353">
    <cfRule type="expression" dxfId="1404" priority="511">
      <formula>$E342=10</formula>
    </cfRule>
    <cfRule type="expression" dxfId="1403" priority="512">
      <formula>$E342=11</formula>
    </cfRule>
    <cfRule type="expression" dxfId="1402" priority="513">
      <formula>$E342=18</formula>
    </cfRule>
    <cfRule type="expression" dxfId="1401" priority="514">
      <formula>$E342=17</formula>
    </cfRule>
    <cfRule type="expression" dxfId="1400" priority="515">
      <formula>$E342=16</formula>
    </cfRule>
    <cfRule type="expression" dxfId="1399" priority="516">
      <formula>$E342=15</formula>
    </cfRule>
    <cfRule type="expression" dxfId="1398" priority="517">
      <formula>$E342=14</formula>
    </cfRule>
    <cfRule type="expression" dxfId="1397" priority="518">
      <formula>$E342=13</formula>
    </cfRule>
    <cfRule type="expression" dxfId="1396" priority="519">
      <formula>$E342=12</formula>
    </cfRule>
  </conditionalFormatting>
  <conditionalFormatting sqref="K342:K353">
    <cfRule type="expression" dxfId="1395" priority="503">
      <formula>$E342&lt;12</formula>
    </cfRule>
    <cfRule type="expression" dxfId="1394" priority="504">
      <formula>$E342=18</formula>
    </cfRule>
    <cfRule type="expression" dxfId="1393" priority="505">
      <formula>$E342=17</formula>
    </cfRule>
    <cfRule type="expression" dxfId="1392" priority="506">
      <formula>$E342=16</formula>
    </cfRule>
    <cfRule type="expression" dxfId="1391" priority="507">
      <formula>$E342=15</formula>
    </cfRule>
    <cfRule type="expression" dxfId="1390" priority="508">
      <formula>$E342=14</formula>
    </cfRule>
    <cfRule type="expression" dxfId="1389" priority="509">
      <formula>$E342=13</formula>
    </cfRule>
    <cfRule type="expression" dxfId="1388" priority="510">
      <formula>$E342=12</formula>
    </cfRule>
  </conditionalFormatting>
  <conditionalFormatting sqref="K342:K353">
    <cfRule type="expression" dxfId="1387" priority="494">
      <formula>$E342=10</formula>
    </cfRule>
    <cfRule type="expression" dxfId="1386" priority="495">
      <formula>$E342=11</formula>
    </cfRule>
    <cfRule type="expression" dxfId="1385" priority="496">
      <formula>$E342=18</formula>
    </cfRule>
    <cfRule type="expression" dxfId="1384" priority="497">
      <formula>$E342=17</formula>
    </cfRule>
    <cfRule type="expression" dxfId="1383" priority="498">
      <formula>$E342=16</formula>
    </cfRule>
    <cfRule type="expression" dxfId="1382" priority="499">
      <formula>$E342=15</formula>
    </cfRule>
    <cfRule type="expression" dxfId="1381" priority="500">
      <formula>$E342=14</formula>
    </cfRule>
    <cfRule type="expression" dxfId="1380" priority="501">
      <formula>$E342=13</formula>
    </cfRule>
    <cfRule type="expression" dxfId="1379" priority="502">
      <formula>$E342=12</formula>
    </cfRule>
  </conditionalFormatting>
  <conditionalFormatting sqref="M342:N353">
    <cfRule type="expression" dxfId="1378" priority="537">
      <formula>$E342&lt;12</formula>
    </cfRule>
    <cfRule type="expression" dxfId="1377" priority="538">
      <formula>$E342=18</formula>
    </cfRule>
    <cfRule type="expression" dxfId="1376" priority="539">
      <formula>$E342=17</formula>
    </cfRule>
    <cfRule type="expression" dxfId="1375" priority="540">
      <formula>$E342=16</formula>
    </cfRule>
    <cfRule type="expression" dxfId="1374" priority="541">
      <formula>$E342=15</formula>
    </cfRule>
    <cfRule type="expression" dxfId="1373" priority="542">
      <formula>$E342=14</formula>
    </cfRule>
    <cfRule type="expression" dxfId="1372" priority="543">
      <formula>$E342=13</formula>
    </cfRule>
    <cfRule type="expression" dxfId="1371" priority="544">
      <formula>$E342=12</formula>
    </cfRule>
  </conditionalFormatting>
  <conditionalFormatting sqref="M342:N353">
    <cfRule type="expression" dxfId="1370" priority="528">
      <formula>$E342=10</formula>
    </cfRule>
    <cfRule type="expression" dxfId="1369" priority="529">
      <formula>$E342=11</formula>
    </cfRule>
    <cfRule type="expression" dxfId="1368" priority="530">
      <formula>$E342=18</formula>
    </cfRule>
    <cfRule type="expression" dxfId="1367" priority="531">
      <formula>$E342=17</formula>
    </cfRule>
    <cfRule type="expression" dxfId="1366" priority="532">
      <formula>$E342=16</formula>
    </cfRule>
    <cfRule type="expression" dxfId="1365" priority="533">
      <formula>$E342=15</formula>
    </cfRule>
    <cfRule type="expression" dxfId="1364" priority="534">
      <formula>$E342=14</formula>
    </cfRule>
    <cfRule type="expression" dxfId="1363" priority="535">
      <formula>$E342=13</formula>
    </cfRule>
    <cfRule type="expression" dxfId="1362" priority="536">
      <formula>$E342=12</formula>
    </cfRule>
  </conditionalFormatting>
  <conditionalFormatting sqref="A342:J353">
    <cfRule type="expression" dxfId="1361" priority="554">
      <formula>$E342&lt;12</formula>
    </cfRule>
    <cfRule type="expression" dxfId="1360" priority="555">
      <formula>$E342=18</formula>
    </cfRule>
    <cfRule type="expression" dxfId="1359" priority="556">
      <formula>$E342=17</formula>
    </cfRule>
    <cfRule type="expression" dxfId="1358" priority="557">
      <formula>$E342=16</formula>
    </cfRule>
    <cfRule type="expression" dxfId="1357" priority="558">
      <formula>$E342=15</formula>
    </cfRule>
    <cfRule type="expression" dxfId="1356" priority="559">
      <formula>$E342=14</formula>
    </cfRule>
    <cfRule type="expression" dxfId="1355" priority="560">
      <formula>$E342=13</formula>
    </cfRule>
    <cfRule type="expression" dxfId="1354" priority="561">
      <formula>$E342=12</formula>
    </cfRule>
  </conditionalFormatting>
  <conditionalFormatting sqref="A342:J353">
    <cfRule type="expression" dxfId="1353" priority="545">
      <formula>$E342=10</formula>
    </cfRule>
    <cfRule type="expression" dxfId="1352" priority="546">
      <formula>$E342=11</formula>
    </cfRule>
    <cfRule type="expression" dxfId="1351" priority="547">
      <formula>$E342=18</formula>
    </cfRule>
    <cfRule type="expression" dxfId="1350" priority="548">
      <formula>$E342=17</formula>
    </cfRule>
    <cfRule type="expression" dxfId="1349" priority="549">
      <formula>$E342=16</formula>
    </cfRule>
    <cfRule type="expression" dxfId="1348" priority="550">
      <formula>$E342=15</formula>
    </cfRule>
    <cfRule type="expression" dxfId="1347" priority="551">
      <formula>$E342=14</formula>
    </cfRule>
    <cfRule type="expression" dxfId="1346" priority="552">
      <formula>$E342=13</formula>
    </cfRule>
    <cfRule type="expression" dxfId="1345" priority="553">
      <formula>$E342=12</formula>
    </cfRule>
  </conditionalFormatting>
  <conditionalFormatting sqref="A354:J354">
    <cfRule type="expression" dxfId="1344" priority="469">
      <formula>$E354&lt;12</formula>
    </cfRule>
    <cfRule type="expression" dxfId="1343" priority="470">
      <formula>$E354=18</formula>
    </cfRule>
    <cfRule type="expression" dxfId="1342" priority="471">
      <formula>$E354=17</formula>
    </cfRule>
    <cfRule type="expression" dxfId="1341" priority="472">
      <formula>$E354=16</formula>
    </cfRule>
    <cfRule type="expression" dxfId="1340" priority="473">
      <formula>$E354=15</formula>
    </cfRule>
    <cfRule type="expression" dxfId="1339" priority="474">
      <formula>$E354=14</formula>
    </cfRule>
    <cfRule type="expression" dxfId="1338" priority="475">
      <formula>$E354=13</formula>
    </cfRule>
    <cfRule type="expression" dxfId="1337" priority="476">
      <formula>$E354=12</formula>
    </cfRule>
  </conditionalFormatting>
  <conditionalFormatting sqref="A354:J354">
    <cfRule type="expression" dxfId="1336" priority="460">
      <formula>$E354=10</formula>
    </cfRule>
    <cfRule type="expression" dxfId="1335" priority="461">
      <formula>$E354=11</formula>
    </cfRule>
    <cfRule type="expression" dxfId="1334" priority="462">
      <formula>$E354=18</formula>
    </cfRule>
    <cfRule type="expression" dxfId="1333" priority="463">
      <formula>$E354=17</formula>
    </cfRule>
    <cfRule type="expression" dxfId="1332" priority="464">
      <formula>$E354=16</formula>
    </cfRule>
    <cfRule type="expression" dxfId="1331" priority="465">
      <formula>$E354=15</formula>
    </cfRule>
    <cfRule type="expression" dxfId="1330" priority="466">
      <formula>$E354=14</formula>
    </cfRule>
    <cfRule type="expression" dxfId="1329" priority="467">
      <formula>$E354=13</formula>
    </cfRule>
    <cfRule type="expression" dxfId="1328" priority="468">
      <formula>$E354=12</formula>
    </cfRule>
  </conditionalFormatting>
  <conditionalFormatting sqref="M354:N354">
    <cfRule type="expression" dxfId="1327" priority="452">
      <formula>$E354&lt;12</formula>
    </cfRule>
    <cfRule type="expression" dxfId="1326" priority="453">
      <formula>$E354=18</formula>
    </cfRule>
    <cfRule type="expression" dxfId="1325" priority="454">
      <formula>$E354=17</formula>
    </cfRule>
    <cfRule type="expression" dxfId="1324" priority="455">
      <formula>$E354=16</formula>
    </cfRule>
    <cfRule type="expression" dxfId="1323" priority="456">
      <formula>$E354=15</formula>
    </cfRule>
    <cfRule type="expression" dxfId="1322" priority="457">
      <formula>$E354=14</formula>
    </cfRule>
    <cfRule type="expression" dxfId="1321" priority="458">
      <formula>$E354=13</formula>
    </cfRule>
    <cfRule type="expression" dxfId="1320" priority="459">
      <formula>$E354=12</formula>
    </cfRule>
  </conditionalFormatting>
  <conditionalFormatting sqref="M354:N354">
    <cfRule type="expression" dxfId="1319" priority="443">
      <formula>$E354=10</formula>
    </cfRule>
    <cfRule type="expression" dxfId="1318" priority="444">
      <formula>$E354=11</formula>
    </cfRule>
    <cfRule type="expression" dxfId="1317" priority="445">
      <formula>$E354=18</formula>
    </cfRule>
    <cfRule type="expression" dxfId="1316" priority="446">
      <formula>$E354=17</formula>
    </cfRule>
    <cfRule type="expression" dxfId="1315" priority="447">
      <formula>$E354=16</formula>
    </cfRule>
    <cfRule type="expression" dxfId="1314" priority="448">
      <formula>$E354=15</formula>
    </cfRule>
    <cfRule type="expression" dxfId="1313" priority="449">
      <formula>$E354=14</formula>
    </cfRule>
    <cfRule type="expression" dxfId="1312" priority="450">
      <formula>$E354=13</formula>
    </cfRule>
    <cfRule type="expression" dxfId="1311" priority="451">
      <formula>$E354=12</formula>
    </cfRule>
  </conditionalFormatting>
  <conditionalFormatting sqref="L354">
    <cfRule type="expression" dxfId="1310" priority="435">
      <formula>$E354&lt;12</formula>
    </cfRule>
    <cfRule type="expression" dxfId="1309" priority="436">
      <formula>$E354=18</formula>
    </cfRule>
    <cfRule type="expression" dxfId="1308" priority="437">
      <formula>$E354=17</formula>
    </cfRule>
    <cfRule type="expression" dxfId="1307" priority="438">
      <formula>$E354=16</formula>
    </cfRule>
    <cfRule type="expression" dxfId="1306" priority="439">
      <formula>$E354=15</formula>
    </cfRule>
    <cfRule type="expression" dxfId="1305" priority="440">
      <formula>$E354=14</formula>
    </cfRule>
    <cfRule type="expression" dxfId="1304" priority="441">
      <formula>$E354=13</formula>
    </cfRule>
    <cfRule type="expression" dxfId="1303" priority="442">
      <formula>$E354=12</formula>
    </cfRule>
  </conditionalFormatting>
  <conditionalFormatting sqref="L354">
    <cfRule type="expression" dxfId="1302" priority="426">
      <formula>$E354=10</formula>
    </cfRule>
    <cfRule type="expression" dxfId="1301" priority="427">
      <formula>$E354=11</formula>
    </cfRule>
    <cfRule type="expression" dxfId="1300" priority="428">
      <formula>$E354=18</formula>
    </cfRule>
    <cfRule type="expression" dxfId="1299" priority="429">
      <formula>$E354=17</formula>
    </cfRule>
    <cfRule type="expression" dxfId="1298" priority="430">
      <formula>$E354=16</formula>
    </cfRule>
    <cfRule type="expression" dxfId="1297" priority="431">
      <formula>$E354=15</formula>
    </cfRule>
    <cfRule type="expression" dxfId="1296" priority="432">
      <formula>$E354=14</formula>
    </cfRule>
    <cfRule type="expression" dxfId="1295" priority="433">
      <formula>$E354=13</formula>
    </cfRule>
    <cfRule type="expression" dxfId="1294" priority="434">
      <formula>$E354=12</formula>
    </cfRule>
  </conditionalFormatting>
  <conditionalFormatting sqref="L147">
    <cfRule type="expression" dxfId="1293" priority="486">
      <formula>$E147&lt;12</formula>
    </cfRule>
    <cfRule type="expression" dxfId="1292" priority="487">
      <formula>$E147=18</formula>
    </cfRule>
    <cfRule type="expression" dxfId="1291" priority="488">
      <formula>$E147=17</formula>
    </cfRule>
    <cfRule type="expression" dxfId="1290" priority="489">
      <formula>$E147=16</formula>
    </cfRule>
    <cfRule type="expression" dxfId="1289" priority="490">
      <formula>$E147=15</formula>
    </cfRule>
    <cfRule type="expression" dxfId="1288" priority="491">
      <formula>$E147=14</formula>
    </cfRule>
    <cfRule type="expression" dxfId="1287" priority="492">
      <formula>$E147=13</formula>
    </cfRule>
    <cfRule type="expression" dxfId="1286" priority="493">
      <formula>$E147=12</formula>
    </cfRule>
  </conditionalFormatting>
  <conditionalFormatting sqref="L147">
    <cfRule type="expression" dxfId="1285" priority="477">
      <formula>$E147=10</formula>
    </cfRule>
    <cfRule type="expression" dxfId="1284" priority="478">
      <formula>$E147=11</formula>
    </cfRule>
    <cfRule type="expression" dxfId="1283" priority="479">
      <formula>$E147=18</formula>
    </cfRule>
    <cfRule type="expression" dxfId="1282" priority="480">
      <formula>$E147=17</formula>
    </cfRule>
    <cfRule type="expression" dxfId="1281" priority="481">
      <formula>$E147=16</formula>
    </cfRule>
    <cfRule type="expression" dxfId="1280" priority="482">
      <formula>$E147=15</formula>
    </cfRule>
    <cfRule type="expression" dxfId="1279" priority="483">
      <formula>$E147=14</formula>
    </cfRule>
    <cfRule type="expression" dxfId="1278" priority="484">
      <formula>$E147=13</formula>
    </cfRule>
    <cfRule type="expression" dxfId="1277" priority="485">
      <formula>$E147=12</formula>
    </cfRule>
  </conditionalFormatting>
  <conditionalFormatting sqref="K354">
    <cfRule type="expression" dxfId="1276" priority="418">
      <formula>$E354&lt;12</formula>
    </cfRule>
    <cfRule type="expression" dxfId="1275" priority="419">
      <formula>$E354=18</formula>
    </cfRule>
    <cfRule type="expression" dxfId="1274" priority="420">
      <formula>$E354=17</formula>
    </cfRule>
    <cfRule type="expression" dxfId="1273" priority="421">
      <formula>$E354=16</formula>
    </cfRule>
    <cfRule type="expression" dxfId="1272" priority="422">
      <formula>$E354=15</formula>
    </cfRule>
    <cfRule type="expression" dxfId="1271" priority="423">
      <formula>$E354=14</formula>
    </cfRule>
    <cfRule type="expression" dxfId="1270" priority="424">
      <formula>$E354=13</formula>
    </cfRule>
    <cfRule type="expression" dxfId="1269" priority="425">
      <formula>$E354=12</formula>
    </cfRule>
  </conditionalFormatting>
  <conditionalFormatting sqref="K354">
    <cfRule type="expression" dxfId="1268" priority="409">
      <formula>$E354=10</formula>
    </cfRule>
    <cfRule type="expression" dxfId="1267" priority="410">
      <formula>$E354=11</formula>
    </cfRule>
    <cfRule type="expression" dxfId="1266" priority="411">
      <formula>$E354=18</formula>
    </cfRule>
    <cfRule type="expression" dxfId="1265" priority="412">
      <formula>$E354=17</formula>
    </cfRule>
    <cfRule type="expression" dxfId="1264" priority="413">
      <formula>$E354=16</formula>
    </cfRule>
    <cfRule type="expression" dxfId="1263" priority="414">
      <formula>$E354=15</formula>
    </cfRule>
    <cfRule type="expression" dxfId="1262" priority="415">
      <formula>$E354=14</formula>
    </cfRule>
    <cfRule type="expression" dxfId="1261" priority="416">
      <formula>$E354=13</formula>
    </cfRule>
    <cfRule type="expression" dxfId="1260" priority="417">
      <formula>$E354=12</formula>
    </cfRule>
  </conditionalFormatting>
  <conditionalFormatting sqref="A356:J358">
    <cfRule type="expression" dxfId="1259" priority="401">
      <formula>$E356&lt;12</formula>
    </cfRule>
    <cfRule type="expression" dxfId="1258" priority="402">
      <formula>$E356=18</formula>
    </cfRule>
    <cfRule type="expression" dxfId="1257" priority="403">
      <formula>$E356=17</formula>
    </cfRule>
    <cfRule type="expression" dxfId="1256" priority="404">
      <formula>$E356=16</formula>
    </cfRule>
    <cfRule type="expression" dxfId="1255" priority="405">
      <formula>$E356=15</formula>
    </cfRule>
    <cfRule type="expression" dxfId="1254" priority="406">
      <formula>$E356=14</formula>
    </cfRule>
    <cfRule type="expression" dxfId="1253" priority="407">
      <formula>$E356=13</formula>
    </cfRule>
    <cfRule type="expression" dxfId="1252" priority="408">
      <formula>$E356=12</formula>
    </cfRule>
  </conditionalFormatting>
  <conditionalFormatting sqref="A356:J358">
    <cfRule type="expression" dxfId="1251" priority="392">
      <formula>$E356=10</formula>
    </cfRule>
    <cfRule type="expression" dxfId="1250" priority="393">
      <formula>$E356=11</formula>
    </cfRule>
    <cfRule type="expression" dxfId="1249" priority="394">
      <formula>$E356=18</formula>
    </cfRule>
    <cfRule type="expression" dxfId="1248" priority="395">
      <formula>$E356=17</formula>
    </cfRule>
    <cfRule type="expression" dxfId="1247" priority="396">
      <formula>$E356=16</formula>
    </cfRule>
    <cfRule type="expression" dxfId="1246" priority="397">
      <formula>$E356=15</formula>
    </cfRule>
    <cfRule type="expression" dxfId="1245" priority="398">
      <formula>$E356=14</formula>
    </cfRule>
    <cfRule type="expression" dxfId="1244" priority="399">
      <formula>$E356=13</formula>
    </cfRule>
    <cfRule type="expression" dxfId="1243" priority="400">
      <formula>$E356=12</formula>
    </cfRule>
  </conditionalFormatting>
  <conditionalFormatting sqref="M356:N358">
    <cfRule type="expression" dxfId="1242" priority="384">
      <formula>$E356&lt;12</formula>
    </cfRule>
    <cfRule type="expression" dxfId="1241" priority="385">
      <formula>$E356=18</formula>
    </cfRule>
    <cfRule type="expression" dxfId="1240" priority="386">
      <formula>$E356=17</formula>
    </cfRule>
    <cfRule type="expression" dxfId="1239" priority="387">
      <formula>$E356=16</formula>
    </cfRule>
    <cfRule type="expression" dxfId="1238" priority="388">
      <formula>$E356=15</formula>
    </cfRule>
    <cfRule type="expression" dxfId="1237" priority="389">
      <formula>$E356=14</formula>
    </cfRule>
    <cfRule type="expression" dxfId="1236" priority="390">
      <formula>$E356=13</formula>
    </cfRule>
    <cfRule type="expression" dxfId="1235" priority="391">
      <formula>$E356=12</formula>
    </cfRule>
  </conditionalFormatting>
  <conditionalFormatting sqref="M356:N358">
    <cfRule type="expression" dxfId="1234" priority="375">
      <formula>$E356=10</formula>
    </cfRule>
    <cfRule type="expression" dxfId="1233" priority="376">
      <formula>$E356=11</formula>
    </cfRule>
    <cfRule type="expression" dxfId="1232" priority="377">
      <formula>$E356=18</formula>
    </cfRule>
    <cfRule type="expression" dxfId="1231" priority="378">
      <formula>$E356=17</formula>
    </cfRule>
    <cfRule type="expression" dxfId="1230" priority="379">
      <formula>$E356=16</formula>
    </cfRule>
    <cfRule type="expression" dxfId="1229" priority="380">
      <formula>$E356=15</formula>
    </cfRule>
    <cfRule type="expression" dxfId="1228" priority="381">
      <formula>$E356=14</formula>
    </cfRule>
    <cfRule type="expression" dxfId="1227" priority="382">
      <formula>$E356=13</formula>
    </cfRule>
    <cfRule type="expression" dxfId="1226" priority="383">
      <formula>$E356=12</formula>
    </cfRule>
  </conditionalFormatting>
  <conditionalFormatting sqref="L356:L358">
    <cfRule type="expression" dxfId="1225" priority="367">
      <formula>$E356&lt;12</formula>
    </cfRule>
    <cfRule type="expression" dxfId="1224" priority="368">
      <formula>$E356=18</formula>
    </cfRule>
    <cfRule type="expression" dxfId="1223" priority="369">
      <formula>$E356=17</formula>
    </cfRule>
    <cfRule type="expression" dxfId="1222" priority="370">
      <formula>$E356=16</formula>
    </cfRule>
    <cfRule type="expression" dxfId="1221" priority="371">
      <formula>$E356=15</formula>
    </cfRule>
    <cfRule type="expression" dxfId="1220" priority="372">
      <formula>$E356=14</formula>
    </cfRule>
    <cfRule type="expression" dxfId="1219" priority="373">
      <formula>$E356=13</formula>
    </cfRule>
    <cfRule type="expression" dxfId="1218" priority="374">
      <formula>$E356=12</formula>
    </cfRule>
  </conditionalFormatting>
  <conditionalFormatting sqref="L356:L358">
    <cfRule type="expression" dxfId="1217" priority="358">
      <formula>$E356=10</formula>
    </cfRule>
    <cfRule type="expression" dxfId="1216" priority="359">
      <formula>$E356=11</formula>
    </cfRule>
    <cfRule type="expression" dxfId="1215" priority="360">
      <formula>$E356=18</formula>
    </cfRule>
    <cfRule type="expression" dxfId="1214" priority="361">
      <formula>$E356=17</formula>
    </cfRule>
    <cfRule type="expression" dxfId="1213" priority="362">
      <formula>$E356=16</formula>
    </cfRule>
    <cfRule type="expression" dxfId="1212" priority="363">
      <formula>$E356=15</formula>
    </cfRule>
    <cfRule type="expression" dxfId="1211" priority="364">
      <formula>$E356=14</formula>
    </cfRule>
    <cfRule type="expression" dxfId="1210" priority="365">
      <formula>$E356=13</formula>
    </cfRule>
    <cfRule type="expression" dxfId="1209" priority="366">
      <formula>$E356=12</formula>
    </cfRule>
  </conditionalFormatting>
  <conditionalFormatting sqref="K356:K358">
    <cfRule type="expression" dxfId="1208" priority="350">
      <formula>$E356&lt;12</formula>
    </cfRule>
    <cfRule type="expression" dxfId="1207" priority="351">
      <formula>$E356=18</formula>
    </cfRule>
    <cfRule type="expression" dxfId="1206" priority="352">
      <formula>$E356=17</formula>
    </cfRule>
    <cfRule type="expression" dxfId="1205" priority="353">
      <formula>$E356=16</formula>
    </cfRule>
    <cfRule type="expression" dxfId="1204" priority="354">
      <formula>$E356=15</formula>
    </cfRule>
    <cfRule type="expression" dxfId="1203" priority="355">
      <formula>$E356=14</formula>
    </cfRule>
    <cfRule type="expression" dxfId="1202" priority="356">
      <formula>$E356=13</formula>
    </cfRule>
    <cfRule type="expression" dxfId="1201" priority="357">
      <formula>$E356=12</formula>
    </cfRule>
  </conditionalFormatting>
  <conditionalFormatting sqref="K356:K358">
    <cfRule type="expression" dxfId="1200" priority="341">
      <formula>$E356=10</formula>
    </cfRule>
    <cfRule type="expression" dxfId="1199" priority="342">
      <formula>$E356=11</formula>
    </cfRule>
    <cfRule type="expression" dxfId="1198" priority="343">
      <formula>$E356=18</formula>
    </cfRule>
    <cfRule type="expression" dxfId="1197" priority="344">
      <formula>$E356=17</formula>
    </cfRule>
    <cfRule type="expression" dxfId="1196" priority="345">
      <formula>$E356=16</formula>
    </cfRule>
    <cfRule type="expression" dxfId="1195" priority="346">
      <formula>$E356=15</formula>
    </cfRule>
    <cfRule type="expression" dxfId="1194" priority="347">
      <formula>$E356=14</formula>
    </cfRule>
    <cfRule type="expression" dxfId="1193" priority="348">
      <formula>$E356=13</formula>
    </cfRule>
    <cfRule type="expression" dxfId="1192" priority="349">
      <formula>$E356=12</formula>
    </cfRule>
  </conditionalFormatting>
  <conditionalFormatting sqref="G1:I1">
    <cfRule type="containsText" dxfId="1191" priority="851" operator="containsText" text="CSRA">
      <formula>NOT(ISERROR(SEARCH("CSRA",G1)))</formula>
    </cfRule>
  </conditionalFormatting>
  <conditionalFormatting sqref="A360:B363 G360:J363">
    <cfRule type="expression" dxfId="1190" priority="333">
      <formula>$E360&lt;12</formula>
    </cfRule>
    <cfRule type="expression" dxfId="1189" priority="334">
      <formula>$E360=18</formula>
    </cfRule>
    <cfRule type="expression" dxfId="1188" priority="335">
      <formula>$E360=17</formula>
    </cfRule>
    <cfRule type="expression" dxfId="1187" priority="336">
      <formula>$E360=16</formula>
    </cfRule>
    <cfRule type="expression" dxfId="1186" priority="337">
      <formula>$E360=15</formula>
    </cfRule>
    <cfRule type="expression" dxfId="1185" priority="338">
      <formula>$E360=14</formula>
    </cfRule>
    <cfRule type="expression" dxfId="1184" priority="339">
      <formula>$E360=13</formula>
    </cfRule>
    <cfRule type="expression" dxfId="1183" priority="340">
      <formula>$E360=12</formula>
    </cfRule>
  </conditionalFormatting>
  <conditionalFormatting sqref="A360:B363 G360:J363">
    <cfRule type="expression" dxfId="1182" priority="324">
      <formula>$E360=10</formula>
    </cfRule>
    <cfRule type="expression" dxfId="1181" priority="325">
      <formula>$E360=11</formula>
    </cfRule>
    <cfRule type="expression" dxfId="1180" priority="326">
      <formula>$E360=18</formula>
    </cfRule>
    <cfRule type="expression" dxfId="1179" priority="327">
      <formula>$E360=17</formula>
    </cfRule>
    <cfRule type="expression" dxfId="1178" priority="328">
      <formula>$E360=16</formula>
    </cfRule>
    <cfRule type="expression" dxfId="1177" priority="329">
      <formula>$E360=15</formula>
    </cfRule>
    <cfRule type="expression" dxfId="1176" priority="330">
      <formula>$E360=14</formula>
    </cfRule>
    <cfRule type="expression" dxfId="1175" priority="331">
      <formula>$E360=13</formula>
    </cfRule>
    <cfRule type="expression" dxfId="1174" priority="332">
      <formula>$E360=12</formula>
    </cfRule>
  </conditionalFormatting>
  <conditionalFormatting sqref="M360:N363">
    <cfRule type="expression" dxfId="1173" priority="316">
      <formula>$E360&lt;12</formula>
    </cfRule>
    <cfRule type="expression" dxfId="1172" priority="317">
      <formula>$E360=18</formula>
    </cfRule>
    <cfRule type="expression" dxfId="1171" priority="318">
      <formula>$E360=17</formula>
    </cfRule>
    <cfRule type="expression" dxfId="1170" priority="319">
      <formula>$E360=16</formula>
    </cfRule>
    <cfRule type="expression" dxfId="1169" priority="320">
      <formula>$E360=15</formula>
    </cfRule>
    <cfRule type="expression" dxfId="1168" priority="321">
      <formula>$E360=14</formula>
    </cfRule>
    <cfRule type="expression" dxfId="1167" priority="322">
      <formula>$E360=13</formula>
    </cfRule>
    <cfRule type="expression" dxfId="1166" priority="323">
      <formula>$E360=12</formula>
    </cfRule>
  </conditionalFormatting>
  <conditionalFormatting sqref="M360:N363">
    <cfRule type="expression" dxfId="1165" priority="307">
      <formula>$E360=10</formula>
    </cfRule>
    <cfRule type="expression" dxfId="1164" priority="308">
      <formula>$E360=11</formula>
    </cfRule>
    <cfRule type="expression" dxfId="1163" priority="309">
      <formula>$E360=18</formula>
    </cfRule>
    <cfRule type="expression" dxfId="1162" priority="310">
      <formula>$E360=17</formula>
    </cfRule>
    <cfRule type="expression" dxfId="1161" priority="311">
      <formula>$E360=16</formula>
    </cfRule>
    <cfRule type="expression" dxfId="1160" priority="312">
      <formula>$E360=15</formula>
    </cfRule>
    <cfRule type="expression" dxfId="1159" priority="313">
      <formula>$E360=14</formula>
    </cfRule>
    <cfRule type="expression" dxfId="1158" priority="314">
      <formula>$E360=13</formula>
    </cfRule>
    <cfRule type="expression" dxfId="1157" priority="315">
      <formula>$E360=12</formula>
    </cfRule>
  </conditionalFormatting>
  <conditionalFormatting sqref="L360:L363">
    <cfRule type="expression" dxfId="1156" priority="299">
      <formula>$E360&lt;12</formula>
    </cfRule>
    <cfRule type="expression" dxfId="1155" priority="300">
      <formula>$E360=18</formula>
    </cfRule>
    <cfRule type="expression" dxfId="1154" priority="301">
      <formula>$E360=17</formula>
    </cfRule>
    <cfRule type="expression" dxfId="1153" priority="302">
      <formula>$E360=16</formula>
    </cfRule>
    <cfRule type="expression" dxfId="1152" priority="303">
      <formula>$E360=15</formula>
    </cfRule>
    <cfRule type="expression" dxfId="1151" priority="304">
      <formula>$E360=14</formula>
    </cfRule>
    <cfRule type="expression" dxfId="1150" priority="305">
      <formula>$E360=13</formula>
    </cfRule>
    <cfRule type="expression" dxfId="1149" priority="306">
      <formula>$E360=12</formula>
    </cfRule>
  </conditionalFormatting>
  <conditionalFormatting sqref="L360:L363">
    <cfRule type="expression" dxfId="1148" priority="290">
      <formula>$E360=10</formula>
    </cfRule>
    <cfRule type="expression" dxfId="1147" priority="291">
      <formula>$E360=11</formula>
    </cfRule>
    <cfRule type="expression" dxfId="1146" priority="292">
      <formula>$E360=18</formula>
    </cfRule>
    <cfRule type="expression" dxfId="1145" priority="293">
      <formula>$E360=17</formula>
    </cfRule>
    <cfRule type="expression" dxfId="1144" priority="294">
      <formula>$E360=16</formula>
    </cfRule>
    <cfRule type="expression" dxfId="1143" priority="295">
      <formula>$E360=15</formula>
    </cfRule>
    <cfRule type="expression" dxfId="1142" priority="296">
      <formula>$E360=14</formula>
    </cfRule>
    <cfRule type="expression" dxfId="1141" priority="297">
      <formula>$E360=13</formula>
    </cfRule>
    <cfRule type="expression" dxfId="1140" priority="298">
      <formula>$E360=12</formula>
    </cfRule>
  </conditionalFormatting>
  <conditionalFormatting sqref="K360:K363">
    <cfRule type="expression" dxfId="1139" priority="282">
      <formula>$E360&lt;12</formula>
    </cfRule>
    <cfRule type="expression" dxfId="1138" priority="283">
      <formula>$E360=18</formula>
    </cfRule>
    <cfRule type="expression" dxfId="1137" priority="284">
      <formula>$E360=17</formula>
    </cfRule>
    <cfRule type="expression" dxfId="1136" priority="285">
      <formula>$E360=16</formula>
    </cfRule>
    <cfRule type="expression" dxfId="1135" priority="286">
      <formula>$E360=15</formula>
    </cfRule>
    <cfRule type="expression" dxfId="1134" priority="287">
      <formula>$E360=14</formula>
    </cfRule>
    <cfRule type="expression" dxfId="1133" priority="288">
      <formula>$E360=13</formula>
    </cfRule>
    <cfRule type="expression" dxfId="1132" priority="289">
      <formula>$E360=12</formula>
    </cfRule>
  </conditionalFormatting>
  <conditionalFormatting sqref="K360:K363">
    <cfRule type="expression" dxfId="1131" priority="273">
      <formula>$E360=10</formula>
    </cfRule>
    <cfRule type="expression" dxfId="1130" priority="274">
      <formula>$E360=11</formula>
    </cfRule>
    <cfRule type="expression" dxfId="1129" priority="275">
      <formula>$E360=18</formula>
    </cfRule>
    <cfRule type="expression" dxfId="1128" priority="276">
      <formula>$E360=17</formula>
    </cfRule>
    <cfRule type="expression" dxfId="1127" priority="277">
      <formula>$E360=16</formula>
    </cfRule>
    <cfRule type="expression" dxfId="1126" priority="278">
      <formula>$E360=15</formula>
    </cfRule>
    <cfRule type="expression" dxfId="1125" priority="279">
      <formula>$E360=14</formula>
    </cfRule>
    <cfRule type="expression" dxfId="1124" priority="280">
      <formula>$E360=13</formula>
    </cfRule>
    <cfRule type="expression" dxfId="1123" priority="281">
      <formula>$E360=12</formula>
    </cfRule>
  </conditionalFormatting>
  <conditionalFormatting sqref="C360:F363">
    <cfRule type="expression" dxfId="1122" priority="265">
      <formula>$E360&lt;12</formula>
    </cfRule>
    <cfRule type="expression" dxfId="1121" priority="266">
      <formula>$E360=18</formula>
    </cfRule>
    <cfRule type="expression" dxfId="1120" priority="267">
      <formula>$E360=17</formula>
    </cfRule>
    <cfRule type="expression" dxfId="1119" priority="268">
      <formula>$E360=16</formula>
    </cfRule>
    <cfRule type="expression" dxfId="1118" priority="269">
      <formula>$E360=15</formula>
    </cfRule>
    <cfRule type="expression" dxfId="1117" priority="270">
      <formula>$E360=14</formula>
    </cfRule>
    <cfRule type="expression" dxfId="1116" priority="271">
      <formula>$E360=13</formula>
    </cfRule>
    <cfRule type="expression" dxfId="1115" priority="272">
      <formula>$E360=12</formula>
    </cfRule>
  </conditionalFormatting>
  <conditionalFormatting sqref="C360:F363">
    <cfRule type="expression" dxfId="1114" priority="256">
      <formula>$E360=10</formula>
    </cfRule>
    <cfRule type="expression" dxfId="1113" priority="257">
      <formula>$E360=11</formula>
    </cfRule>
    <cfRule type="expression" dxfId="1112" priority="258">
      <formula>$E360=18</formula>
    </cfRule>
    <cfRule type="expression" dxfId="1111" priority="259">
      <formula>$E360=17</formula>
    </cfRule>
    <cfRule type="expression" dxfId="1110" priority="260">
      <formula>$E360=16</formula>
    </cfRule>
    <cfRule type="expression" dxfId="1109" priority="261">
      <formula>$E360=15</formula>
    </cfRule>
    <cfRule type="expression" dxfId="1108" priority="262">
      <formula>$E360=14</formula>
    </cfRule>
    <cfRule type="expression" dxfId="1107" priority="263">
      <formula>$E360=13</formula>
    </cfRule>
    <cfRule type="expression" dxfId="1106" priority="264">
      <formula>$E360=12</formula>
    </cfRule>
  </conditionalFormatting>
  <conditionalFormatting sqref="A364:B383 G364:J383">
    <cfRule type="expression" dxfId="1105" priority="248">
      <formula>$E364&lt;12</formula>
    </cfRule>
    <cfRule type="expression" dxfId="1104" priority="249">
      <formula>$E364=18</formula>
    </cfRule>
    <cfRule type="expression" dxfId="1103" priority="250">
      <formula>$E364=17</formula>
    </cfRule>
    <cfRule type="expression" dxfId="1102" priority="251">
      <formula>$E364=16</formula>
    </cfRule>
    <cfRule type="expression" dxfId="1101" priority="252">
      <formula>$E364=15</formula>
    </cfRule>
    <cfRule type="expression" dxfId="1100" priority="253">
      <formula>$E364=14</formula>
    </cfRule>
    <cfRule type="expression" dxfId="1099" priority="254">
      <formula>$E364=13</formula>
    </cfRule>
    <cfRule type="expression" dxfId="1098" priority="255">
      <formula>$E364=12</formula>
    </cfRule>
  </conditionalFormatting>
  <conditionalFormatting sqref="A364:B383 G364:J383">
    <cfRule type="expression" dxfId="1097" priority="239">
      <formula>$E364=10</formula>
    </cfRule>
    <cfRule type="expression" dxfId="1096" priority="240">
      <formula>$E364=11</formula>
    </cfRule>
    <cfRule type="expression" dxfId="1095" priority="241">
      <formula>$E364=18</formula>
    </cfRule>
    <cfRule type="expression" dxfId="1094" priority="242">
      <formula>$E364=17</formula>
    </cfRule>
    <cfRule type="expression" dxfId="1093" priority="243">
      <formula>$E364=16</formula>
    </cfRule>
    <cfRule type="expression" dxfId="1092" priority="244">
      <formula>$E364=15</formula>
    </cfRule>
    <cfRule type="expression" dxfId="1091" priority="245">
      <formula>$E364=14</formula>
    </cfRule>
    <cfRule type="expression" dxfId="1090" priority="246">
      <formula>$E364=13</formula>
    </cfRule>
    <cfRule type="expression" dxfId="1089" priority="247">
      <formula>$E364=12</formula>
    </cfRule>
  </conditionalFormatting>
  <conditionalFormatting sqref="M364:N383">
    <cfRule type="expression" dxfId="1088" priority="231">
      <formula>$E364&lt;12</formula>
    </cfRule>
    <cfRule type="expression" dxfId="1087" priority="232">
      <formula>$E364=18</formula>
    </cfRule>
    <cfRule type="expression" dxfId="1086" priority="233">
      <formula>$E364=17</formula>
    </cfRule>
    <cfRule type="expression" dxfId="1085" priority="234">
      <formula>$E364=16</formula>
    </cfRule>
    <cfRule type="expression" dxfId="1084" priority="235">
      <formula>$E364=15</formula>
    </cfRule>
    <cfRule type="expression" dxfId="1083" priority="236">
      <formula>$E364=14</formula>
    </cfRule>
    <cfRule type="expression" dxfId="1082" priority="237">
      <formula>$E364=13</formula>
    </cfRule>
    <cfRule type="expression" dxfId="1081" priority="238">
      <formula>$E364=12</formula>
    </cfRule>
  </conditionalFormatting>
  <conditionalFormatting sqref="M364:N383">
    <cfRule type="expression" dxfId="1080" priority="222">
      <formula>$E364=10</formula>
    </cfRule>
    <cfRule type="expression" dxfId="1079" priority="223">
      <formula>$E364=11</formula>
    </cfRule>
    <cfRule type="expression" dxfId="1078" priority="224">
      <formula>$E364=18</formula>
    </cfRule>
    <cfRule type="expression" dxfId="1077" priority="225">
      <formula>$E364=17</formula>
    </cfRule>
    <cfRule type="expression" dxfId="1076" priority="226">
      <formula>$E364=16</formula>
    </cfRule>
    <cfRule type="expression" dxfId="1075" priority="227">
      <formula>$E364=15</formula>
    </cfRule>
    <cfRule type="expression" dxfId="1074" priority="228">
      <formula>$E364=14</formula>
    </cfRule>
    <cfRule type="expression" dxfId="1073" priority="229">
      <formula>$E364=13</formula>
    </cfRule>
    <cfRule type="expression" dxfId="1072" priority="230">
      <formula>$E364=12</formula>
    </cfRule>
  </conditionalFormatting>
  <conditionalFormatting sqref="L364:L383">
    <cfRule type="expression" dxfId="1071" priority="214">
      <formula>$E364&lt;12</formula>
    </cfRule>
    <cfRule type="expression" dxfId="1070" priority="215">
      <formula>$E364=18</formula>
    </cfRule>
    <cfRule type="expression" dxfId="1069" priority="216">
      <formula>$E364=17</formula>
    </cfRule>
    <cfRule type="expression" dxfId="1068" priority="217">
      <formula>$E364=16</formula>
    </cfRule>
    <cfRule type="expression" dxfId="1067" priority="218">
      <formula>$E364=15</formula>
    </cfRule>
    <cfRule type="expression" dxfId="1066" priority="219">
      <formula>$E364=14</formula>
    </cfRule>
    <cfRule type="expression" dxfId="1065" priority="220">
      <formula>$E364=13</formula>
    </cfRule>
    <cfRule type="expression" dxfId="1064" priority="221">
      <formula>$E364=12</formula>
    </cfRule>
  </conditionalFormatting>
  <conditionalFormatting sqref="L364:L383">
    <cfRule type="expression" dxfId="1063" priority="205">
      <formula>$E364=10</formula>
    </cfRule>
    <cfRule type="expression" dxfId="1062" priority="206">
      <formula>$E364=11</formula>
    </cfRule>
    <cfRule type="expression" dxfId="1061" priority="207">
      <formula>$E364=18</formula>
    </cfRule>
    <cfRule type="expression" dxfId="1060" priority="208">
      <formula>$E364=17</formula>
    </cfRule>
    <cfRule type="expression" dxfId="1059" priority="209">
      <formula>$E364=16</formula>
    </cfRule>
    <cfRule type="expression" dxfId="1058" priority="210">
      <formula>$E364=15</formula>
    </cfRule>
    <cfRule type="expression" dxfId="1057" priority="211">
      <formula>$E364=14</formula>
    </cfRule>
    <cfRule type="expression" dxfId="1056" priority="212">
      <formula>$E364=13</formula>
    </cfRule>
    <cfRule type="expression" dxfId="1055" priority="213">
      <formula>$E364=12</formula>
    </cfRule>
  </conditionalFormatting>
  <conditionalFormatting sqref="K364:K383">
    <cfRule type="expression" dxfId="1054" priority="197">
      <formula>$E364&lt;12</formula>
    </cfRule>
    <cfRule type="expression" dxfId="1053" priority="198">
      <formula>$E364=18</formula>
    </cfRule>
    <cfRule type="expression" dxfId="1052" priority="199">
      <formula>$E364=17</formula>
    </cfRule>
    <cfRule type="expression" dxfId="1051" priority="200">
      <formula>$E364=16</formula>
    </cfRule>
    <cfRule type="expression" dxfId="1050" priority="201">
      <formula>$E364=15</formula>
    </cfRule>
    <cfRule type="expression" dxfId="1049" priority="202">
      <formula>$E364=14</formula>
    </cfRule>
    <cfRule type="expression" dxfId="1048" priority="203">
      <formula>$E364=13</formula>
    </cfRule>
    <cfRule type="expression" dxfId="1047" priority="204">
      <formula>$E364=12</formula>
    </cfRule>
  </conditionalFormatting>
  <conditionalFormatting sqref="K364:K383">
    <cfRule type="expression" dxfId="1046" priority="188">
      <formula>$E364=10</formula>
    </cfRule>
    <cfRule type="expression" dxfId="1045" priority="189">
      <formula>$E364=11</formula>
    </cfRule>
    <cfRule type="expression" dxfId="1044" priority="190">
      <formula>$E364=18</formula>
    </cfRule>
    <cfRule type="expression" dxfId="1043" priority="191">
      <formula>$E364=17</formula>
    </cfRule>
    <cfRule type="expression" dxfId="1042" priority="192">
      <formula>$E364=16</formula>
    </cfRule>
    <cfRule type="expression" dxfId="1041" priority="193">
      <formula>$E364=15</formula>
    </cfRule>
    <cfRule type="expression" dxfId="1040" priority="194">
      <formula>$E364=14</formula>
    </cfRule>
    <cfRule type="expression" dxfId="1039" priority="195">
      <formula>$E364=13</formula>
    </cfRule>
    <cfRule type="expression" dxfId="1038" priority="196">
      <formula>$E364=12</formula>
    </cfRule>
  </conditionalFormatting>
  <conditionalFormatting sqref="C364:F383">
    <cfRule type="expression" dxfId="1037" priority="171">
      <formula>$E364=10</formula>
    </cfRule>
    <cfRule type="expression" dxfId="1036" priority="172">
      <formula>$E364=11</formula>
    </cfRule>
    <cfRule type="expression" dxfId="1035" priority="173">
      <formula>$E364=18</formula>
    </cfRule>
    <cfRule type="expression" dxfId="1034" priority="174">
      <formula>$E364=17</formula>
    </cfRule>
    <cfRule type="expression" dxfId="1033" priority="175">
      <formula>$E364=16</formula>
    </cfRule>
    <cfRule type="expression" dxfId="1032" priority="176">
      <formula>$E364=15</formula>
    </cfRule>
    <cfRule type="expression" dxfId="1031" priority="177">
      <formula>$E364=14</formula>
    </cfRule>
    <cfRule type="expression" dxfId="1030" priority="178">
      <formula>$E364=13</formula>
    </cfRule>
    <cfRule type="expression" dxfId="1029" priority="179">
      <formula>$E364=12</formula>
    </cfRule>
  </conditionalFormatting>
  <conditionalFormatting sqref="C364:F383">
    <cfRule type="expression" dxfId="1028" priority="180">
      <formula>$E364&lt;12</formula>
    </cfRule>
    <cfRule type="expression" dxfId="1027" priority="181">
      <formula>$E364=18</formula>
    </cfRule>
    <cfRule type="expression" dxfId="1026" priority="182">
      <formula>$E364=17</formula>
    </cfRule>
    <cfRule type="expression" dxfId="1025" priority="183">
      <formula>$E364=16</formula>
    </cfRule>
    <cfRule type="expression" dxfId="1024" priority="184">
      <formula>$E364=15</formula>
    </cfRule>
    <cfRule type="expression" dxfId="1023" priority="185">
      <formula>$E364=14</formula>
    </cfRule>
    <cfRule type="expression" dxfId="1022" priority="186">
      <formula>$E364=13</formula>
    </cfRule>
    <cfRule type="expression" dxfId="1021" priority="187">
      <formula>$E364=12</formula>
    </cfRule>
  </conditionalFormatting>
  <conditionalFormatting sqref="A387:B387 G387:J387">
    <cfRule type="expression" dxfId="1020" priority="78">
      <formula>$E387&lt;12</formula>
    </cfRule>
    <cfRule type="expression" dxfId="1019" priority="79">
      <formula>$E387=18</formula>
    </cfRule>
    <cfRule type="expression" dxfId="1018" priority="80">
      <formula>$E387=17</formula>
    </cfRule>
    <cfRule type="expression" dxfId="1017" priority="81">
      <formula>$E387=16</formula>
    </cfRule>
    <cfRule type="expression" dxfId="1016" priority="82">
      <formula>$E387=15</formula>
    </cfRule>
    <cfRule type="expression" dxfId="1015" priority="83">
      <formula>$E387=14</formula>
    </cfRule>
    <cfRule type="expression" dxfId="1014" priority="84">
      <formula>$E387=13</formula>
    </cfRule>
    <cfRule type="expression" dxfId="1013" priority="85">
      <formula>$E387=12</formula>
    </cfRule>
  </conditionalFormatting>
  <conditionalFormatting sqref="A387:B387 G387:J387">
    <cfRule type="expression" dxfId="1012" priority="69">
      <formula>$E387=10</formula>
    </cfRule>
    <cfRule type="expression" dxfId="1011" priority="70">
      <formula>$E387=11</formula>
    </cfRule>
    <cfRule type="expression" dxfId="1010" priority="71">
      <formula>$E387=18</formula>
    </cfRule>
    <cfRule type="expression" dxfId="1009" priority="72">
      <formula>$E387=17</formula>
    </cfRule>
    <cfRule type="expression" dxfId="1008" priority="73">
      <formula>$E387=16</formula>
    </cfRule>
    <cfRule type="expression" dxfId="1007" priority="74">
      <formula>$E387=15</formula>
    </cfRule>
    <cfRule type="expression" dxfId="1006" priority="75">
      <formula>$E387=14</formula>
    </cfRule>
    <cfRule type="expression" dxfId="1005" priority="76">
      <formula>$E387=13</formula>
    </cfRule>
    <cfRule type="expression" dxfId="1004" priority="77">
      <formula>$E387=12</formula>
    </cfRule>
  </conditionalFormatting>
  <conditionalFormatting sqref="M387:N387">
    <cfRule type="expression" dxfId="1003" priority="61">
      <formula>$E387&lt;12</formula>
    </cfRule>
    <cfRule type="expression" dxfId="1002" priority="62">
      <formula>$E387=18</formula>
    </cfRule>
    <cfRule type="expression" dxfId="1001" priority="63">
      <formula>$E387=17</formula>
    </cfRule>
    <cfRule type="expression" dxfId="1000" priority="64">
      <formula>$E387=16</formula>
    </cfRule>
    <cfRule type="expression" dxfId="999" priority="65">
      <formula>$E387=15</formula>
    </cfRule>
    <cfRule type="expression" dxfId="998" priority="66">
      <formula>$E387=14</formula>
    </cfRule>
    <cfRule type="expression" dxfId="997" priority="67">
      <formula>$E387=13</formula>
    </cfRule>
    <cfRule type="expression" dxfId="996" priority="68">
      <formula>$E387=12</formula>
    </cfRule>
  </conditionalFormatting>
  <conditionalFormatting sqref="M387:N387">
    <cfRule type="expression" dxfId="995" priority="52">
      <formula>$E387=10</formula>
    </cfRule>
    <cfRule type="expression" dxfId="994" priority="53">
      <formula>$E387=11</formula>
    </cfRule>
    <cfRule type="expression" dxfId="993" priority="54">
      <formula>$E387=18</formula>
    </cfRule>
    <cfRule type="expression" dxfId="992" priority="55">
      <formula>$E387=17</formula>
    </cfRule>
    <cfRule type="expression" dxfId="991" priority="56">
      <formula>$E387=16</formula>
    </cfRule>
    <cfRule type="expression" dxfId="990" priority="57">
      <formula>$E387=15</formula>
    </cfRule>
    <cfRule type="expression" dxfId="989" priority="58">
      <formula>$E387=14</formula>
    </cfRule>
    <cfRule type="expression" dxfId="988" priority="59">
      <formula>$E387=13</formula>
    </cfRule>
    <cfRule type="expression" dxfId="987" priority="60">
      <formula>$E387=12</formula>
    </cfRule>
  </conditionalFormatting>
  <conditionalFormatting sqref="L387">
    <cfRule type="expression" dxfId="986" priority="44">
      <formula>$E387&lt;12</formula>
    </cfRule>
    <cfRule type="expression" dxfId="985" priority="45">
      <formula>$E387=18</formula>
    </cfRule>
    <cfRule type="expression" dxfId="984" priority="46">
      <formula>$E387=17</formula>
    </cfRule>
    <cfRule type="expression" dxfId="983" priority="47">
      <formula>$E387=16</formula>
    </cfRule>
    <cfRule type="expression" dxfId="982" priority="48">
      <formula>$E387=15</formula>
    </cfRule>
    <cfRule type="expression" dxfId="981" priority="49">
      <formula>$E387=14</formula>
    </cfRule>
    <cfRule type="expression" dxfId="980" priority="50">
      <formula>$E387=13</formula>
    </cfRule>
    <cfRule type="expression" dxfId="979" priority="51">
      <formula>$E387=12</formula>
    </cfRule>
  </conditionalFormatting>
  <conditionalFormatting sqref="L387">
    <cfRule type="expression" dxfId="978" priority="35">
      <formula>$E387=10</formula>
    </cfRule>
    <cfRule type="expression" dxfId="977" priority="36">
      <formula>$E387=11</formula>
    </cfRule>
    <cfRule type="expression" dxfId="976" priority="37">
      <formula>$E387=18</formula>
    </cfRule>
    <cfRule type="expression" dxfId="975" priority="38">
      <formula>$E387=17</formula>
    </cfRule>
    <cfRule type="expression" dxfId="974" priority="39">
      <formula>$E387=16</formula>
    </cfRule>
    <cfRule type="expression" dxfId="973" priority="40">
      <formula>$E387=15</formula>
    </cfRule>
    <cfRule type="expression" dxfId="972" priority="41">
      <formula>$E387=14</formula>
    </cfRule>
    <cfRule type="expression" dxfId="971" priority="42">
      <formula>$E387=13</formula>
    </cfRule>
    <cfRule type="expression" dxfId="970" priority="43">
      <formula>$E387=12</formula>
    </cfRule>
  </conditionalFormatting>
  <conditionalFormatting sqref="K387">
    <cfRule type="expression" dxfId="969" priority="27">
      <formula>$E387&lt;12</formula>
    </cfRule>
    <cfRule type="expression" dxfId="968" priority="28">
      <formula>$E387=18</formula>
    </cfRule>
    <cfRule type="expression" dxfId="967" priority="29">
      <formula>$E387=17</formula>
    </cfRule>
    <cfRule type="expression" dxfId="966" priority="30">
      <formula>$E387=16</formula>
    </cfRule>
    <cfRule type="expression" dxfId="965" priority="31">
      <formula>$E387=15</formula>
    </cfRule>
    <cfRule type="expression" dxfId="964" priority="32">
      <formula>$E387=14</formula>
    </cfRule>
    <cfRule type="expression" dxfId="963" priority="33">
      <formula>$E387=13</formula>
    </cfRule>
    <cfRule type="expression" dxfId="962" priority="34">
      <formula>$E387=12</formula>
    </cfRule>
  </conditionalFormatting>
  <conditionalFormatting sqref="K387">
    <cfRule type="expression" dxfId="961" priority="18">
      <formula>$E387=10</formula>
    </cfRule>
    <cfRule type="expression" dxfId="960" priority="19">
      <formula>$E387=11</formula>
    </cfRule>
    <cfRule type="expression" dxfId="959" priority="20">
      <formula>$E387=18</formula>
    </cfRule>
    <cfRule type="expression" dxfId="958" priority="21">
      <formula>$E387=17</formula>
    </cfRule>
    <cfRule type="expression" dxfId="957" priority="22">
      <formula>$E387=16</formula>
    </cfRule>
    <cfRule type="expression" dxfId="956" priority="23">
      <formula>$E387=15</formula>
    </cfRule>
    <cfRule type="expression" dxfId="955" priority="24">
      <formula>$E387=14</formula>
    </cfRule>
    <cfRule type="expression" dxfId="954" priority="25">
      <formula>$E387=13</formula>
    </cfRule>
    <cfRule type="expression" dxfId="953" priority="26">
      <formula>$E387=12</formula>
    </cfRule>
  </conditionalFormatting>
  <conditionalFormatting sqref="C387:F387">
    <cfRule type="expression" dxfId="952" priority="1">
      <formula>$E387=10</formula>
    </cfRule>
    <cfRule type="expression" dxfId="951" priority="2">
      <formula>$E387=11</formula>
    </cfRule>
    <cfRule type="expression" dxfId="950" priority="3">
      <formula>$E387=18</formula>
    </cfRule>
    <cfRule type="expression" dxfId="949" priority="4">
      <formula>$E387=17</formula>
    </cfRule>
    <cfRule type="expression" dxfId="948" priority="5">
      <formula>$E387=16</formula>
    </cfRule>
    <cfRule type="expression" dxfId="947" priority="6">
      <formula>$E387=15</formula>
    </cfRule>
    <cfRule type="expression" dxfId="946" priority="7">
      <formula>$E387=14</formula>
    </cfRule>
    <cfRule type="expression" dxfId="945" priority="8">
      <formula>$E387=13</formula>
    </cfRule>
    <cfRule type="expression" dxfId="944" priority="9">
      <formula>$E387=12</formula>
    </cfRule>
  </conditionalFormatting>
  <conditionalFormatting sqref="C387:F387">
    <cfRule type="expression" dxfId="943" priority="10">
      <formula>$E387&lt;12</formula>
    </cfRule>
    <cfRule type="expression" dxfId="942" priority="11">
      <formula>$E387=18</formula>
    </cfRule>
    <cfRule type="expression" dxfId="941" priority="12">
      <formula>$E387=17</formula>
    </cfRule>
    <cfRule type="expression" dxfId="940" priority="13">
      <formula>$E387=16</formula>
    </cfRule>
    <cfRule type="expression" dxfId="939" priority="14">
      <formula>$E387=15</formula>
    </cfRule>
    <cfRule type="expression" dxfId="938" priority="15">
      <formula>$E387=14</formula>
    </cfRule>
    <cfRule type="expression" dxfId="937" priority="16">
      <formula>$E387=13</formula>
    </cfRule>
    <cfRule type="expression" dxfId="936" priority="17">
      <formula>$E387=12</formula>
    </cfRule>
  </conditionalFormatting>
  <conditionalFormatting sqref="A385:B385 G385:J385">
    <cfRule type="expression" dxfId="935" priority="163">
      <formula>$E385&lt;12</formula>
    </cfRule>
    <cfRule type="expression" dxfId="934" priority="164">
      <formula>$E385=18</formula>
    </cfRule>
    <cfRule type="expression" dxfId="933" priority="165">
      <formula>$E385=17</formula>
    </cfRule>
    <cfRule type="expression" dxfId="932" priority="166">
      <formula>$E385=16</formula>
    </cfRule>
    <cfRule type="expression" dxfId="931" priority="167">
      <formula>$E385=15</formula>
    </cfRule>
    <cfRule type="expression" dxfId="930" priority="168">
      <formula>$E385=14</formula>
    </cfRule>
    <cfRule type="expression" dxfId="929" priority="169">
      <formula>$E385=13</formula>
    </cfRule>
    <cfRule type="expression" dxfId="928" priority="170">
      <formula>$E385=12</formula>
    </cfRule>
  </conditionalFormatting>
  <conditionalFormatting sqref="A385:B385 G385:J385">
    <cfRule type="expression" dxfId="927" priority="154">
      <formula>$E385=10</formula>
    </cfRule>
    <cfRule type="expression" dxfId="926" priority="155">
      <formula>$E385=11</formula>
    </cfRule>
    <cfRule type="expression" dxfId="925" priority="156">
      <formula>$E385=18</formula>
    </cfRule>
    <cfRule type="expression" dxfId="924" priority="157">
      <formula>$E385=17</formula>
    </cfRule>
    <cfRule type="expression" dxfId="923" priority="158">
      <formula>$E385=16</formula>
    </cfRule>
    <cfRule type="expression" dxfId="922" priority="159">
      <formula>$E385=15</formula>
    </cfRule>
    <cfRule type="expression" dxfId="921" priority="160">
      <formula>$E385=14</formula>
    </cfRule>
    <cfRule type="expression" dxfId="920" priority="161">
      <formula>$E385=13</formula>
    </cfRule>
    <cfRule type="expression" dxfId="919" priority="162">
      <formula>$E385=12</formula>
    </cfRule>
  </conditionalFormatting>
  <conditionalFormatting sqref="M385:N385">
    <cfRule type="expression" dxfId="918" priority="146">
      <formula>$E385&lt;12</formula>
    </cfRule>
    <cfRule type="expression" dxfId="917" priority="147">
      <formula>$E385=18</formula>
    </cfRule>
    <cfRule type="expression" dxfId="916" priority="148">
      <formula>$E385=17</formula>
    </cfRule>
    <cfRule type="expression" dxfId="915" priority="149">
      <formula>$E385=16</formula>
    </cfRule>
    <cfRule type="expression" dxfId="914" priority="150">
      <formula>$E385=15</formula>
    </cfRule>
    <cfRule type="expression" dxfId="913" priority="151">
      <formula>$E385=14</formula>
    </cfRule>
    <cfRule type="expression" dxfId="912" priority="152">
      <formula>$E385=13</formula>
    </cfRule>
    <cfRule type="expression" dxfId="911" priority="153">
      <formula>$E385=12</formula>
    </cfRule>
  </conditionalFormatting>
  <conditionalFormatting sqref="M385:N385">
    <cfRule type="expression" dxfId="910" priority="137">
      <formula>$E385=10</formula>
    </cfRule>
    <cfRule type="expression" dxfId="909" priority="138">
      <formula>$E385=11</formula>
    </cfRule>
    <cfRule type="expression" dxfId="908" priority="139">
      <formula>$E385=18</formula>
    </cfRule>
    <cfRule type="expression" dxfId="907" priority="140">
      <formula>$E385=17</formula>
    </cfRule>
    <cfRule type="expression" dxfId="906" priority="141">
      <formula>$E385=16</formula>
    </cfRule>
    <cfRule type="expression" dxfId="905" priority="142">
      <formula>$E385=15</formula>
    </cfRule>
    <cfRule type="expression" dxfId="904" priority="143">
      <formula>$E385=14</formula>
    </cfRule>
    <cfRule type="expression" dxfId="903" priority="144">
      <formula>$E385=13</formula>
    </cfRule>
    <cfRule type="expression" dxfId="902" priority="145">
      <formula>$E385=12</formula>
    </cfRule>
  </conditionalFormatting>
  <conditionalFormatting sqref="L385">
    <cfRule type="expression" dxfId="901" priority="129">
      <formula>$E385&lt;12</formula>
    </cfRule>
    <cfRule type="expression" dxfId="900" priority="130">
      <formula>$E385=18</formula>
    </cfRule>
    <cfRule type="expression" dxfId="899" priority="131">
      <formula>$E385=17</formula>
    </cfRule>
    <cfRule type="expression" dxfId="898" priority="132">
      <formula>$E385=16</formula>
    </cfRule>
    <cfRule type="expression" dxfId="897" priority="133">
      <formula>$E385=15</formula>
    </cfRule>
    <cfRule type="expression" dxfId="896" priority="134">
      <formula>$E385=14</formula>
    </cfRule>
    <cfRule type="expression" dxfId="895" priority="135">
      <formula>$E385=13</formula>
    </cfRule>
    <cfRule type="expression" dxfId="894" priority="136">
      <formula>$E385=12</formula>
    </cfRule>
  </conditionalFormatting>
  <conditionalFormatting sqref="L385">
    <cfRule type="expression" dxfId="893" priority="120">
      <formula>$E385=10</formula>
    </cfRule>
    <cfRule type="expression" dxfId="892" priority="121">
      <formula>$E385=11</formula>
    </cfRule>
    <cfRule type="expression" dxfId="891" priority="122">
      <formula>$E385=18</formula>
    </cfRule>
    <cfRule type="expression" dxfId="890" priority="123">
      <formula>$E385=17</formula>
    </cfRule>
    <cfRule type="expression" dxfId="889" priority="124">
      <formula>$E385=16</formula>
    </cfRule>
    <cfRule type="expression" dxfId="888" priority="125">
      <formula>$E385=15</formula>
    </cfRule>
    <cfRule type="expression" dxfId="887" priority="126">
      <formula>$E385=14</formula>
    </cfRule>
    <cfRule type="expression" dxfId="886" priority="127">
      <formula>$E385=13</formula>
    </cfRule>
    <cfRule type="expression" dxfId="885" priority="128">
      <formula>$E385=12</formula>
    </cfRule>
  </conditionalFormatting>
  <conditionalFormatting sqref="K385">
    <cfRule type="expression" dxfId="884" priority="112">
      <formula>$E385&lt;12</formula>
    </cfRule>
    <cfRule type="expression" dxfId="883" priority="113">
      <formula>$E385=18</formula>
    </cfRule>
    <cfRule type="expression" dxfId="882" priority="114">
      <formula>$E385=17</formula>
    </cfRule>
    <cfRule type="expression" dxfId="881" priority="115">
      <formula>$E385=16</formula>
    </cfRule>
    <cfRule type="expression" dxfId="880" priority="116">
      <formula>$E385=15</formula>
    </cfRule>
    <cfRule type="expression" dxfId="879" priority="117">
      <formula>$E385=14</formula>
    </cfRule>
    <cfRule type="expression" dxfId="878" priority="118">
      <formula>$E385=13</formula>
    </cfRule>
    <cfRule type="expression" dxfId="877" priority="119">
      <formula>$E385=12</formula>
    </cfRule>
  </conditionalFormatting>
  <conditionalFormatting sqref="K385">
    <cfRule type="expression" dxfId="876" priority="103">
      <formula>$E385=10</formula>
    </cfRule>
    <cfRule type="expression" dxfId="875" priority="104">
      <formula>$E385=11</formula>
    </cfRule>
    <cfRule type="expression" dxfId="874" priority="105">
      <formula>$E385=18</formula>
    </cfRule>
    <cfRule type="expression" dxfId="873" priority="106">
      <formula>$E385=17</formula>
    </cfRule>
    <cfRule type="expression" dxfId="872" priority="107">
      <formula>$E385=16</formula>
    </cfRule>
    <cfRule type="expression" dxfId="871" priority="108">
      <formula>$E385=15</formula>
    </cfRule>
    <cfRule type="expression" dxfId="870" priority="109">
      <formula>$E385=14</formula>
    </cfRule>
    <cfRule type="expression" dxfId="869" priority="110">
      <formula>$E385=13</formula>
    </cfRule>
    <cfRule type="expression" dxfId="868" priority="111">
      <formula>$E385=12</formula>
    </cfRule>
  </conditionalFormatting>
  <conditionalFormatting sqref="C385:F385">
    <cfRule type="expression" dxfId="867" priority="86">
      <formula>$E385=10</formula>
    </cfRule>
    <cfRule type="expression" dxfId="866" priority="87">
      <formula>$E385=11</formula>
    </cfRule>
    <cfRule type="expression" dxfId="865" priority="88">
      <formula>$E385=18</formula>
    </cfRule>
    <cfRule type="expression" dxfId="864" priority="89">
      <formula>$E385=17</formula>
    </cfRule>
    <cfRule type="expression" dxfId="863" priority="90">
      <formula>$E385=16</formula>
    </cfRule>
    <cfRule type="expression" dxfId="862" priority="91">
      <formula>$E385=15</formula>
    </cfRule>
    <cfRule type="expression" dxfId="861" priority="92">
      <formula>$E385=14</formula>
    </cfRule>
    <cfRule type="expression" dxfId="860" priority="93">
      <formula>$E385=13</formula>
    </cfRule>
    <cfRule type="expression" dxfId="859" priority="94">
      <formula>$E385=12</formula>
    </cfRule>
  </conditionalFormatting>
  <conditionalFormatting sqref="C385:F385">
    <cfRule type="expression" dxfId="858" priority="95">
      <formula>$E385&lt;12</formula>
    </cfRule>
    <cfRule type="expression" dxfId="857" priority="96">
      <formula>$E385=18</formula>
    </cfRule>
    <cfRule type="expression" dxfId="856" priority="97">
      <formula>$E385=17</formula>
    </cfRule>
    <cfRule type="expression" dxfId="855" priority="98">
      <formula>$E385=16</formula>
    </cfRule>
    <cfRule type="expression" dxfId="854" priority="99">
      <formula>$E385=15</formula>
    </cfRule>
    <cfRule type="expression" dxfId="853" priority="100">
      <formula>$E385=14</formula>
    </cfRule>
    <cfRule type="expression" dxfId="852" priority="101">
      <formula>$E385=13</formula>
    </cfRule>
    <cfRule type="expression" dxfId="851" priority="102">
      <formula>$E385=12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rgb="FFFF0000"/>
  </sheetPr>
  <dimension ref="A1:BA266"/>
  <sheetViews>
    <sheetView zoomScale="70" zoomScaleNormal="70" workbookViewId="0">
      <selection activeCell="AU27" sqref="AU27:AU28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4.28515625" style="4" bestFit="1" customWidth="1"/>
    <col min="50" max="50" width="9.7109375" style="4" bestFit="1" customWidth="1"/>
    <col min="51" max="51" width="7.7109375" style="4" bestFit="1" customWidth="1"/>
    <col min="52" max="52" width="24.5703125" style="4" bestFit="1" customWidth="1"/>
    <col min="53" max="53" width="3.140625" style="4" bestFit="1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4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1018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338">
        <v>42756</v>
      </c>
      <c r="AE2" s="204"/>
      <c r="AF2" s="204"/>
      <c r="AG2" s="204"/>
      <c r="AH2" s="204"/>
      <c r="AI2" s="205"/>
      <c r="AJ2" s="182"/>
      <c r="AK2" s="182"/>
      <c r="AL2" s="182"/>
      <c r="AM2" s="182"/>
      <c r="AN2" s="182"/>
      <c r="AO2" s="182"/>
      <c r="AP2" s="182"/>
      <c r="AQ2" s="182"/>
      <c r="AR2" s="3"/>
      <c r="AT2" s="8" t="s">
        <v>9</v>
      </c>
      <c r="AU2" s="9" t="s">
        <v>10</v>
      </c>
      <c r="AV2" s="183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1022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/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224" t="s">
        <v>21</v>
      </c>
      <c r="AF3" s="225"/>
      <c r="AG3" s="225" t="s">
        <v>22</v>
      </c>
      <c r="AH3" s="225"/>
      <c r="AI3" s="226"/>
      <c r="AJ3" s="182"/>
      <c r="AK3" s="182"/>
      <c r="AL3" s="182"/>
      <c r="AM3" s="182"/>
      <c r="AN3" s="182"/>
      <c r="AO3" s="182"/>
      <c r="AP3" s="182"/>
      <c r="AQ3" s="182"/>
      <c r="AR3" s="3"/>
      <c r="AT3" s="14">
        <v>1</v>
      </c>
      <c r="AU3" s="184" t="s">
        <v>433</v>
      </c>
      <c r="AV3" s="184" t="s">
        <v>431</v>
      </c>
      <c r="AW3" s="16">
        <f>VLOOKUP(AV3,Initial!G:K,5,FALSE)</f>
        <v>1274.9503770355423</v>
      </c>
      <c r="AX3" s="17">
        <f t="shared" ref="AX3:AX9" si="0">VLOOKUP(AU3,AT$79:AU$259,2,FALSE)</f>
        <v>1313.3752502473765</v>
      </c>
      <c r="AY3" s="18">
        <f t="shared" ref="AY3:AY9" si="1">IF(ISNA(VLOOKUP(AU3,AT$273:AU$373,2,FALSE)),AX3,VLOOKUP(AU3,AT$273:AU$373,2,FALSE))</f>
        <v>1313.3752502473765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174</v>
      </c>
      <c r="F4" s="210"/>
      <c r="G4" s="210"/>
      <c r="H4" s="210"/>
      <c r="I4" s="210"/>
      <c r="J4" s="210"/>
      <c r="K4" s="210"/>
      <c r="L4" s="210"/>
      <c r="M4" s="211"/>
      <c r="N4" s="206" t="s">
        <v>1023</v>
      </c>
      <c r="O4" s="207"/>
      <c r="P4" s="207"/>
      <c r="Q4" s="208"/>
      <c r="R4" s="212" t="s">
        <v>28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177</v>
      </c>
      <c r="AC4" s="207"/>
      <c r="AD4" s="207"/>
      <c r="AE4" s="208"/>
      <c r="AF4" s="212"/>
      <c r="AG4" s="204"/>
      <c r="AH4" s="204"/>
      <c r="AI4" s="205"/>
      <c r="AJ4" s="182"/>
      <c r="AK4" s="182"/>
      <c r="AL4" s="182"/>
      <c r="AM4" s="182"/>
      <c r="AN4" s="182"/>
      <c r="AO4" s="182"/>
      <c r="AP4" s="182"/>
      <c r="AQ4" s="182"/>
      <c r="AR4" s="3"/>
      <c r="AT4" s="19">
        <v>2</v>
      </c>
      <c r="AU4" s="184" t="s">
        <v>441</v>
      </c>
      <c r="AV4" s="184" t="s">
        <v>440</v>
      </c>
      <c r="AW4" s="16">
        <f>VLOOKUP(AV4,Initial!G:K,5,FALSE)</f>
        <v>1238.5911205484977</v>
      </c>
      <c r="AX4" s="20">
        <f t="shared" si="0"/>
        <v>1232.5518241924728</v>
      </c>
      <c r="AY4" s="21">
        <f t="shared" si="1"/>
        <v>1232.5518241924728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84" t="s">
        <v>998</v>
      </c>
      <c r="AV5" s="184" t="s">
        <v>999</v>
      </c>
      <c r="AW5" s="16">
        <f>VLOOKUP(AV5,Initial!G:K,5,FALSE)</f>
        <v>1200</v>
      </c>
      <c r="AX5" s="20">
        <f t="shared" si="0"/>
        <v>1145.0627264163368</v>
      </c>
      <c r="AY5" s="21">
        <f t="shared" si="1"/>
        <v>1145.0627264163368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182"/>
      <c r="AK6" s="182"/>
      <c r="AL6" s="182"/>
      <c r="AM6" s="182"/>
      <c r="AN6" s="182"/>
      <c r="AO6" s="182"/>
      <c r="AP6" s="182"/>
      <c r="AQ6" s="182"/>
      <c r="AT6" s="19">
        <v>4</v>
      </c>
      <c r="AU6" s="184" t="s">
        <v>533</v>
      </c>
      <c r="AV6" s="184" t="s">
        <v>532</v>
      </c>
      <c r="AW6" s="16">
        <f>VLOOKUP(AV6,Initial!G:K,5,FALSE)</f>
        <v>1251.7655011857189</v>
      </c>
      <c r="AX6" s="20">
        <f t="shared" si="0"/>
        <v>1262.211631667539</v>
      </c>
      <c r="AY6" s="21">
        <f t="shared" si="1"/>
        <v>1262.211631667539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Matches Won</v>
      </c>
      <c r="M7" s="255"/>
      <c r="N7" s="255"/>
      <c r="O7" s="255"/>
      <c r="P7" s="255"/>
      <c r="Q7" s="256"/>
      <c r="R7" s="254" t="str">
        <f>IF($AK10=0,"Games Lost","Matches Lost")</f>
        <v>Matches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1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84" t="s">
        <v>359</v>
      </c>
      <c r="AV7" s="184" t="s">
        <v>357</v>
      </c>
      <c r="AW7" s="16">
        <f>VLOOKUP(AV7,Initial!G:K,5,FALSE)</f>
        <v>1217.5505615019474</v>
      </c>
      <c r="AX7" s="20">
        <f t="shared" si="0"/>
        <v>1204.7223046644847</v>
      </c>
      <c r="AY7" s="21">
        <f t="shared" si="1"/>
        <v>1204.7223046644847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CSNS 12-1</v>
      </c>
      <c r="F8" s="233"/>
      <c r="G8" s="233"/>
      <c r="H8" s="233"/>
      <c r="I8" s="233"/>
      <c r="J8" s="233"/>
      <c r="K8" s="234"/>
      <c r="L8" s="235">
        <f>IF($AK10=0,AF64,AF46)</f>
        <v>3</v>
      </c>
      <c r="M8" s="236"/>
      <c r="N8" s="236"/>
      <c r="O8" s="236"/>
      <c r="P8" s="236"/>
      <c r="Q8" s="256"/>
      <c r="R8" s="235">
        <f>IF($AK10=0,AG64,AG46)</f>
        <v>0</v>
      </c>
      <c r="S8" s="236"/>
      <c r="T8" s="236"/>
      <c r="U8" s="236"/>
      <c r="V8" s="236"/>
      <c r="W8" s="235">
        <f>AQ24</f>
        <v>31</v>
      </c>
      <c r="X8" s="236"/>
      <c r="Y8" s="236"/>
      <c r="Z8" s="239">
        <f>IF(AF58&gt;0,(AQ24/AF58),0)</f>
        <v>0.40259740259740262</v>
      </c>
      <c r="AA8" s="240"/>
      <c r="AB8" s="240"/>
      <c r="AC8" s="262">
        <f>IF(AF72=0,0,(AF64/AF72))</f>
        <v>1</v>
      </c>
      <c r="AD8" s="263"/>
      <c r="AE8" s="264"/>
      <c r="AF8" s="268">
        <v>3</v>
      </c>
      <c r="AG8" s="268"/>
      <c r="AH8" s="270"/>
      <c r="AI8" s="271"/>
      <c r="AJ8" s="27"/>
      <c r="AK8" s="28">
        <v>6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84" t="s">
        <v>439</v>
      </c>
      <c r="AV8" s="184" t="s">
        <v>438</v>
      </c>
      <c r="AW8" s="16">
        <f>VLOOKUP(AV8,Initial!G:K,5,FALSE)</f>
        <v>1203.1411394635875</v>
      </c>
      <c r="AX8" s="20">
        <f t="shared" si="0"/>
        <v>1264.1177094032755</v>
      </c>
      <c r="AY8" s="21">
        <f t="shared" si="1"/>
        <v>1264.1177094032755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fj2csout1pm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4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84" t="s">
        <v>457</v>
      </c>
      <c r="AV9" s="184" t="s">
        <v>456</v>
      </c>
      <c r="AW9" s="16">
        <f>VLOOKUP(AV9,Initial!G:K,5,FALSE)</f>
        <v>1166.1154316050067</v>
      </c>
      <c r="AX9" s="20">
        <f t="shared" si="0"/>
        <v>1130.0726847488152</v>
      </c>
      <c r="AY9" s="21">
        <f t="shared" si="1"/>
        <v>1130.0726847488152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Foothills 13 Caitlin</v>
      </c>
      <c r="F10" s="233"/>
      <c r="G10" s="233"/>
      <c r="H10" s="233"/>
      <c r="I10" s="233"/>
      <c r="J10" s="233"/>
      <c r="K10" s="234"/>
      <c r="L10" s="235">
        <f>IF($AK10=0,AF65,AF47)</f>
        <v>2</v>
      </c>
      <c r="M10" s="236"/>
      <c r="N10" s="236"/>
      <c r="O10" s="236"/>
      <c r="P10" s="236"/>
      <c r="Q10" s="256"/>
      <c r="R10" s="235">
        <f>IF($AK10=0,AG65,AG47)</f>
        <v>1</v>
      </c>
      <c r="S10" s="236"/>
      <c r="T10" s="236"/>
      <c r="U10" s="236"/>
      <c r="V10" s="236"/>
      <c r="W10" s="235">
        <f>AQ25</f>
        <v>-6</v>
      </c>
      <c r="X10" s="236"/>
      <c r="Y10" s="236"/>
      <c r="Z10" s="239">
        <f>IF(AF59&gt;0,(AQ25/AF59),0)</f>
        <v>-7.8947368421052627E-2</v>
      </c>
      <c r="AA10" s="240"/>
      <c r="AB10" s="240"/>
      <c r="AC10" s="262">
        <f>IF(AF73=0,0,(AF65/AF73))</f>
        <v>0.66666666666666663</v>
      </c>
      <c r="AD10" s="263"/>
      <c r="AE10" s="264"/>
      <c r="AF10" s="268">
        <v>1</v>
      </c>
      <c r="AG10" s="268"/>
      <c r="AH10" s="270"/>
      <c r="AI10" s="271"/>
      <c r="AJ10" s="27"/>
      <c r="AK10" s="28">
        <v>1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79"/>
      <c r="AV10" s="179"/>
      <c r="AW10" s="16"/>
      <c r="AX10" s="20"/>
      <c r="AY10" s="21"/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fj3footh2pm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79"/>
      <c r="AV11" s="179"/>
      <c r="AW11" s="16"/>
      <c r="AX11" s="20"/>
      <c r="AY11" s="21"/>
    </row>
    <row r="12" spans="1:53" ht="18.75" customHeight="1" x14ac:dyDescent="0.2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Excell Dev. 11 2017</v>
      </c>
      <c r="F12" s="233"/>
      <c r="G12" s="233"/>
      <c r="H12" s="233"/>
      <c r="I12" s="233"/>
      <c r="J12" s="233"/>
      <c r="K12" s="234"/>
      <c r="L12" s="235">
        <f>IF($AK10=0,AF66,AF48)</f>
        <v>1</v>
      </c>
      <c r="M12" s="236"/>
      <c r="N12" s="236"/>
      <c r="O12" s="236"/>
      <c r="P12" s="236"/>
      <c r="Q12" s="256"/>
      <c r="R12" s="235">
        <f>IF($AK10=0,AG66,AG48)</f>
        <v>2</v>
      </c>
      <c r="S12" s="236"/>
      <c r="T12" s="236"/>
      <c r="U12" s="236"/>
      <c r="V12" s="236"/>
      <c r="W12" s="235">
        <f>AQ26</f>
        <v>-9</v>
      </c>
      <c r="X12" s="236"/>
      <c r="Y12" s="236"/>
      <c r="Z12" s="239">
        <f>IF(AF60&gt;0,(AQ26/AF60),0)</f>
        <v>-0.12</v>
      </c>
      <c r="AA12" s="240"/>
      <c r="AB12" s="240"/>
      <c r="AC12" s="262">
        <f>IF(AF74=0,0,(AF66/AF74))</f>
        <v>0.33333333333333331</v>
      </c>
      <c r="AD12" s="263"/>
      <c r="AE12" s="264"/>
      <c r="AF12" s="268">
        <v>2</v>
      </c>
      <c r="AG12" s="268"/>
      <c r="AH12" s="270"/>
      <c r="AI12" s="271"/>
      <c r="AJ12" s="31"/>
      <c r="AK12" s="28">
        <v>3</v>
      </c>
      <c r="AL12" s="32" t="s">
        <v>61</v>
      </c>
      <c r="AM12" s="29"/>
      <c r="AN12" s="29"/>
      <c r="AO12" s="29"/>
      <c r="AP12" s="29"/>
      <c r="AQ12" s="29"/>
      <c r="AR12" s="30"/>
      <c r="AT12" s="185">
        <v>10</v>
      </c>
      <c r="AU12" s="186" t="s">
        <v>1000</v>
      </c>
      <c r="AV12" s="187" t="s">
        <v>1001</v>
      </c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fj1excel3pm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185">
        <v>11</v>
      </c>
      <c r="AU13" s="186" t="s">
        <v>1002</v>
      </c>
      <c r="AV13" s="187" t="s">
        <v>1003</v>
      </c>
    </row>
    <row r="14" spans="1:53" ht="18.75" customHeight="1" x14ac:dyDescent="0.2">
      <c r="A14" s="227" t="str">
        <f>IF($AK9&gt;3,"4","")</f>
        <v>4</v>
      </c>
      <c r="B14" s="286" t="s">
        <v>10</v>
      </c>
      <c r="C14" s="287"/>
      <c r="D14" s="287"/>
      <c r="E14" s="232" t="str">
        <f>AU9</f>
        <v>SC Midlands KP Black</v>
      </c>
      <c r="F14" s="233"/>
      <c r="G14" s="233"/>
      <c r="H14" s="233"/>
      <c r="I14" s="233"/>
      <c r="J14" s="233"/>
      <c r="K14" s="234"/>
      <c r="L14" s="235">
        <f>IF($AK10=0,AF67,AF49)</f>
        <v>0</v>
      </c>
      <c r="M14" s="236"/>
      <c r="N14" s="236"/>
      <c r="O14" s="236"/>
      <c r="P14" s="236"/>
      <c r="Q14" s="256"/>
      <c r="R14" s="235">
        <f>IF($AK10=0,AG67,AG49)</f>
        <v>3</v>
      </c>
      <c r="S14" s="236"/>
      <c r="T14" s="236"/>
      <c r="U14" s="236"/>
      <c r="V14" s="236"/>
      <c r="W14" s="235">
        <f>AQ27</f>
        <v>-16</v>
      </c>
      <c r="X14" s="236"/>
      <c r="Y14" s="236"/>
      <c r="Z14" s="239">
        <f>IF(AF61&gt;0,(AQ27/AF61),0)</f>
        <v>-0.21052631578947367</v>
      </c>
      <c r="AA14" s="240"/>
      <c r="AB14" s="240"/>
      <c r="AC14" s="262">
        <f>IF(AF75=0,0,(AF67/AF75))</f>
        <v>0</v>
      </c>
      <c r="AD14" s="263"/>
      <c r="AE14" s="264"/>
      <c r="AF14" s="268"/>
      <c r="AG14" s="268"/>
      <c r="AH14" s="270"/>
      <c r="AI14" s="271"/>
      <c r="AJ14" s="182"/>
      <c r="AK14" s="37"/>
      <c r="AL14" s="37"/>
      <c r="AM14" s="37"/>
      <c r="AN14" s="37"/>
      <c r="AO14" s="37"/>
      <c r="AP14" s="37"/>
      <c r="AQ14" s="29"/>
      <c r="AR14" s="30"/>
      <c r="AT14" s="185">
        <v>12</v>
      </c>
      <c r="AU14" s="186" t="s">
        <v>1004</v>
      </c>
      <c r="AV14" s="187" t="s">
        <v>1005</v>
      </c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AV9</f>
        <v>fj2scmid4pm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182"/>
      <c r="AK15" s="37"/>
      <c r="AL15" s="37"/>
      <c r="AM15" s="37"/>
      <c r="AN15" s="37"/>
      <c r="AO15" s="37"/>
      <c r="AP15" s="37"/>
      <c r="AQ15" s="182"/>
      <c r="AR15" s="3"/>
      <c r="AT15" s="185">
        <v>13</v>
      </c>
      <c r="AU15" s="186" t="s">
        <v>1006</v>
      </c>
      <c r="AV15" s="187" t="s">
        <v>1007</v>
      </c>
    </row>
    <row r="16" spans="1:53" ht="18.75" customHeight="1" x14ac:dyDescent="0.2">
      <c r="A16" s="227" t="str">
        <f>IF($AK9&gt;4,"5","")</f>
        <v/>
      </c>
      <c r="B16" s="286" t="s">
        <v>10</v>
      </c>
      <c r="C16" s="287"/>
      <c r="D16" s="287"/>
      <c r="E16" s="300">
        <f>AU19</f>
        <v>0</v>
      </c>
      <c r="F16" s="301"/>
      <c r="G16" s="301"/>
      <c r="H16" s="301"/>
      <c r="I16" s="301"/>
      <c r="J16" s="301"/>
      <c r="K16" s="302"/>
      <c r="L16" s="235">
        <f>IF($AK10=0,AF68,AF50)</f>
        <v>0</v>
      </c>
      <c r="M16" s="236"/>
      <c r="N16" s="236"/>
      <c r="O16" s="236"/>
      <c r="P16" s="236"/>
      <c r="Q16" s="256"/>
      <c r="R16" s="235">
        <f>IF($AK10=0,AG68,AG50)</f>
        <v>0</v>
      </c>
      <c r="S16" s="236"/>
      <c r="T16" s="236"/>
      <c r="U16" s="236"/>
      <c r="V16" s="236"/>
      <c r="W16" s="235">
        <f>AQ28</f>
        <v>0</v>
      </c>
      <c r="X16" s="236"/>
      <c r="Y16" s="236"/>
      <c r="Z16" s="239">
        <f>IF(AF62&gt;0,(AQ28/AF62),0)</f>
        <v>0</v>
      </c>
      <c r="AA16" s="240"/>
      <c r="AB16" s="240"/>
      <c r="AC16" s="262">
        <f>IF(AF76=0,0,(AF68/AF76))</f>
        <v>0</v>
      </c>
      <c r="AD16" s="263"/>
      <c r="AE16" s="264"/>
      <c r="AF16" s="268"/>
      <c r="AG16" s="268"/>
      <c r="AH16" s="270"/>
      <c r="AI16" s="271"/>
      <c r="AJ16" s="182"/>
      <c r="AK16" s="37"/>
      <c r="AL16" s="37"/>
      <c r="AM16" s="37"/>
      <c r="AN16" s="37"/>
      <c r="AO16" s="37"/>
      <c r="AP16" s="37"/>
      <c r="AQ16" s="182"/>
      <c r="AR16" s="3"/>
      <c r="AT16" s="185">
        <v>14</v>
      </c>
      <c r="AU16" s="186" t="s">
        <v>1008</v>
      </c>
      <c r="AV16" s="187" t="s">
        <v>1009</v>
      </c>
    </row>
    <row r="17" spans="1:48" ht="18.75" customHeight="1" thickBot="1" x14ac:dyDescent="0.25">
      <c r="A17" s="228"/>
      <c r="B17" s="296" t="s">
        <v>11</v>
      </c>
      <c r="C17" s="297"/>
      <c r="D17" s="297"/>
      <c r="E17" s="298">
        <f>AV19</f>
        <v>0</v>
      </c>
      <c r="F17" s="299"/>
      <c r="G17" s="299"/>
      <c r="H17" s="299"/>
      <c r="I17" s="299"/>
      <c r="J17" s="299"/>
      <c r="K17" s="299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182"/>
      <c r="AK17" s="37"/>
      <c r="AL17" s="37"/>
      <c r="AM17" s="37"/>
      <c r="AN17" s="37"/>
      <c r="AO17" s="37"/>
      <c r="AP17" s="37"/>
      <c r="AQ17" s="182"/>
      <c r="AR17" s="3"/>
      <c r="AT17" s="185">
        <v>15</v>
      </c>
      <c r="AU17" s="186" t="s">
        <v>1010</v>
      </c>
      <c r="AV17" s="187" t="s">
        <v>1011</v>
      </c>
    </row>
    <row r="18" spans="1:48" ht="21" customHeight="1" thickTop="1" thickBot="1" x14ac:dyDescent="0.25">
      <c r="A18" s="40"/>
      <c r="B18" s="305" t="s">
        <v>1024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182"/>
      <c r="AK18" s="37"/>
      <c r="AL18" s="37"/>
      <c r="AM18" s="37"/>
      <c r="AN18" s="37"/>
      <c r="AO18" s="37"/>
      <c r="AP18" s="37"/>
      <c r="AQ18" s="182"/>
      <c r="AR18" s="3"/>
      <c r="AT18" s="185">
        <v>16</v>
      </c>
      <c r="AU18" s="186" t="s">
        <v>1012</v>
      </c>
      <c r="AV18" s="187" t="s">
        <v>1013</v>
      </c>
    </row>
    <row r="19" spans="1:48" ht="13.5" thickTop="1" x14ac:dyDescent="0.2">
      <c r="A19" s="4" t="s">
        <v>66</v>
      </c>
      <c r="B19" s="308">
        <v>6.25E-2</v>
      </c>
      <c r="C19" s="309"/>
      <c r="D19" s="310"/>
      <c r="E19" s="308">
        <v>8.3333333333333329E-2</v>
      </c>
      <c r="F19" s="309"/>
      <c r="G19" s="310"/>
      <c r="H19" s="308">
        <v>0.10416666666666667</v>
      </c>
      <c r="I19" s="309"/>
      <c r="J19" s="310"/>
      <c r="K19" s="308"/>
      <c r="L19" s="309"/>
      <c r="M19" s="310"/>
      <c r="N19" s="308"/>
      <c r="O19" s="309"/>
      <c r="P19" s="310"/>
      <c r="Q19" s="308"/>
      <c r="R19" s="309"/>
      <c r="S19" s="310"/>
      <c r="T19" s="308"/>
      <c r="U19" s="309"/>
      <c r="V19" s="310"/>
      <c r="W19" s="308"/>
      <c r="X19" s="309"/>
      <c r="Y19" s="310"/>
      <c r="Z19" s="308"/>
      <c r="AA19" s="309"/>
      <c r="AB19" s="310"/>
      <c r="AC19" s="308"/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T19" s="185"/>
      <c r="AU19" s="186"/>
      <c r="AV19" s="187"/>
    </row>
    <row r="20" spans="1:48" x14ac:dyDescent="0.2">
      <c r="A20" s="41" t="s">
        <v>68</v>
      </c>
      <c r="B20" s="319"/>
      <c r="C20" s="320"/>
      <c r="D20" s="321"/>
      <c r="E20" s="319"/>
      <c r="F20" s="320"/>
      <c r="G20" s="321"/>
      <c r="H20" s="319"/>
      <c r="I20" s="320"/>
      <c r="J20" s="321"/>
      <c r="K20" s="319"/>
      <c r="L20" s="320"/>
      <c r="M20" s="321"/>
      <c r="N20" s="319"/>
      <c r="O20" s="320"/>
      <c r="P20" s="321"/>
      <c r="Q20" s="319"/>
      <c r="R20" s="320"/>
      <c r="S20" s="321"/>
      <c r="T20" s="319"/>
      <c r="U20" s="320"/>
      <c r="V20" s="321"/>
      <c r="W20" s="319"/>
      <c r="X20" s="320"/>
      <c r="Y20" s="321"/>
      <c r="Z20" s="319"/>
      <c r="AA20" s="320"/>
      <c r="AB20" s="321"/>
      <c r="AC20" s="319"/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T20" s="185"/>
      <c r="AU20" s="186"/>
      <c r="AV20" s="187"/>
    </row>
    <row r="21" spans="1:48" x14ac:dyDescent="0.2">
      <c r="A21" s="41" t="s">
        <v>69</v>
      </c>
      <c r="B21" s="319"/>
      <c r="C21" s="320"/>
      <c r="D21" s="321"/>
      <c r="E21" s="319"/>
      <c r="F21" s="320"/>
      <c r="G21" s="321"/>
      <c r="H21" s="319"/>
      <c r="I21" s="320"/>
      <c r="J21" s="321"/>
      <c r="K21" s="319"/>
      <c r="L21" s="320"/>
      <c r="M21" s="321"/>
      <c r="N21" s="319"/>
      <c r="O21" s="320"/>
      <c r="P21" s="321"/>
      <c r="Q21" s="319"/>
      <c r="R21" s="320"/>
      <c r="S21" s="321"/>
      <c r="T21" s="319"/>
      <c r="U21" s="320"/>
      <c r="V21" s="321"/>
      <c r="W21" s="319"/>
      <c r="X21" s="320"/>
      <c r="Y21" s="321"/>
      <c r="Z21" s="319"/>
      <c r="AA21" s="320"/>
      <c r="AB21" s="321"/>
      <c r="AC21" s="319"/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T21" s="185"/>
      <c r="AU21" s="186"/>
      <c r="AV21" s="187"/>
    </row>
    <row r="22" spans="1:48" ht="13.5" thickBot="1" x14ac:dyDescent="0.25">
      <c r="A22" s="182"/>
      <c r="B22" s="322" t="s">
        <v>70</v>
      </c>
      <c r="C22" s="323"/>
      <c r="D22" s="324"/>
      <c r="E22" s="322" t="str">
        <f>IF(AK8&gt;1,"Match 2","")</f>
        <v>Match 2</v>
      </c>
      <c r="F22" s="323"/>
      <c r="G22" s="324"/>
      <c r="H22" s="322" t="str">
        <f>IF(AK8&gt;2,"Match 3","")</f>
        <v>Match 3</v>
      </c>
      <c r="I22" s="323"/>
      <c r="J22" s="324"/>
      <c r="K22" s="322" t="str">
        <f>IF(AK8&gt;3,"Match 4","")</f>
        <v>Match 4</v>
      </c>
      <c r="L22" s="323"/>
      <c r="M22" s="324"/>
      <c r="N22" s="322" t="str">
        <f>IF(AK8&gt;4,"Match 5","")</f>
        <v>Match 5</v>
      </c>
      <c r="O22" s="323"/>
      <c r="P22" s="324"/>
      <c r="Q22" s="322" t="str">
        <f>IF(AK8&gt;5,"Match 6","")</f>
        <v>Match 6</v>
      </c>
      <c r="R22" s="323"/>
      <c r="S22" s="324"/>
      <c r="T22" s="322" t="str">
        <f>IF(AK8&gt;6,"Match 7","")</f>
        <v/>
      </c>
      <c r="U22" s="323"/>
      <c r="V22" s="324"/>
      <c r="W22" s="322" t="str">
        <f>IF(AK8&gt;7,"Match 8","")</f>
        <v/>
      </c>
      <c r="X22" s="323"/>
      <c r="Y22" s="324"/>
      <c r="Z22" s="322" t="str">
        <f>IF(AK8&gt;8,"Match 9","")</f>
        <v/>
      </c>
      <c r="AA22" s="323"/>
      <c r="AB22" s="324"/>
      <c r="AC22" s="322" t="str">
        <f>IF(AK8&gt;9,"Match 10","")</f>
        <v/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T22" s="188"/>
      <c r="AU22" s="189"/>
      <c r="AV22" s="190"/>
    </row>
    <row r="23" spans="1:48" ht="15.75" customHeight="1" x14ac:dyDescent="0.25">
      <c r="A23" s="182"/>
      <c r="B23" s="325" t="s">
        <v>73</v>
      </c>
      <c r="C23" s="326"/>
      <c r="D23" s="327"/>
      <c r="E23" s="325" t="s">
        <v>75</v>
      </c>
      <c r="F23" s="326"/>
      <c r="G23" s="327"/>
      <c r="H23" s="325" t="s">
        <v>72</v>
      </c>
      <c r="I23" s="326"/>
      <c r="J23" s="327"/>
      <c r="K23" s="325" t="s">
        <v>71</v>
      </c>
      <c r="L23" s="326"/>
      <c r="M23" s="327"/>
      <c r="N23" s="325" t="s">
        <v>75</v>
      </c>
      <c r="O23" s="326"/>
      <c r="P23" s="327"/>
      <c r="Q23" s="325" t="s">
        <v>72</v>
      </c>
      <c r="R23" s="326"/>
      <c r="S23" s="327"/>
      <c r="T23" s="325"/>
      <c r="U23" s="326"/>
      <c r="V23" s="327"/>
      <c r="W23" s="325"/>
      <c r="X23" s="326"/>
      <c r="Y23" s="327"/>
      <c r="Z23" s="325"/>
      <c r="AA23" s="326"/>
      <c r="AB23" s="327"/>
      <c r="AC23" s="325"/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39" t="s">
        <v>64</v>
      </c>
      <c r="AU23" s="340"/>
      <c r="AV23" s="341"/>
    </row>
    <row r="24" spans="1:48" ht="16.5" thickBot="1" x14ac:dyDescent="0.3">
      <c r="A24" s="182"/>
      <c r="B24" s="45">
        <v>2</v>
      </c>
      <c r="C24" s="46" t="s">
        <v>78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/>
      <c r="U24" s="46" t="str">
        <f>IF(AK8&gt;6,"v","")</f>
        <v/>
      </c>
      <c r="V24" s="47"/>
      <c r="W24" s="45"/>
      <c r="X24" s="46" t="str">
        <f>IF(AK8&gt;7,"v","")</f>
        <v/>
      </c>
      <c r="Y24" s="47"/>
      <c r="Z24" s="45"/>
      <c r="AA24" s="46" t="str">
        <f>IF(AK8&gt;8,"v","")</f>
        <v/>
      </c>
      <c r="AB24" s="47"/>
      <c r="AC24" s="45"/>
      <c r="AD24" s="46" t="str">
        <f>IF(AK8&gt;9,"v","")</f>
        <v/>
      </c>
      <c r="AE24" s="47"/>
      <c r="AF24" s="42" t="str">
        <f>IF(AK9&gt;0,"Team 1","")</f>
        <v>Team 1</v>
      </c>
      <c r="AG24" s="48" t="str">
        <f>IF(AK9&lt;1,"",IF(AK8&lt;1,"",IF(B24=1,B30-D30,IF(D24=1,D30-B30,""))))</f>
        <v/>
      </c>
      <c r="AH24" s="48">
        <f>IF(AK9&lt;1,"",IF(AK8&lt;2,"",IF(E24=1,E30-G30,IF(G24=1,G30-E30,""))))</f>
        <v>13</v>
      </c>
      <c r="AI24" s="48" t="str">
        <f>IF(AK9&lt;1,"",IF(AK8&lt;3,"",IF(H24=1,H30-J30,IF(J24=1,J30-H30,""))))</f>
        <v/>
      </c>
      <c r="AJ24" s="48">
        <f>IF(AK9&lt;1,"",IF(AK8&lt;4,"",IF(K24=1,K30-M30,IF(M24=1,M30-K30,""))))</f>
        <v>7</v>
      </c>
      <c r="AK24" s="48" t="str">
        <f>IF(AK9&lt;1,"",IF(AK8&lt;5,"",IF(N24=1,N30-P30,IF(P24=1,P30-N30,""))))</f>
        <v/>
      </c>
      <c r="AL24" s="48">
        <f>IF(AK9&lt;1,"",IF(AK8&lt;6,"",IF(Q24=1,Q30-S30,IF(S24=1,S30-Q30,""))))</f>
        <v>11</v>
      </c>
      <c r="AM24" s="48" t="str">
        <f>IF(AK9&lt;1,"",IF(AK8&lt;7,"",IF(T24=1,T30-V30,IF(V24=1,V30-T30,""))))</f>
        <v/>
      </c>
      <c r="AN24" s="48" t="str">
        <f>IF(AK9&lt;1,"",IF(AK8&lt;8,"",IF(W24=1,W30-Y30,IF(Y24=1,Y30-W30,""))))</f>
        <v/>
      </c>
      <c r="AO24" s="48" t="str">
        <f>IF(AK9&lt;1,"",IF(AK8&lt;9,"",IF(Z24=1,Z30-AB30,IF(AB24=1,AB30-Z30,""))))</f>
        <v/>
      </c>
      <c r="AP24" s="48" t="str">
        <f>IF(AK9&lt;1,"",IF(AK8&lt;10,"",IF(AC24=1,AC30-AE30,IF(AE24=1,AE30-AC30,""))))</f>
        <v/>
      </c>
      <c r="AQ24" s="44">
        <f>SUM(AG24:AP24)</f>
        <v>31</v>
      </c>
      <c r="AT24" s="342"/>
      <c r="AU24" s="343"/>
      <c r="AV24" s="344"/>
    </row>
    <row r="25" spans="1:48" ht="15" x14ac:dyDescent="0.2">
      <c r="A25" s="4" t="s">
        <v>79</v>
      </c>
      <c r="B25" s="49">
        <v>27</v>
      </c>
      <c r="C25" s="50" t="s">
        <v>80</v>
      </c>
      <c r="D25" s="51">
        <v>24</v>
      </c>
      <c r="E25" s="49">
        <v>28</v>
      </c>
      <c r="F25" s="50" t="str">
        <f>IF(AK8&gt;1,"/","")</f>
        <v>/</v>
      </c>
      <c r="G25" s="51">
        <v>15</v>
      </c>
      <c r="H25" s="49">
        <v>24</v>
      </c>
      <c r="I25" s="50" t="str">
        <f>IF(AK8&gt;2,"/","")</f>
        <v>/</v>
      </c>
      <c r="J25" s="51">
        <v>22</v>
      </c>
      <c r="K25" s="49">
        <v>24</v>
      </c>
      <c r="L25" s="50" t="str">
        <f>IF(AK8&gt;3,"/","")</f>
        <v>/</v>
      </c>
      <c r="M25" s="51">
        <v>17</v>
      </c>
      <c r="N25" s="49">
        <v>24</v>
      </c>
      <c r="O25" s="50" t="str">
        <f>IF(AK8&gt;4,"/","")</f>
        <v>/</v>
      </c>
      <c r="P25" s="51">
        <v>23</v>
      </c>
      <c r="Q25" s="49">
        <v>25</v>
      </c>
      <c r="R25" s="50" t="str">
        <f>IF(AK8&gt;5,"/","")</f>
        <v>/</v>
      </c>
      <c r="S25" s="51">
        <v>14</v>
      </c>
      <c r="T25" s="49"/>
      <c r="U25" s="50" t="str">
        <f>IF(AK8&gt;6,"/","")</f>
        <v/>
      </c>
      <c r="V25" s="51"/>
      <c r="W25" s="49"/>
      <c r="X25" s="50" t="str">
        <f>IF(AK8&gt;7,"/","")</f>
        <v/>
      </c>
      <c r="Y25" s="51"/>
      <c r="Z25" s="49"/>
      <c r="AA25" s="50" t="str">
        <f>IF(AK8&gt;8,"/","")</f>
        <v/>
      </c>
      <c r="AB25" s="51"/>
      <c r="AC25" s="49"/>
      <c r="AD25" s="50" t="str">
        <f>IF(AK8&gt;9,"/","")</f>
        <v/>
      </c>
      <c r="AE25" s="51"/>
      <c r="AF25" s="42" t="str">
        <f>IF(AK9&gt;1,"Team 2","")</f>
        <v>Team 2</v>
      </c>
      <c r="AG25" s="48">
        <f>IF(AK9&lt;2,"",IF(AK8&lt;1,"",IF(B24=2,B30-D30,IF(D24=2,D30-B30,""))))</f>
        <v>3</v>
      </c>
      <c r="AH25" s="48" t="str">
        <f>IF(AK9&lt;2,"",IF(AK8&lt;2,"",IF(E24=2,E30-G30,IF(G24=2,G30-E30,""))))</f>
        <v/>
      </c>
      <c r="AI25" s="48">
        <f>IF(AK9&lt;2,"",IF(AK8&lt;3,"",IF(H24=2,H30-J30,IF(J24=2,J30-H30,""))))</f>
        <v>2</v>
      </c>
      <c r="AJ25" s="48" t="str">
        <f>IF(AK9&lt;2,"",IF(AK8&lt;4,"",IF(K24=2,K30-M30,IF(M24=2,M30-K30,""))))</f>
        <v/>
      </c>
      <c r="AK25" s="48" t="str">
        <f>IF(AK9&lt;2,"",IF(AK8&lt;5,"",IF(N24=2,N30-P30,IF(P24=2,P30-N30,""))))</f>
        <v/>
      </c>
      <c r="AL25" s="48">
        <f>IF(AK9&lt;2,"",IF(AK8&lt;6,"",IF(Q24=2,Q30-S30,IF(S24=2,S30-Q30,""))))</f>
        <v>-11</v>
      </c>
      <c r="AM25" s="48" t="str">
        <f>IF(AK9&lt;2,"",IF(AK8&lt;7,"",IF(T24=2,T30-V30,IF(V24=2,V30-T30,""))))</f>
        <v/>
      </c>
      <c r="AN25" s="48" t="str">
        <f>IF(AK9&lt;2,"",IF(AK8&lt;8,"",IF(W24=2,W30-Y30,IF(Y24=2,Y30-W30,""))))</f>
        <v/>
      </c>
      <c r="AO25" s="48" t="str">
        <f>IF(AK9&lt;2,"",IF(AK8&lt;9,"",IF(Z24=2,Z30-AB30,IF(AB24=2,AB30-Z30,""))))</f>
        <v/>
      </c>
      <c r="AP25" s="48" t="str">
        <f>IF(AK9&lt;2,"",IF(AK8&lt;10,"",IF(AC24=2,AC30-AE30,IF(AE24=2,AE30-AC30,""))))</f>
        <v/>
      </c>
      <c r="AQ25" s="44">
        <f>SUM(AG25:AP25)</f>
        <v>-6</v>
      </c>
    </row>
    <row r="26" spans="1:48" ht="15" x14ac:dyDescent="0.2">
      <c r="A26" s="3" t="str">
        <f>IF(AK7&gt;1,"Game 2","")</f>
        <v/>
      </c>
      <c r="B26" s="49">
        <v>21</v>
      </c>
      <c r="C26" s="50" t="s">
        <v>80</v>
      </c>
      <c r="D26" s="51">
        <v>24</v>
      </c>
      <c r="E26" s="49"/>
      <c r="F26" s="50" t="str">
        <f>IF(AK8&gt;1,IF(AK7&gt;1,"/",""),"")</f>
        <v/>
      </c>
      <c r="G26" s="51"/>
      <c r="H26" s="49">
        <v>18</v>
      </c>
      <c r="I26" s="50" t="str">
        <f>IF(AK8&gt;2,IF(AK7&gt;1,"/",""),"")</f>
        <v/>
      </c>
      <c r="J26" s="51">
        <v>26</v>
      </c>
      <c r="K26" s="49"/>
      <c r="L26" s="50" t="str">
        <f>IF(AK8&gt;3,IF(AK7&gt;1,"/",""),"")</f>
        <v/>
      </c>
      <c r="M26" s="51"/>
      <c r="N26" s="49"/>
      <c r="O26" s="50" t="str">
        <f>IF(AK8&gt;4,IF(AK7&gt;1,"/",""),"")</f>
        <v/>
      </c>
      <c r="P26" s="51"/>
      <c r="Q26" s="49"/>
      <c r="R26" s="50" t="str">
        <f>IF(AK8&gt;5,IF(AK7&gt;1,"/",""),"")</f>
        <v/>
      </c>
      <c r="S26" s="51"/>
      <c r="T26" s="49"/>
      <c r="U26" s="50" t="str">
        <f>IF(AK8&gt;6,IF(AK7&gt;1,"/",""),"")</f>
        <v/>
      </c>
      <c r="V26" s="51"/>
      <c r="W26" s="49"/>
      <c r="X26" s="50" t="str">
        <f>IF(AK8&gt;7,IF(AK7&gt;1,"/",""),"")</f>
        <v/>
      </c>
      <c r="Y26" s="51"/>
      <c r="Z26" s="49"/>
      <c r="AA26" s="50" t="str">
        <f>IF(AK8&gt;8,IF(AK7&gt;1,"/",""),"")</f>
        <v/>
      </c>
      <c r="AB26" s="51"/>
      <c r="AC26" s="49"/>
      <c r="AD26" s="50" t="str">
        <f>IF(AK8&gt;9,IF(AK7&gt;1,"/",""),"")</f>
        <v/>
      </c>
      <c r="AE26" s="51"/>
      <c r="AF26" s="42" t="str">
        <f>IF(AK9&gt;2,"Team 3","")</f>
        <v>Team 3</v>
      </c>
      <c r="AG26" s="48">
        <f>IF(AK9&lt;3,"",IF(AK8&lt;1,"",IF(B24=3,B30-D30,IF(D24=3,D30-B30,""))))</f>
        <v>-3</v>
      </c>
      <c r="AH26" s="48" t="str">
        <f>IF(AK9&lt;3,"",IF(AK8&lt;2,"",IF(E24=3,E30-G30,IF(G24=3,G30-E30,""))))</f>
        <v/>
      </c>
      <c r="AI26" s="48" t="str">
        <f>IF(AK9&lt;3,"",IF(AK8&lt;3,"",IF(H24=3,H30-J30,IF(J24=3,J30-H30,""))))</f>
        <v/>
      </c>
      <c r="AJ26" s="48">
        <f>IF(AK9&lt;3,"",IF(AK8&lt;4,"",IF(K24=3,K30-M30,IF(M24=3,M30-K30,""))))</f>
        <v>-7</v>
      </c>
      <c r="AK26" s="48">
        <f>IF(AK9&lt;3,"",IF(AK8&lt;5,"",IF(N24=3,N30-P30,IF(P24=3,P30-N30,""))))</f>
        <v>1</v>
      </c>
      <c r="AL26" s="48" t="str">
        <f>IF(AK9&lt;3,"",IF(AK8&lt;6,"",IF(Q24=3,Q30-S30,IF(S24=3,S30-Q30,""))))</f>
        <v/>
      </c>
      <c r="AM26" s="48" t="str">
        <f>IF(AK9&lt;3,"",IF(AK8&lt;7,"",IF(T24=3,T30-V30,IF(V24=3,V30-T30,""))))</f>
        <v/>
      </c>
      <c r="AN26" s="48" t="str">
        <f>IF(AK9&lt;3,"",IF(AK8&lt;8,"",IF(W24=3,W30-Y30,IF(Y24=3,Y30-W30,""))))</f>
        <v/>
      </c>
      <c r="AO26" s="48" t="str">
        <f>IF(AK9&lt;3,"",IF(AK8&lt;9,"",IF(Z24=3,Z30-AB30,IF(AB24=3,AB30-Z30,""))))</f>
        <v/>
      </c>
      <c r="AP26" s="48" t="str">
        <f>IF(AK9&lt;3,"",IF(AK8&lt;9,"",IF(AC24=3,AC30-AE30,IF(AE24=3,AE30-AC30,""))))</f>
        <v/>
      </c>
      <c r="AQ26" s="44">
        <f>SUM(AG26:AP26)</f>
        <v>-9</v>
      </c>
      <c r="AT26" s="6"/>
      <c r="AU26" s="6"/>
      <c r="AV26" s="6"/>
    </row>
    <row r="27" spans="1:48" ht="15" x14ac:dyDescent="0.2">
      <c r="A27" s="3" t="str">
        <f>IF(AK7&gt;2,"Game 3","")</f>
        <v/>
      </c>
      <c r="B27" s="49"/>
      <c r="C27" s="50" t="s">
        <v>80</v>
      </c>
      <c r="D27" s="51"/>
      <c r="E27" s="49"/>
      <c r="F27" s="50" t="str">
        <f>IF(AK8&gt;1,IF(AK7&gt;2,"/",""),"")</f>
        <v/>
      </c>
      <c r="G27" s="51"/>
      <c r="H27" s="49"/>
      <c r="I27" s="50" t="str">
        <f>IF(AK8&gt;2,IF(AK7&gt;2,"/",""),"")</f>
        <v/>
      </c>
      <c r="J27" s="51"/>
      <c r="K27" s="49"/>
      <c r="L27" s="50" t="str">
        <f>IF(AK8&gt;3,IF(AK7&gt;2,"/",""),"")</f>
        <v/>
      </c>
      <c r="M27" s="51"/>
      <c r="N27" s="49"/>
      <c r="O27" s="50" t="str">
        <f>IF(AK8&gt;4,IF(AK7&gt;2,"/",""),"")</f>
        <v/>
      </c>
      <c r="P27" s="51"/>
      <c r="Q27" s="49"/>
      <c r="R27" s="50" t="str">
        <f>IF(AK8&gt;5,IF(AK7&gt;2,"/",""),"")</f>
        <v/>
      </c>
      <c r="S27" s="51"/>
      <c r="T27" s="49"/>
      <c r="U27" s="50" t="str">
        <f>IF(AK8&gt;6,IF(AK7&gt;2,"/",""),"")</f>
        <v/>
      </c>
      <c r="V27" s="51"/>
      <c r="W27" s="49"/>
      <c r="X27" s="50" t="str">
        <f>IF(AK8&gt;7,IF(AK7&gt;2,"/",""),"")</f>
        <v/>
      </c>
      <c r="Y27" s="51"/>
      <c r="Z27" s="49"/>
      <c r="AA27" s="50" t="str">
        <f>IF(AK8&gt;8,IF(AK7&gt;2,"/",""),"")</f>
        <v/>
      </c>
      <c r="AB27" s="51"/>
      <c r="AC27" s="49"/>
      <c r="AD27" s="50" t="str">
        <f>IF(AK8&gt;9,IF(AK7&gt;2,"/",""),"")</f>
        <v/>
      </c>
      <c r="AE27" s="51"/>
      <c r="AF27" s="42" t="str">
        <f>IF(AK9&gt;3,"Team 4","")</f>
        <v>Team 4</v>
      </c>
      <c r="AG27" s="48" t="str">
        <f>IF(AK9&lt;4,"",IF(AK8&lt;1,"",IF(B24=4,B30-D30,IF(D24=4,D30-B30,""))))</f>
        <v/>
      </c>
      <c r="AH27" s="48">
        <f>IF(AK9&lt;4,"",IF(AK8&lt;2,"",IF(E24=4,E30-G30,IF(G24=4,G30-E30,""))))</f>
        <v>-13</v>
      </c>
      <c r="AI27" s="48">
        <f>IF(AK9&lt;4,"",IF(AK8&lt;3,"",IF(H24=4,H30-J30,IF(J24=4,J30-H30,""))))</f>
        <v>-2</v>
      </c>
      <c r="AJ27" s="48" t="str">
        <f>IF(AK9&lt;4,"",IF(AK8&lt;4,"",IF(K24=4,K30-M30,IF(M24=4,M30-K30,""))))</f>
        <v/>
      </c>
      <c r="AK27" s="48">
        <f>IF(AK9&lt;4,"",IF(AK8&lt;5,"",IF(N24=4,N30-P30,IF(P24=4,P30-N30,""))))</f>
        <v>-1</v>
      </c>
      <c r="AL27" s="48" t="str">
        <f>IF(AK9&lt;4,"",IF(AK8&lt;6,"",IF(Q24=4,Q30-S30,IF(S24=4,S30-Q30,""))))</f>
        <v/>
      </c>
      <c r="AM27" s="48" t="str">
        <f>IF(AK9&lt;4,"",IF(AK8&lt;7,"",IF(T24=4,T30-V30,IF(V24=4,V30-T30,""))))</f>
        <v/>
      </c>
      <c r="AN27" s="48" t="str">
        <f>IF(AK9&lt;4,"",IF(AK8&lt;8,"",IF(W24=4,W30-Y30,IF(Y24=4,Y30-W30,""))))</f>
        <v/>
      </c>
      <c r="AO27" s="48" t="str">
        <f>IF(AK9&lt;4,"",IF(AK8&lt;9,"",IF(Z24=4,Z30-AB30,IF(AB24=4,AB30-Z30,""))))</f>
        <v/>
      </c>
      <c r="AP27" s="48" t="str">
        <f>IF(AK9&lt;4,"",IF(AK8&lt;10,"",IF(AC24=4,AC30-AE30,IF(AE24=4,AE30-AC30,""))))</f>
        <v/>
      </c>
      <c r="AQ27" s="44">
        <f>SUM(AG27:AP27)</f>
        <v>-16</v>
      </c>
      <c r="AT27" s="6"/>
      <c r="AU27" s="6"/>
      <c r="AV27" s="6"/>
    </row>
    <row r="28" spans="1:48" ht="15" x14ac:dyDescent="0.2">
      <c r="A28" s="3" t="str">
        <f>IF(AK7&gt;3,"Game 4","")</f>
        <v/>
      </c>
      <c r="B28" s="49"/>
      <c r="C28" s="50" t="s">
        <v>80</v>
      </c>
      <c r="D28" s="51"/>
      <c r="E28" s="49"/>
      <c r="F28" s="50" t="str">
        <f>IF(AK8&gt;1,IF(AK7&gt;3,"/",""),"")</f>
        <v/>
      </c>
      <c r="G28" s="51"/>
      <c r="H28" s="49"/>
      <c r="I28" s="50" t="str">
        <f>IF(AK8&gt;2,IF(AK7&gt;3,"/",""),"")</f>
        <v/>
      </c>
      <c r="J28" s="51"/>
      <c r="K28" s="49"/>
      <c r="L28" s="50" t="str">
        <f>IF(AK8&gt;3,IF(AK7&gt;3,"/",""),"")</f>
        <v/>
      </c>
      <c r="M28" s="51"/>
      <c r="N28" s="49"/>
      <c r="O28" s="50" t="str">
        <f>IF(AK8&gt;4,IF(AK7&gt;3,"/",""),"")</f>
        <v/>
      </c>
      <c r="P28" s="51"/>
      <c r="Q28" s="49"/>
      <c r="R28" s="50" t="str">
        <f>IF(AK8&gt;5,IF(AK7&gt;3,"/",""),"")</f>
        <v/>
      </c>
      <c r="S28" s="51"/>
      <c r="T28" s="49"/>
      <c r="U28" s="50" t="str">
        <f>IF(AK8&gt;6,IF(AK7&gt;3,"/",""),"")</f>
        <v/>
      </c>
      <c r="V28" s="51"/>
      <c r="W28" s="49"/>
      <c r="X28" s="50" t="str">
        <f>IF(AK8&gt;7,IF(AK7&gt;3,"/",""),"")</f>
        <v/>
      </c>
      <c r="Y28" s="51"/>
      <c r="Z28" s="49"/>
      <c r="AA28" s="50" t="str">
        <f>IF(AK8&gt;8,IF(AK7&gt;3,"/",""),"")</f>
        <v/>
      </c>
      <c r="AB28" s="51"/>
      <c r="AC28" s="49"/>
      <c r="AD28" s="50" t="str">
        <f>IF(AK8&gt;9,IF(AK7&gt;3,"/",""),"")</f>
        <v/>
      </c>
      <c r="AE28" s="51"/>
      <c r="AF28" s="42" t="str">
        <f>IF(AK9&gt;4,"Team 5","")</f>
        <v/>
      </c>
      <c r="AG28" s="52" t="str">
        <f>IF(AK9&lt;5,"",IF(AK8&lt;1,"",IF(B24=5,B30-D30,IF(D24=5,D30-B30,""))))</f>
        <v/>
      </c>
      <c r="AH28" s="48" t="str">
        <f>IF(AK9&lt;5,"",IF(AK8&lt;2,"",IF(E24=5,E30-G30,IF(G24=5,G30-E30,""))))</f>
        <v/>
      </c>
      <c r="AI28" s="48" t="str">
        <f>IF(AK9&lt;5,"",IF(AK8&lt;3,"",IF(H24=5,H30-J30,IF(J24=5,J30-H30,""))))</f>
        <v/>
      </c>
      <c r="AJ28" s="48" t="str">
        <f>IF(AK9&lt;5,"",IF(AK8&lt;4,"",IF(K24=5,K30-M30,IF(M24=5,M30-K30,""))))</f>
        <v/>
      </c>
      <c r="AK28" s="48" t="str">
        <f>IF(AK9&lt;5,"",IF(AK8&lt;5,"",IF(N24=5,N30-P30,IF(P24=5,P30-N30,""))))</f>
        <v/>
      </c>
      <c r="AL28" s="48" t="str">
        <f>IF(AK9&lt;5,"",IF(AK8&lt;6,"",IF(Q24=5,Q30-S30,IF(S24=5,S30-Q30,""))))</f>
        <v/>
      </c>
      <c r="AM28" s="48" t="str">
        <f>IF(AK9&lt;5,"",IF(AK8&lt;7,"",IF(T24=5,T30-V30,IF(V24=5,V30-T30,""))))</f>
        <v/>
      </c>
      <c r="AN28" s="48" t="str">
        <f>IF(AK9&lt;5,"",IF(AK8&lt;8,"",IF(W24=5,W30-Y30,IF(Y24=5,Y30-W30,""))))</f>
        <v/>
      </c>
      <c r="AO28" s="48" t="str">
        <f>IF(AK9&lt;5,"",IF(AK8&lt;9,"",IF(Z24=5,Z30-AB30,IF(AB24=5,AB30-Z30,""))))</f>
        <v/>
      </c>
      <c r="AP28" s="48" t="str">
        <f>IF(AK9&lt;5,"",IF(AK8&lt;10,"",IF(AC24=5,AC30-AE30,IF(AE24=5,AE30-AC30,""))))</f>
        <v/>
      </c>
      <c r="AQ28" s="44">
        <f>SUM(AG28:AP28)</f>
        <v>0</v>
      </c>
      <c r="AT28" s="6"/>
      <c r="AU28" s="6"/>
      <c r="AV28" s="6"/>
    </row>
    <row r="29" spans="1:48" ht="15" x14ac:dyDescent="0.2">
      <c r="A29" s="3" t="str">
        <f>IF(AK7&gt;4,"Game 5","")</f>
        <v/>
      </c>
      <c r="B29" s="49"/>
      <c r="C29" s="50" t="s">
        <v>80</v>
      </c>
      <c r="D29" s="51"/>
      <c r="E29" s="49"/>
      <c r="F29" s="50" t="str">
        <f>IF(AK8&gt;1,IF(AK7&gt;4,"/",""),"")</f>
        <v/>
      </c>
      <c r="G29" s="51"/>
      <c r="H29" s="49"/>
      <c r="I29" s="50" t="str">
        <f>IF(AK8&gt;2,IF(AK7&gt;4,"/",""),"")</f>
        <v/>
      </c>
      <c r="J29" s="51"/>
      <c r="K29" s="49"/>
      <c r="L29" s="50" t="str">
        <f>IF(AK8&gt;3,IF(AK7&gt;4,"/",""),"")</f>
        <v/>
      </c>
      <c r="M29" s="51"/>
      <c r="N29" s="49"/>
      <c r="O29" s="50" t="str">
        <f>IF(AK8&gt;4,IF(AK7&gt;4,"/",""),"")</f>
        <v/>
      </c>
      <c r="P29" s="51"/>
      <c r="Q29" s="49"/>
      <c r="R29" s="50" t="str">
        <f>IF(AK8&gt;5,IF(AK7&gt;4,"/",""),"")</f>
        <v/>
      </c>
      <c r="S29" s="51"/>
      <c r="T29" s="49"/>
      <c r="U29" s="50" t="str">
        <f>IF(AK8&gt;6,IF(AK7&gt;4,"/",""),"")</f>
        <v/>
      </c>
      <c r="V29" s="51"/>
      <c r="W29" s="49"/>
      <c r="X29" s="50" t="str">
        <f>IF(AK8&gt;7,IF(AK7&gt;4,"/",""),"")</f>
        <v/>
      </c>
      <c r="Y29" s="51"/>
      <c r="Z29" s="49"/>
      <c r="AA29" s="50" t="str">
        <f>IF(AK8&gt;8,IF(AK7&gt;4,"/",""),"")</f>
        <v/>
      </c>
      <c r="AB29" s="51"/>
      <c r="AC29" s="49"/>
      <c r="AD29" s="50" t="str">
        <f>IF(AK8&gt;9,IF(AK7&gt;4,"/",""),"")</f>
        <v/>
      </c>
      <c r="AE29" s="51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T29" s="6"/>
      <c r="AU29" s="6"/>
      <c r="AV29" s="6"/>
    </row>
    <row r="30" spans="1:48" hidden="1" x14ac:dyDescent="0.2">
      <c r="A30" s="53"/>
      <c r="B30" s="53">
        <f>IF($AK7=5,SUM(B25:B29),IF($AK7=4,SUM(B25:B28),IF($AK7=3,SUM(B25:B27),IF($AK7=2,SUM(B25:B26),B25))))</f>
        <v>27</v>
      </c>
      <c r="C30" s="53"/>
      <c r="D30" s="53">
        <f>IF($AK7=5,SUM(D25:D29),IF($AK7=4,SUM(D25:D28),IF($AK7=3,SUM(D25:D27),IF($AK7=2,SUM(D25:D26),D25))))</f>
        <v>24</v>
      </c>
      <c r="E30" s="53">
        <f>IF($AK7=5,SUM(E25:E29),IF($AK7=4,SUM(E25:E28),IF($AK7=3,SUM(E25:E27),IF($AK7=2,SUM(E25:E26),E25))))</f>
        <v>28</v>
      </c>
      <c r="F30" s="53"/>
      <c r="G30" s="53">
        <f>IF($AK7=5,SUM(G25:G29),IF($AK7=4,SUM(G25:G28),IF($AK7=3,SUM(G25:G27),IF($AK7=2,SUM(G25:G26),G25))))</f>
        <v>15</v>
      </c>
      <c r="H30" s="53">
        <f>IF($AK7=5,SUM(H25:H29),IF($AK7=4,SUM(H25:H28),IF($AK7=3,SUM(H25:H27),IF($AK7=2,SUM(H25:H26),H25))))</f>
        <v>24</v>
      </c>
      <c r="I30" s="53"/>
      <c r="J30" s="53">
        <f>IF($AK7=5,SUM(J25:J29),IF($AK7=4,SUM(J25:J28),IF($AK7=3,SUM(J25:J27),IF($AK7=2,SUM(J25:J26),J25))))</f>
        <v>22</v>
      </c>
      <c r="K30" s="53">
        <f>IF($AK7=5,SUM(K25:K29),IF($AK7=4,SUM(K25:K28),IF($AK7=3,SUM(K25:K27),IF($AK7=2,SUM(K25:K26),K25))))</f>
        <v>24</v>
      </c>
      <c r="L30" s="53"/>
      <c r="M30" s="53">
        <f>IF($AK7=5,SUM(M25:M29),IF($AK7=4,SUM(M25:M28),IF($AK7=3,SUM(M25:M27),IF($AK7=2,SUM(M25:M26),M25))))</f>
        <v>17</v>
      </c>
      <c r="N30" s="53">
        <f>IF($AK7=5,SUM(N25:N29),IF($AK7=4,SUM(N25:N28),IF($AK7=3,SUM(N25:N27),IF($AK7=2,SUM(N25:N26),N25))))</f>
        <v>24</v>
      </c>
      <c r="O30" s="53"/>
      <c r="P30" s="53">
        <f>IF($AK7=5,SUM(P25:P29),IF($AK7=4,SUM(P25:P28),IF($AK7=3,SUM(P25:P27),IF($AK7=2,SUM(P25:P26),P25))))</f>
        <v>23</v>
      </c>
      <c r="Q30" s="53">
        <f>IF($AK7=5,SUM(Q25:Q29),IF($AK7=4,SUM(Q25:Q28),IF($AK7=3,SUM(Q25:Q27),IF($AK7=2,SUM(Q25:Q26),Q25))))</f>
        <v>25</v>
      </c>
      <c r="R30" s="53"/>
      <c r="S30" s="53">
        <f>IF($AK7=5,SUM(S25:S29),IF($AK7=4,SUM(S25:S28),IF($AK7=3,SUM(S25:S27),IF($AK7=2,SUM(S25:S26),S25))))</f>
        <v>14</v>
      </c>
      <c r="T30" s="53">
        <f>IF($AK7=5,SUM(T25:T29),IF($AK7=4,SUM(T25:T28),IF($AK7=3,SUM(T25:T27),IF($AK7=2,SUM(T25:T26),T25))))</f>
        <v>0</v>
      </c>
      <c r="U30" s="53"/>
      <c r="V30" s="53">
        <f>IF($AK7=5,SUM(V25:V29),IF($AK7=4,SUM(V25:V28),IF($AK7=3,SUM(V25:V27),IF($AK7=2,SUM(V25:V26),V25))))</f>
        <v>0</v>
      </c>
      <c r="W30" s="53">
        <f>IF($AK7=5,SUM(W25:W29),IF($AK7=4,SUM(W25:W28),IF($AK7=3,SUM(W25:W27),IF($AK7=2,SUM(W25:W26),W25))))</f>
        <v>0</v>
      </c>
      <c r="X30" s="53"/>
      <c r="Y30" s="53">
        <f>IF($AK7=5,SUM(Y25:Y29),IF($AK7=4,SUM(Y25:Y28),IF($AK7=3,SUM(Y25:Y27),IF($AK7=2,SUM(Y25:Y26),Y25))))</f>
        <v>0</v>
      </c>
      <c r="Z30" s="53">
        <f>IF($AK7=5,SUM(Z25:Z29),IF($AK7=4,SUM(Z25:Z28),IF($AK7=3,SUM(Z25:Z27),IF($AK7=2,SUM(Z25:Z26),Z25))))</f>
        <v>0</v>
      </c>
      <c r="AA30" s="53"/>
      <c r="AB30" s="53">
        <f>IF($AK7=5,SUM(AB25:AB29),IF($AK7=4,SUM(AB25:AB28),IF($AK7=3,SUM(AB25:AB27),IF($AK7=2,SUM(AB25:AB26),AB25))))</f>
        <v>0</v>
      </c>
      <c r="AC30" s="53">
        <f>IF($AK7=5,SUM(AC25:AC29),IF($AK7=4,SUM(AC25:AC28),IF($AK7=3,SUM(AC25:AC27),IF($AK7=2,SUM(AC25:AC26),AC25))))</f>
        <v>0</v>
      </c>
      <c r="AD30" s="53"/>
      <c r="AE30" s="53">
        <f>IF($AK7=5,SUM(AE25:AE29),IF($AK7=4,SUM(AE25:AE28),IF($AK7=3,SUM(AE25:AE27),IF($AK7=2,SUM(AE25:AE26),AE25))))</f>
        <v>0</v>
      </c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T30" s="84"/>
      <c r="AU30" s="84"/>
      <c r="AV30" s="84"/>
    </row>
    <row r="31" spans="1:48" s="55" customFormat="1" ht="12.75" hidden="1" customHeight="1" x14ac:dyDescent="0.2">
      <c r="A31" s="55" t="s">
        <v>81</v>
      </c>
      <c r="B31" s="56">
        <f>IF(AND(B25&gt;D25,$AK8&gt;0,ISNUMBER(B25),ISNUMBER(D25)),1,0)</f>
        <v>1</v>
      </c>
      <c r="C31" s="56"/>
      <c r="D31" s="57">
        <f>IF(AND(D25&gt;B25,$AK8&gt;0,ISNUMBER(B25),ISNUMBER(D25)),1,0)</f>
        <v>0</v>
      </c>
      <c r="E31" s="56">
        <f>IF(AND(E25&gt;G25,$AK8&gt;1,ISNUMBER(E25),ISNUMBER(G25)),1,0)</f>
        <v>1</v>
      </c>
      <c r="F31" s="56"/>
      <c r="G31" s="57">
        <f>IF(AND(G25&gt;E25,$AK8&gt;1,ISNUMBER(E25),ISNUMBER(G25)),1,0)</f>
        <v>0</v>
      </c>
      <c r="H31" s="56">
        <f>IF(AND(H25&gt;J25,$AK8&gt;2,ISNUMBER(H25),ISNUMBER(J25)),1,0)</f>
        <v>1</v>
      </c>
      <c r="I31" s="56"/>
      <c r="J31" s="57">
        <f>IF(AND(J25&gt;H25,$AK8&gt;2,ISNUMBER(H25),ISNUMBER(J25)),1,0)</f>
        <v>0</v>
      </c>
      <c r="K31" s="56">
        <f>IF(AND(K25&gt;M25,$AK8&gt;3,ISNUMBER(K25),ISNUMBER(M25)),1,0)</f>
        <v>1</v>
      </c>
      <c r="L31" s="56"/>
      <c r="M31" s="57">
        <f>IF(AND(M25&gt;K25,$AK8&gt;3,ISNUMBER(K25),ISNUMBER(M25)),1,0)</f>
        <v>0</v>
      </c>
      <c r="N31" s="56">
        <f>IF(AND(N25&gt;P25,$AK8&gt;4,ISNUMBER(N25),ISNUMBER(P25)),1,0)</f>
        <v>1</v>
      </c>
      <c r="O31" s="56"/>
      <c r="P31" s="57">
        <f>IF(AND(P25&gt;N25,$AK8&gt;4,ISNUMBER(N25),ISNUMBER(P25)),1,0)</f>
        <v>0</v>
      </c>
      <c r="Q31" s="56">
        <f>IF(AND(Q25&gt;S25,$AK8&gt;5,ISNUMBER(Q25),ISNUMBER(S25)),1,0)</f>
        <v>1</v>
      </c>
      <c r="R31" s="56"/>
      <c r="S31" s="57">
        <f>IF(AND(S25&gt;Q25,$AK8&gt;5,ISNUMBER(Q25),ISNUMBER(S25)),1,0)</f>
        <v>0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0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0</v>
      </c>
      <c r="AD31" s="56"/>
      <c r="AE31" s="57">
        <f>IF(AND(AE25&gt;AC25,$AK8&gt;9,ISNUMBER(AC25),ISNUMBER(AE25)),1,0)</f>
        <v>0</v>
      </c>
    </row>
    <row r="32" spans="1:48" s="55" customFormat="1" ht="12.75" hidden="1" customHeight="1" x14ac:dyDescent="0.2">
      <c r="A32" s="55" t="s">
        <v>82</v>
      </c>
      <c r="B32" s="56">
        <f>IF(AND(B26&gt;D26,$AK8&gt;0,$AK7&gt;1,ISNUMBER(B26),ISNUMBER(D26)),1,0)</f>
        <v>0</v>
      </c>
      <c r="C32" s="56"/>
      <c r="D32" s="57">
        <f>IF(AND(D26&gt;B26,$AK8&gt;0,$AK7&gt;1,ISNUMBER(B26),ISNUMBER(D26)),1,0)</f>
        <v>0</v>
      </c>
      <c r="E32" s="56">
        <f>IF(AND(E26&gt;G26,$AK8&gt;1,$AK7&gt;1,ISNUMBER(E26),ISNUMBER(G26)),1,0)</f>
        <v>0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0</v>
      </c>
      <c r="I32" s="56"/>
      <c r="J32" s="57">
        <f>IF(AND(J26&gt;H26,$AK8&gt;2,$AK7&gt;1,ISNUMBER(H26),ISNUMBER(J26)),1,0)</f>
        <v>0</v>
      </c>
      <c r="K32" s="56">
        <f>IF(AND(K26&gt;M26,$AK8&gt;3,$AK7&gt;1,ISNUMBER(K26),ISNUMBER(M26)),1,0)</f>
        <v>0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0</v>
      </c>
      <c r="Q32" s="56">
        <f>IF(AND(Q26&gt;S26,$AK8&gt;5,$AK7&gt;1,ISNUMBER(Q26),ISNUMBER(S26)),1,0)</f>
        <v>0</v>
      </c>
      <c r="R32" s="56"/>
      <c r="S32" s="57">
        <f>IF(AND(S26&gt;Q26,$AK8&gt;5,$AK7&gt;1,ISNUMBER(Q26),ISNUMBER(S26)),1,0)</f>
        <v>0</v>
      </c>
      <c r="T32" s="56">
        <f>IF(AND(T26&gt;V26,$AK8&gt;6,$AK7&gt;1,ISNUMBER(T26),ISNUMBER(V26)),1,0)</f>
        <v>0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0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0</v>
      </c>
    </row>
    <row r="33" spans="1:33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</row>
    <row r="34" spans="1:33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</row>
    <row r="35" spans="1:33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</row>
    <row r="36" spans="1:33" s="55" customFormat="1" ht="38.25" hidden="1" customHeight="1" x14ac:dyDescent="0.2">
      <c r="A36" s="59" t="s">
        <v>86</v>
      </c>
      <c r="B36" s="55">
        <f>SUM(B31:B35)</f>
        <v>1</v>
      </c>
      <c r="D36" s="60">
        <f>SUM(D31:D35)</f>
        <v>0</v>
      </c>
      <c r="E36" s="55">
        <f>SUM(E31:E35)</f>
        <v>1</v>
      </c>
      <c r="G36" s="60">
        <f>SUM(G31:G35)</f>
        <v>0</v>
      </c>
      <c r="H36" s="55">
        <f>SUM(H31:H35)</f>
        <v>1</v>
      </c>
      <c r="J36" s="60">
        <f>SUM(J31:J35)</f>
        <v>0</v>
      </c>
      <c r="K36" s="55">
        <f>SUM(K31:K35)</f>
        <v>1</v>
      </c>
      <c r="M36" s="60">
        <f>SUM(M31:M35)</f>
        <v>0</v>
      </c>
      <c r="N36" s="55">
        <f>SUM(N31:N35)</f>
        <v>1</v>
      </c>
      <c r="P36" s="60">
        <f>SUM(P31:P35)</f>
        <v>0</v>
      </c>
      <c r="Q36" s="55">
        <f>SUM(Q31:Q35)</f>
        <v>1</v>
      </c>
      <c r="S36" s="60">
        <f>SUM(S31:S35)</f>
        <v>0</v>
      </c>
      <c r="T36" s="55">
        <f>SUM(T31:T35)</f>
        <v>0</v>
      </c>
      <c r="V36" s="60">
        <f>SUM(V31:V35)</f>
        <v>0</v>
      </c>
      <c r="W36" s="55">
        <f>SUM(W31:W35)</f>
        <v>0</v>
      </c>
      <c r="Y36" s="60">
        <f>SUM(Y31:Y35)</f>
        <v>0</v>
      </c>
      <c r="Z36" s="55">
        <f>SUM(Z31:Z35)</f>
        <v>0</v>
      </c>
      <c r="AB36" s="60">
        <f>SUM(AB31:AB35)</f>
        <v>0</v>
      </c>
      <c r="AC36" s="55">
        <f>SUM(AC31:AC35)</f>
        <v>0</v>
      </c>
      <c r="AE36" s="60">
        <f>SUM(AE31:AE35)</f>
        <v>0</v>
      </c>
    </row>
    <row r="37" spans="1:33" s="55" customFormat="1" ht="25.5" hidden="1" customHeight="1" x14ac:dyDescent="0.2">
      <c r="A37" s="59" t="s">
        <v>87</v>
      </c>
      <c r="B37" s="55">
        <f>IF(B36&gt;D36,IF(C71=AK7,1,IF(C71=AK7-1,1,0)),0)</f>
        <v>1</v>
      </c>
      <c r="C37" s="55">
        <f>B37+D37</f>
        <v>1</v>
      </c>
      <c r="D37" s="60">
        <f>IF(D36&gt;B36,IF(C71=AK7,1,IF(C71=AK7-1,1,0)),0)</f>
        <v>0</v>
      </c>
      <c r="E37" s="55">
        <f>IF(E36&gt;G36,IF(F71=AK7,1,IF(F71=AK7-1,1,0)),0)</f>
        <v>1</v>
      </c>
      <c r="F37" s="55">
        <f>E37+G37</f>
        <v>1</v>
      </c>
      <c r="G37" s="60">
        <f>IF(G36&gt;E36,IF(F71=AK7,1,IF(F71=AK7-1,1,0)),0)</f>
        <v>0</v>
      </c>
      <c r="H37" s="55">
        <f>IF(H36&gt;J36,IF(I71=AK7,1,IF(I71=AK7-1,1,0)),0)</f>
        <v>1</v>
      </c>
      <c r="I37" s="55">
        <f>H37+J37</f>
        <v>1</v>
      </c>
      <c r="J37" s="60">
        <f>IF(J36&gt;H36,IF(I71=AK7,1,IF(I71=AK7-1,1,0)),0)</f>
        <v>0</v>
      </c>
      <c r="K37" s="55">
        <f>IF(K36&gt;M36,IF(L71=AK7,1,IF(L71=AK7-1,1,0)),0)</f>
        <v>1</v>
      </c>
      <c r="L37" s="55">
        <f>K37+M37</f>
        <v>1</v>
      </c>
      <c r="M37" s="60">
        <f>IF(M36&gt;K36,IF(L71=AK7,1,IF(L71=AK7-1,1,0)),0)</f>
        <v>0</v>
      </c>
      <c r="N37" s="55">
        <f>IF(N36&gt;P36,IF(O71=AK7,1,IF(O71=AK7-1,1,0)),0)</f>
        <v>1</v>
      </c>
      <c r="O37" s="55">
        <f>N37+P37</f>
        <v>1</v>
      </c>
      <c r="P37" s="60">
        <f>IF(P36&gt;N36,IF(O71=AK7,1,IF(O71=AK7-1,1,0)),0)</f>
        <v>0</v>
      </c>
      <c r="Q37" s="55">
        <f>IF(Q36&gt;S36,IF(R71=AK7,1,IF(R71=AK7-1,1,0)),0)</f>
        <v>1</v>
      </c>
      <c r="R37" s="55">
        <f>Q37+S37</f>
        <v>1</v>
      </c>
      <c r="S37" s="60">
        <f>IF(S36&gt;Q36,IF(R71=AK7,1,IF(R71=AK7-1,1,0)),0)</f>
        <v>0</v>
      </c>
      <c r="T37" s="55">
        <f>IF(T36&gt;V36,IF(U71=AK7,1,IF(U71=AK7-1,1,0)),0)</f>
        <v>0</v>
      </c>
      <c r="U37" s="55">
        <f>T37+V37</f>
        <v>0</v>
      </c>
      <c r="V37" s="60">
        <f>IF(V36&gt;T36,IF(U71=AK7,1,IF(U71=AK7-1,1,0)),0)</f>
        <v>0</v>
      </c>
      <c r="W37" s="55">
        <f>IF(W36&gt;Y36,IF(X71=AK7,1,IF(X71=AK7-1,1,0)),0)</f>
        <v>0</v>
      </c>
      <c r="X37" s="55">
        <f>W37+Y37</f>
        <v>0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0</v>
      </c>
      <c r="AB37" s="60">
        <f>IF(AB36&gt;Z36,IF(AA71=AK7,1,IF(AA71=AK7-1,1,0)),0)</f>
        <v>0</v>
      </c>
      <c r="AC37" s="55">
        <f>IF(AC36&gt;AE36,IF(AD71=AK7,1,IF(AD71=AK7-1,1,0)),0)</f>
        <v>0</v>
      </c>
      <c r="AD37" s="55">
        <f>AC37+AE37</f>
        <v>0</v>
      </c>
      <c r="AE37" s="60">
        <f>IF(AE36&gt;AC36,IF(AD71=AK7,1,IF(AD71=AK7-1,1,0)),0)</f>
        <v>0</v>
      </c>
    </row>
    <row r="38" spans="1:33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</row>
    <row r="39" spans="1:33" s="55" customFormat="1" ht="12.75" hidden="1" customHeight="1" x14ac:dyDescent="0.2">
      <c r="A39" s="55" t="s">
        <v>88</v>
      </c>
      <c r="B39" s="55">
        <f>IF(B31=1,B25,0)</f>
        <v>27</v>
      </c>
      <c r="D39" s="60">
        <f t="shared" ref="D39:E43" si="2">IF(D31=1,D25,0)</f>
        <v>0</v>
      </c>
      <c r="E39" s="55">
        <f t="shared" si="2"/>
        <v>28</v>
      </c>
      <c r="G39" s="60">
        <f t="shared" ref="G39:H43" si="3">IF(G31=1,G25,0)</f>
        <v>0</v>
      </c>
      <c r="H39" s="55">
        <f t="shared" si="3"/>
        <v>24</v>
      </c>
      <c r="J39" s="60">
        <f t="shared" ref="J39:K43" si="4">IF(J31=1,J25,0)</f>
        <v>0</v>
      </c>
      <c r="K39" s="55">
        <f t="shared" si="4"/>
        <v>24</v>
      </c>
      <c r="M39" s="60">
        <f t="shared" ref="M39:N43" si="5">IF(M31=1,M25,0)</f>
        <v>0</v>
      </c>
      <c r="N39" s="55">
        <f t="shared" si="5"/>
        <v>24</v>
      </c>
      <c r="P39" s="60">
        <f t="shared" ref="P39:Q43" si="6">IF(P31=1,P25,0)</f>
        <v>0</v>
      </c>
      <c r="Q39" s="55">
        <f t="shared" si="6"/>
        <v>25</v>
      </c>
      <c r="S39" s="60">
        <f t="shared" ref="S39:T43" si="7">IF(S31=1,S25,0)</f>
        <v>0</v>
      </c>
      <c r="T39" s="55">
        <f t="shared" si="7"/>
        <v>0</v>
      </c>
      <c r="V39" s="60">
        <f t="shared" ref="V39:W43" si="8">IF(V31=1,V25,0)</f>
        <v>0</v>
      </c>
      <c r="W39" s="55">
        <f t="shared" si="8"/>
        <v>0</v>
      </c>
      <c r="Y39" s="60">
        <f t="shared" ref="Y39:Z43" si="9">IF(Y31=1,Y25,0)</f>
        <v>0</v>
      </c>
      <c r="Z39" s="55">
        <f t="shared" si="9"/>
        <v>0</v>
      </c>
      <c r="AB39" s="60">
        <f t="shared" ref="AB39:AC43" si="10">IF(AB31=1,AB25,0)</f>
        <v>0</v>
      </c>
      <c r="AC39" s="55">
        <f t="shared" si="10"/>
        <v>0</v>
      </c>
      <c r="AE39" s="60">
        <f>IF(AE31=1,AE25,0)</f>
        <v>0</v>
      </c>
    </row>
    <row r="40" spans="1:33" s="55" customFormat="1" ht="12.75" hidden="1" customHeight="1" x14ac:dyDescent="0.2">
      <c r="A40" s="55" t="s">
        <v>89</v>
      </c>
      <c r="B40" s="55">
        <f>IF(B32=1,B26,0)</f>
        <v>0</v>
      </c>
      <c r="D40" s="60">
        <f t="shared" si="2"/>
        <v>0</v>
      </c>
      <c r="E40" s="55">
        <f t="shared" si="2"/>
        <v>0</v>
      </c>
      <c r="G40" s="60">
        <f t="shared" si="3"/>
        <v>0</v>
      </c>
      <c r="H40" s="55">
        <f t="shared" si="3"/>
        <v>0</v>
      </c>
      <c r="J40" s="60">
        <f t="shared" si="4"/>
        <v>0</v>
      </c>
      <c r="K40" s="55">
        <f t="shared" si="4"/>
        <v>0</v>
      </c>
      <c r="M40" s="60">
        <f t="shared" si="5"/>
        <v>0</v>
      </c>
      <c r="N40" s="55">
        <f t="shared" si="5"/>
        <v>0</v>
      </c>
      <c r="P40" s="60">
        <f t="shared" si="6"/>
        <v>0</v>
      </c>
      <c r="Q40" s="55">
        <f t="shared" si="6"/>
        <v>0</v>
      </c>
      <c r="S40" s="60">
        <f t="shared" si="7"/>
        <v>0</v>
      </c>
      <c r="T40" s="55">
        <f t="shared" si="7"/>
        <v>0</v>
      </c>
      <c r="V40" s="60">
        <f t="shared" si="8"/>
        <v>0</v>
      </c>
      <c r="W40" s="55">
        <f t="shared" si="8"/>
        <v>0</v>
      </c>
      <c r="Y40" s="60">
        <f t="shared" si="9"/>
        <v>0</v>
      </c>
      <c r="Z40" s="55">
        <f t="shared" si="9"/>
        <v>0</v>
      </c>
      <c r="AB40" s="60">
        <f t="shared" si="10"/>
        <v>0</v>
      </c>
      <c r="AC40" s="55">
        <f t="shared" si="10"/>
        <v>0</v>
      </c>
      <c r="AE40" s="60">
        <f>IF(AE32=1,AE26,0)</f>
        <v>0</v>
      </c>
    </row>
    <row r="41" spans="1:33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</row>
    <row r="42" spans="1:33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</row>
    <row r="43" spans="1:33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</row>
    <row r="44" spans="1:33" s="55" customFormat="1" ht="38.25" hidden="1" customHeight="1" x14ac:dyDescent="0.2">
      <c r="A44" s="59" t="s">
        <v>93</v>
      </c>
      <c r="B44" s="55">
        <f>SUM(B39:D43)</f>
        <v>27</v>
      </c>
      <c r="D44" s="60"/>
      <c r="E44" s="55">
        <f>SUM(E39:G43)</f>
        <v>28</v>
      </c>
      <c r="G44" s="60"/>
      <c r="H44" s="55">
        <f>SUM(H39:J43)</f>
        <v>24</v>
      </c>
      <c r="J44" s="60"/>
      <c r="K44" s="55">
        <f>SUM(K39:M43)</f>
        <v>24</v>
      </c>
      <c r="M44" s="60"/>
      <c r="N44" s="55">
        <f>SUM(N39:P43)</f>
        <v>24</v>
      </c>
      <c r="P44" s="60"/>
      <c r="Q44" s="55">
        <f>SUM(Q39:S43)</f>
        <v>25</v>
      </c>
      <c r="S44" s="60"/>
      <c r="T44" s="55">
        <f>SUM(T39:V43)</f>
        <v>0</v>
      </c>
      <c r="V44" s="60"/>
      <c r="W44" s="55">
        <f>SUM(W39:Y43)</f>
        <v>0</v>
      </c>
      <c r="Y44" s="60"/>
      <c r="Z44" s="55">
        <f>SUM(Z39:AB43)</f>
        <v>0</v>
      </c>
      <c r="AB44" s="60"/>
      <c r="AC44" s="55">
        <f>SUM(AC39:AE43)</f>
        <v>0</v>
      </c>
      <c r="AE44" s="60"/>
    </row>
    <row r="45" spans="1:33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</row>
    <row r="46" spans="1:33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1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1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1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0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3</v>
      </c>
      <c r="AG46" s="55">
        <f>AF52-AF46</f>
        <v>0</v>
      </c>
    </row>
    <row r="47" spans="1:33" s="55" customFormat="1" ht="12.75" hidden="1" customHeight="1" x14ac:dyDescent="0.2">
      <c r="A47" s="55" t="s">
        <v>98</v>
      </c>
      <c r="B47" s="55">
        <f>IF(B24=2,IF(B37=1,1,0),0)</f>
        <v>1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1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2</v>
      </c>
      <c r="AG47" s="55">
        <f>AF53-AF47</f>
        <v>1</v>
      </c>
    </row>
    <row r="48" spans="1:33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1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1</v>
      </c>
      <c r="AG48" s="55">
        <f>AF54-AF48</f>
        <v>2</v>
      </c>
    </row>
    <row r="49" spans="1:37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0</v>
      </c>
      <c r="AG49" s="55">
        <f>AF55-AF49</f>
        <v>3</v>
      </c>
    </row>
    <row r="50" spans="1:37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0</v>
      </c>
      <c r="AG50" s="55">
        <f>AF56-AF50</f>
        <v>0</v>
      </c>
    </row>
    <row r="51" spans="1:37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</row>
    <row r="52" spans="1:37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1</v>
      </c>
      <c r="M52" s="60">
        <f>IF(M24=1,IF(L37=1,1,0),0)</f>
        <v>0</v>
      </c>
      <c r="N52" s="55">
        <f>IF(N24=1,IF(O37=1,1,0),0)</f>
        <v>0</v>
      </c>
      <c r="P52" s="60">
        <f>IF(P24=1,IF(O37=1,1,0),0)</f>
        <v>0</v>
      </c>
      <c r="Q52" s="55">
        <f>IF(Q24=1,IF(R37=1,1,0),0)</f>
        <v>1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0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0</v>
      </c>
      <c r="AE52" s="60">
        <f>IF(AE24=1,IF(AD37=1,1,0),0)</f>
        <v>0</v>
      </c>
      <c r="AF52" s="55">
        <f>SUM(B52:AE52)</f>
        <v>3</v>
      </c>
    </row>
    <row r="53" spans="1:37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1</v>
      </c>
      <c r="J53" s="60">
        <f>IF(J24=2,IF(I37=1,1,0),0)</f>
        <v>0</v>
      </c>
      <c r="K53" s="55">
        <f>IF(K24=2,IF(L37=1,1,0),0)</f>
        <v>0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1</v>
      </c>
      <c r="T53" s="55">
        <f>IF(T24=2,IF(U37=1,1,0),0)</f>
        <v>0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0</v>
      </c>
      <c r="AF53" s="55">
        <f>SUM(B53:AE53)</f>
        <v>3</v>
      </c>
    </row>
    <row r="54" spans="1:37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1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0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1</v>
      </c>
      <c r="N54" s="55">
        <f>IF(N24=3,IF(O37=1,1,0),0)</f>
        <v>1</v>
      </c>
      <c r="P54" s="60">
        <f>IF(P24=3,IF(O37=1,1,0),0)</f>
        <v>0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0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0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3</v>
      </c>
    </row>
    <row r="55" spans="1:37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1</v>
      </c>
      <c r="K55" s="55">
        <f>IF(K24=4,IF(L37=1,1,0),0)</f>
        <v>0</v>
      </c>
      <c r="M55" s="60">
        <f>IF(M24=4,IF(L37=1,1,0),0)</f>
        <v>0</v>
      </c>
      <c r="N55" s="55">
        <f>IF(N24=4,IF(O37=1,1,0),0)</f>
        <v>0</v>
      </c>
      <c r="P55" s="60">
        <f>IF(P24=4,IF(O37=1,1,0),0)</f>
        <v>1</v>
      </c>
      <c r="Q55" s="55">
        <f>IF(Q24=4,IF(R37=1,1,0),0)</f>
        <v>0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0</v>
      </c>
      <c r="AC55" s="55">
        <f>IF(AC24=4,IF(AD37=1,1,0),0)</f>
        <v>0</v>
      </c>
      <c r="AE55" s="60">
        <f>IF(AE24=4,IF(AD37=1,1,0),0)</f>
        <v>0</v>
      </c>
      <c r="AF55" s="55">
        <f>SUM(B55:AE55)</f>
        <v>3</v>
      </c>
    </row>
    <row r="56" spans="1:37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0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0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0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0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0</v>
      </c>
    </row>
    <row r="57" spans="1:37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</row>
    <row r="58" spans="1:37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28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24</v>
      </c>
      <c r="M58" s="60">
        <f>IF(M24=1,K44,0)</f>
        <v>0</v>
      </c>
      <c r="N58" s="55">
        <f>IF(N24=1,N44,0)</f>
        <v>0</v>
      </c>
      <c r="P58" s="60">
        <f>IF(P24=1,N44,0)</f>
        <v>0</v>
      </c>
      <c r="Q58" s="55">
        <f>IF(Q24=1,Q44,0)</f>
        <v>25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0</v>
      </c>
      <c r="AE58" s="60">
        <f>IF(AE24=1,AC44,0)</f>
        <v>0</v>
      </c>
      <c r="AF58" s="55">
        <f>SUM(B58:AE58)</f>
        <v>77</v>
      </c>
    </row>
    <row r="59" spans="1:37" s="55" customFormat="1" ht="12.75" hidden="1" customHeight="1" x14ac:dyDescent="0.2">
      <c r="A59" s="55" t="s">
        <v>104</v>
      </c>
      <c r="B59" s="55">
        <f>IF(B24=2,B44,0)</f>
        <v>27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24</v>
      </c>
      <c r="J59" s="60">
        <f>IF(J24=2,H44,0)</f>
        <v>0</v>
      </c>
      <c r="K59" s="55">
        <f>IF(K24=2,K44,0)</f>
        <v>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25</v>
      </c>
      <c r="T59" s="55">
        <f>IF(T24=2,T44,0)</f>
        <v>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0</v>
      </c>
      <c r="AF59" s="55">
        <f>SUM(B59:AE59)</f>
        <v>76</v>
      </c>
    </row>
    <row r="60" spans="1:37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27</v>
      </c>
      <c r="E60" s="55">
        <f>IF(E24=3,E44,0)</f>
        <v>0</v>
      </c>
      <c r="G60" s="60">
        <f>IF(G24=3,E44,0)</f>
        <v>0</v>
      </c>
      <c r="H60" s="55">
        <f>IF(H24=3,H44,0)</f>
        <v>0</v>
      </c>
      <c r="J60" s="60">
        <f>IF(J24=3,H44,0)</f>
        <v>0</v>
      </c>
      <c r="K60" s="55">
        <f>IF(K24=3,K44,0)</f>
        <v>0</v>
      </c>
      <c r="M60" s="60">
        <f>IF(M24=3,K44,0)</f>
        <v>24</v>
      </c>
      <c r="N60" s="55">
        <f>IF(N24=3,N44,0)</f>
        <v>24</v>
      </c>
      <c r="P60" s="60">
        <f>IF(P24=3,N44,0)</f>
        <v>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0</v>
      </c>
      <c r="W60" s="55">
        <f>IF(W24=3,W44,0)</f>
        <v>0</v>
      </c>
      <c r="Y60" s="60">
        <f>IF(Y24=3,W44,0)</f>
        <v>0</v>
      </c>
      <c r="Z60" s="55">
        <f>IF(Z24=3,Z44,0)</f>
        <v>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75</v>
      </c>
    </row>
    <row r="61" spans="1:37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28</v>
      </c>
      <c r="H61" s="55">
        <f>IF(H24=4,H44,0)</f>
        <v>0</v>
      </c>
      <c r="J61" s="60">
        <f>IF(J24=4,H44,0)</f>
        <v>24</v>
      </c>
      <c r="K61" s="55">
        <f>IF(K24=4,K44,0)</f>
        <v>0</v>
      </c>
      <c r="M61" s="60">
        <f>IF(M24=4,K44,0)</f>
        <v>0</v>
      </c>
      <c r="N61" s="55">
        <f>IF(N24=4,N44,0)</f>
        <v>0</v>
      </c>
      <c r="P61" s="60">
        <f>IF(P24=4,N44,0)</f>
        <v>24</v>
      </c>
      <c r="Q61" s="55">
        <f>IF(Q24=4,Q44,0)</f>
        <v>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0</v>
      </c>
      <c r="AC61" s="55">
        <f>IF(AC24=4,AC44,0)</f>
        <v>0</v>
      </c>
      <c r="AE61" s="60">
        <f>IF(AE24=4,AC44,0)</f>
        <v>0</v>
      </c>
      <c r="AF61" s="55">
        <f>SUM(B61:AE61)</f>
        <v>76</v>
      </c>
    </row>
    <row r="62" spans="1:37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0</v>
      </c>
    </row>
    <row r="63" spans="1:37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</row>
    <row r="64" spans="1:37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1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1</v>
      </c>
      <c r="M64" s="60">
        <f>IF(M24=1,SUMIF(M31:M35,"&gt;0"),0)</f>
        <v>0</v>
      </c>
      <c r="N64" s="55">
        <f>IF(N24=1,SUMIF(N31:N35,"&gt;0"),0)</f>
        <v>0</v>
      </c>
      <c r="P64" s="60">
        <f>IF(P24=1,SUMIF(P31:P35,"&gt;0"),0)</f>
        <v>0</v>
      </c>
      <c r="Q64" s="55">
        <f>IF(Q24=1,SUMIF(Q31:Q35,"&gt;0"),0)</f>
        <v>1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0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0</v>
      </c>
      <c r="AE64" s="60">
        <f>IF(AE24=1,SUMIF(AE31:AE35,"&gt;0"),0)</f>
        <v>0</v>
      </c>
      <c r="AF64" s="55">
        <f>SUM(B64:AE64)</f>
        <v>3</v>
      </c>
      <c r="AG64" s="55">
        <f>AF72-AF64</f>
        <v>0</v>
      </c>
    </row>
    <row r="65" spans="1:49" s="55" customFormat="1" ht="12.75" hidden="1" customHeight="1" x14ac:dyDescent="0.2">
      <c r="A65" s="55" t="s">
        <v>98</v>
      </c>
      <c r="B65" s="55">
        <f>IF(B24=2,SUMIF(B31:B35,"&gt;0"),0)</f>
        <v>1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1</v>
      </c>
      <c r="J65" s="60">
        <f>IF(J24=2,SUMIF(J31:J35,"&gt;0"),0)</f>
        <v>0</v>
      </c>
      <c r="K65" s="55">
        <f>IF(K24=2,SUMIF(K31:K35,"&gt;0"),0)</f>
        <v>0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0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2</v>
      </c>
      <c r="AG65" s="55">
        <f>AF73-AF65</f>
        <v>1</v>
      </c>
    </row>
    <row r="66" spans="1:49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1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0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0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1</v>
      </c>
      <c r="AG66" s="55">
        <f>AF74-AF66</f>
        <v>2</v>
      </c>
    </row>
    <row r="67" spans="1:49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0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0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0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0</v>
      </c>
      <c r="AG67" s="55">
        <f>AF75-AF67</f>
        <v>3</v>
      </c>
    </row>
    <row r="68" spans="1:49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0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0</v>
      </c>
      <c r="AG68" s="55">
        <f>AF76-AF68</f>
        <v>0</v>
      </c>
    </row>
    <row r="69" spans="1:49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</row>
    <row r="70" spans="1:49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</row>
    <row r="71" spans="1:49" s="55" customFormat="1" ht="51" hidden="1" customHeight="1" x14ac:dyDescent="0.2">
      <c r="A71" s="59" t="s">
        <v>112</v>
      </c>
      <c r="C71" s="55">
        <f>SUMIF(B64:D68,"&gt;0")</f>
        <v>1</v>
      </c>
      <c r="D71" s="60"/>
      <c r="F71" s="55">
        <f>SUMIF(E64:G68,"&gt;0")</f>
        <v>1</v>
      </c>
      <c r="G71" s="60"/>
      <c r="I71" s="55">
        <f>SUMIF(H64:J68,"&gt;0")</f>
        <v>1</v>
      </c>
      <c r="J71" s="60"/>
      <c r="L71" s="55">
        <f>SUMIF(K64:M68,"&gt;0")</f>
        <v>1</v>
      </c>
      <c r="M71" s="60"/>
      <c r="O71" s="55">
        <f>SUMIF(N64:P68,"&gt;0")</f>
        <v>1</v>
      </c>
      <c r="P71" s="60"/>
      <c r="R71" s="55">
        <f>SUMIF(Q64:S68,"&gt;0")</f>
        <v>1</v>
      </c>
      <c r="S71" s="60"/>
      <c r="U71" s="55">
        <f>SUMIF(T64:V68,"&gt;0")</f>
        <v>0</v>
      </c>
      <c r="V71" s="60"/>
      <c r="X71" s="55">
        <f>SUMIF(W64:Y68,"&gt;0")</f>
        <v>0</v>
      </c>
      <c r="Y71" s="60"/>
      <c r="AA71" s="55">
        <f>SUMIF(Z64:AB68,"&gt;0")</f>
        <v>0</v>
      </c>
      <c r="AB71" s="60"/>
      <c r="AD71" s="55">
        <f>SUMIF(AC64:AE68,"&gt;0")</f>
        <v>0</v>
      </c>
      <c r="AE71" s="60"/>
      <c r="AF71" s="59" t="s">
        <v>113</v>
      </c>
    </row>
    <row r="72" spans="1:49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1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1</v>
      </c>
      <c r="M72" s="60">
        <f>IF(M24=1,L71,0)</f>
        <v>0</v>
      </c>
      <c r="N72" s="55">
        <f>IF(N24=1,O71,0)</f>
        <v>0</v>
      </c>
      <c r="P72" s="60">
        <f>IF(P24=1,O71,0)</f>
        <v>0</v>
      </c>
      <c r="Q72" s="55">
        <f>IF(Q24=1,R71,0)</f>
        <v>1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0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0</v>
      </c>
      <c r="AE72" s="60">
        <f>IF(AE24=1,AD71,0)</f>
        <v>0</v>
      </c>
      <c r="AF72" s="55">
        <f>SUM(B72:AE72)</f>
        <v>3</v>
      </c>
    </row>
    <row r="73" spans="1:49" s="55" customFormat="1" ht="12.75" hidden="1" customHeight="1" x14ac:dyDescent="0.2">
      <c r="A73" s="55" t="s">
        <v>104</v>
      </c>
      <c r="B73" s="55">
        <f>IF(B24=2,C71,0)</f>
        <v>1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1</v>
      </c>
      <c r="J73" s="60">
        <f>IF(J24=2,I71,0)</f>
        <v>0</v>
      </c>
      <c r="K73" s="55">
        <f>IF(K24=2,L71,0)</f>
        <v>0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1</v>
      </c>
      <c r="T73" s="55">
        <f>IF(T24=2,U71,0)</f>
        <v>0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0</v>
      </c>
      <c r="AF73" s="55">
        <f>SUM(B73:AE73)</f>
        <v>3</v>
      </c>
    </row>
    <row r="74" spans="1:49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1</v>
      </c>
      <c r="E74" s="55">
        <f>IF(E24=3,F71,0)</f>
        <v>0</v>
      </c>
      <c r="G74" s="60">
        <f>IF(G24=3,F71,0)</f>
        <v>0</v>
      </c>
      <c r="H74" s="55">
        <f>IF(H24=3,I71,0)</f>
        <v>0</v>
      </c>
      <c r="J74" s="60">
        <f>IF(J24=3,I71,0)</f>
        <v>0</v>
      </c>
      <c r="K74" s="55">
        <f>IF(K24=3,L71,0)</f>
        <v>0</v>
      </c>
      <c r="M74" s="60">
        <f>IF(M24=3,L71,0)</f>
        <v>1</v>
      </c>
      <c r="N74" s="55">
        <f>IF(N24=3,O71,0)</f>
        <v>1</v>
      </c>
      <c r="P74" s="60">
        <f>IF(P24=3,O71,0)</f>
        <v>0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0</v>
      </c>
      <c r="W74" s="55">
        <f>IF(W24=3,X71,0)</f>
        <v>0</v>
      </c>
      <c r="Y74" s="60">
        <f>IF(Y24=3,X71,0)</f>
        <v>0</v>
      </c>
      <c r="Z74" s="55">
        <f>IF(Z24=3,AA71,0)</f>
        <v>0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3</v>
      </c>
    </row>
    <row r="75" spans="1:49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1</v>
      </c>
      <c r="H75" s="55">
        <f>IF(H24=4,I71,0)</f>
        <v>0</v>
      </c>
      <c r="J75" s="60">
        <f>IF(J24=4,I71,0)</f>
        <v>1</v>
      </c>
      <c r="K75" s="55">
        <f>IF(K24=4,L71,0)</f>
        <v>0</v>
      </c>
      <c r="M75" s="60">
        <f>IF(M24=4,L71,0)</f>
        <v>0</v>
      </c>
      <c r="N75" s="55">
        <f>IF(N24=4,O71,0)</f>
        <v>0</v>
      </c>
      <c r="P75" s="60">
        <f>IF(P24=4,O71,0)</f>
        <v>1</v>
      </c>
      <c r="Q75" s="55">
        <f>IF(Q24=4,R71,0)</f>
        <v>0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0</v>
      </c>
      <c r="AC75" s="55">
        <f>IF(AC24=4,AD71,0)</f>
        <v>0</v>
      </c>
      <c r="AE75" s="60">
        <f>IF(AE24=4,AD71,0)</f>
        <v>0</v>
      </c>
      <c r="AF75" s="55">
        <f>SUM(B75:AE75)</f>
        <v>3</v>
      </c>
    </row>
    <row r="76" spans="1:49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0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0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0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0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0</v>
      </c>
      <c r="AT76" s="63"/>
      <c r="AU76" s="63"/>
      <c r="AV76" s="63"/>
    </row>
    <row r="77" spans="1:49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AW77" s="130"/>
    </row>
    <row r="78" spans="1:49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</row>
    <row r="79" spans="1:49" s="63" customFormat="1" hidden="1" x14ac:dyDescent="0.2">
      <c r="A79" s="67">
        <v>1</v>
      </c>
      <c r="B79" s="67" t="str">
        <f>E8</f>
        <v>CSNS 12-1</v>
      </c>
      <c r="C79" s="67">
        <f>VLOOKUP(B79,AU$3:AW$33,3,FALSE)</f>
        <v>1274.9503770355423</v>
      </c>
      <c r="D79" s="67">
        <f>IF(B72,B87,IF(D72,D87,C79))</f>
        <v>1274.9503770355423</v>
      </c>
      <c r="E79" s="67"/>
      <c r="F79" s="67"/>
      <c r="G79" s="67">
        <f>IF(E72,E87,IF(G72,G87,D79))</f>
        <v>1286.0960921535373</v>
      </c>
      <c r="H79" s="67"/>
      <c r="I79" s="67"/>
      <c r="J79" s="67">
        <f>IF(H72,H87,IF(J72,J87,G79))</f>
        <v>1286.0960921535373</v>
      </c>
      <c r="K79" s="67"/>
      <c r="L79" s="67"/>
      <c r="M79" s="67">
        <f>IF(K72,K87,IF(M72,M87,J79))</f>
        <v>1298.3459814405328</v>
      </c>
      <c r="N79" s="67"/>
      <c r="O79" s="67"/>
      <c r="P79" s="67">
        <f>IF(N72,N87,IF(P72,P87,M79))</f>
        <v>1298.3459814405328</v>
      </c>
      <c r="Q79" s="67"/>
      <c r="R79" s="67"/>
      <c r="S79" s="67">
        <f>IF(Q72,Q87,IF(S72,S87,P79))</f>
        <v>1313.3752502473765</v>
      </c>
      <c r="T79" s="67"/>
      <c r="U79" s="67"/>
      <c r="V79" s="67">
        <f>IF(T72,T87,IF(V72,V87,S79))</f>
        <v>1313.3752502473765</v>
      </c>
      <c r="W79" s="67"/>
      <c r="X79" s="67"/>
      <c r="Y79" s="67">
        <f>IF(W72,W87,IF(Y72,Y87,V79))</f>
        <v>1313.3752502473765</v>
      </c>
      <c r="Z79" s="67"/>
      <c r="AA79" s="67"/>
      <c r="AB79" s="67">
        <f>IF(Z72,Z87,IF(AB72,AB87,Y79))</f>
        <v>1313.3752502473765</v>
      </c>
      <c r="AC79" s="67"/>
      <c r="AD79" s="67"/>
      <c r="AE79" s="67">
        <f>IF(AC72,AC87,IF(AE72,AE87,AB79))</f>
        <v>1313.3752502473765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CSNS 12-1</v>
      </c>
      <c r="AU79" s="63">
        <f>AE79</f>
        <v>1313.3752502473765</v>
      </c>
      <c r="AW79" s="66"/>
    </row>
    <row r="80" spans="1:49" s="63" customFormat="1" hidden="1" x14ac:dyDescent="0.2">
      <c r="A80" s="67">
        <v>2</v>
      </c>
      <c r="B80" s="67" t="str">
        <f>E10</f>
        <v>Foothills 13 Caitlin</v>
      </c>
      <c r="C80" s="67">
        <f>VLOOKUP(B80,AU$3:AW$33,3,FALSE)</f>
        <v>1251.7655011857189</v>
      </c>
      <c r="D80" s="67">
        <f>IF(B73,B87,IF(D73,D87,C80))</f>
        <v>1266.1949188828953</v>
      </c>
      <c r="E80" s="67"/>
      <c r="F80" s="67"/>
      <c r="G80" s="67">
        <f>IF(E73,E87,IF(G73,G87,D80))</f>
        <v>1266.1949188828953</v>
      </c>
      <c r="H80" s="67"/>
      <c r="I80" s="67"/>
      <c r="J80" s="67">
        <f>IF(H73,H87,IF(J73,J87,G80))</f>
        <v>1277.2409004743827</v>
      </c>
      <c r="K80" s="67"/>
      <c r="L80" s="67"/>
      <c r="M80" s="67">
        <f>IF(K73,K87,IF(M73,M87,J80))</f>
        <v>1277.2409004743827</v>
      </c>
      <c r="N80" s="67"/>
      <c r="O80" s="67"/>
      <c r="P80" s="67">
        <f>IF(N73,N87,IF(P73,P87,M80))</f>
        <v>1277.2409004743827</v>
      </c>
      <c r="Q80" s="67"/>
      <c r="R80" s="67"/>
      <c r="S80" s="67">
        <f>IF(Q73,Q87,IF(S73,S87,P80))</f>
        <v>1262.211631667539</v>
      </c>
      <c r="T80" s="67"/>
      <c r="U80" s="67"/>
      <c r="V80" s="67">
        <f>IF(T73,T87,IF(V73,V87,S80))</f>
        <v>1262.211631667539</v>
      </c>
      <c r="W80" s="67"/>
      <c r="X80" s="67"/>
      <c r="Y80" s="67">
        <f>IF(W73,W87,IF(Y73,Y87,V80))</f>
        <v>1262.211631667539</v>
      </c>
      <c r="Z80" s="67"/>
      <c r="AA80" s="67"/>
      <c r="AB80" s="67">
        <f>IF(Z73,Z87,IF(AB73,AB87,Y80))</f>
        <v>1262.211631667539</v>
      </c>
      <c r="AC80" s="67"/>
      <c r="AD80" s="67"/>
      <c r="AE80" s="67">
        <f>IF(AC73,AC87,IF(AE73,AE87,AB80))</f>
        <v>1262.211631667539</v>
      </c>
      <c r="AF80" s="4"/>
      <c r="AG80" s="4"/>
      <c r="AJ80" s="4"/>
      <c r="AL80" s="4"/>
      <c r="AM80" s="4"/>
      <c r="AN80" s="4"/>
      <c r="AO80" s="4"/>
      <c r="AT80" s="63" t="str">
        <f>B80</f>
        <v>Foothills 13 Caitlin</v>
      </c>
      <c r="AU80" s="63">
        <f>AE80</f>
        <v>1262.211631667539</v>
      </c>
      <c r="AW80" s="66"/>
    </row>
    <row r="81" spans="1:49" s="63" customFormat="1" hidden="1" x14ac:dyDescent="0.2">
      <c r="A81" s="67">
        <v>3</v>
      </c>
      <c r="B81" s="67" t="str">
        <f>E12</f>
        <v>Excell Dev. 11 2017</v>
      </c>
      <c r="C81" s="67">
        <f>VLOOKUP(B81,AU$3:AW$33,3,FALSE)</f>
        <v>1217.5505615019474</v>
      </c>
      <c r="D81" s="67">
        <f>IF(B74,B87,IF(D74,D87,C81))</f>
        <v>1203.121143804771</v>
      </c>
      <c r="E81" s="67"/>
      <c r="F81" s="67"/>
      <c r="G81" s="67">
        <f>IF(E74,E87,IF(G74,G87,D81))</f>
        <v>1203.121143804771</v>
      </c>
      <c r="H81" s="67"/>
      <c r="I81" s="67"/>
      <c r="J81" s="67">
        <f>IF(H74,H87,IF(J74,J87,G81))</f>
        <v>1203.121143804771</v>
      </c>
      <c r="K81" s="67"/>
      <c r="L81" s="67"/>
      <c r="M81" s="67">
        <f>IF(K74,K87,IF(M74,M87,J81))</f>
        <v>1190.8712545177755</v>
      </c>
      <c r="N81" s="67"/>
      <c r="O81" s="67"/>
      <c r="P81" s="67">
        <f>IF(N74,N87,IF(P74,P87,M81))</f>
        <v>1204.7223046644847</v>
      </c>
      <c r="Q81" s="67"/>
      <c r="R81" s="67"/>
      <c r="S81" s="67">
        <f>IF(Q74,Q87,IF(S74,S87,P81))</f>
        <v>1204.7223046644847</v>
      </c>
      <c r="T81" s="67"/>
      <c r="U81" s="67"/>
      <c r="V81" s="67">
        <f>IF(T74,T87,IF(V74,V87,S81))</f>
        <v>1204.7223046644847</v>
      </c>
      <c r="W81" s="67"/>
      <c r="X81" s="67"/>
      <c r="Y81" s="67">
        <f>IF(W74,W87,IF(Y74,Y87,V81))</f>
        <v>1204.7223046644847</v>
      </c>
      <c r="Z81" s="67"/>
      <c r="AA81" s="67"/>
      <c r="AB81" s="67">
        <f>IF(Z74,Z87,IF(AB74,AB87,Y81))</f>
        <v>1204.7223046644847</v>
      </c>
      <c r="AC81" s="67"/>
      <c r="AD81" s="67"/>
      <c r="AE81" s="67">
        <f>IF(AC74,AC87,IF(AE74,AE87,AB81))</f>
        <v>1204.7223046644847</v>
      </c>
      <c r="AF81" s="4"/>
      <c r="AG81" s="4"/>
      <c r="AJ81" s="4"/>
      <c r="AL81" s="4"/>
      <c r="AM81" s="4"/>
      <c r="AN81" s="4"/>
      <c r="AO81" s="4"/>
      <c r="AT81" s="63" t="str">
        <f>B81</f>
        <v>Excell Dev. 11 2017</v>
      </c>
      <c r="AU81" s="63">
        <f>AE81</f>
        <v>1204.7223046644847</v>
      </c>
      <c r="AW81" s="66"/>
    </row>
    <row r="82" spans="1:49" s="63" customFormat="1" hidden="1" x14ac:dyDescent="0.2">
      <c r="A82" s="67">
        <v>4</v>
      </c>
      <c r="B82" s="67" t="str">
        <f>E14</f>
        <v>SC Midlands KP Black</v>
      </c>
      <c r="C82" s="67">
        <f>VLOOKUP(B82,AU$3:AW$33,3,FALSE)</f>
        <v>1166.1154316050067</v>
      </c>
      <c r="D82" s="67">
        <f>IF(B75,B87,IF(D75,D87,C82))</f>
        <v>1166.1154316050067</v>
      </c>
      <c r="E82" s="67"/>
      <c r="F82" s="67"/>
      <c r="G82" s="67">
        <f>IF(E75,E87,IF(G75,G87,D82))</f>
        <v>1154.9697164870117</v>
      </c>
      <c r="H82" s="67"/>
      <c r="I82" s="67"/>
      <c r="J82" s="67">
        <f>IF(H75,H87,IF(J75,J87,G82))</f>
        <v>1143.9237348955244</v>
      </c>
      <c r="K82" s="67"/>
      <c r="L82" s="67"/>
      <c r="M82" s="67">
        <f>IF(K75,K87,IF(M75,M87,J82))</f>
        <v>1143.9237348955244</v>
      </c>
      <c r="N82" s="67"/>
      <c r="O82" s="67"/>
      <c r="P82" s="67">
        <f>IF(N75,N87,IF(P75,P87,M82))</f>
        <v>1130.0726847488152</v>
      </c>
      <c r="Q82" s="67"/>
      <c r="R82" s="67"/>
      <c r="S82" s="67">
        <f>IF(Q75,Q87,IF(S75,S87,P82))</f>
        <v>1130.0726847488152</v>
      </c>
      <c r="T82" s="67"/>
      <c r="U82" s="67"/>
      <c r="V82" s="67">
        <f>IF(T75,T87,IF(V75,V87,S82))</f>
        <v>1130.0726847488152</v>
      </c>
      <c r="W82" s="67"/>
      <c r="X82" s="67"/>
      <c r="Y82" s="67">
        <f>IF(W75,W87,IF(Y75,Y87,V82))</f>
        <v>1130.0726847488152</v>
      </c>
      <c r="Z82" s="67"/>
      <c r="AA82" s="67"/>
      <c r="AB82" s="67">
        <f>IF(Z75,Z87,IF(AB75,AB87,Y82))</f>
        <v>1130.0726847488152</v>
      </c>
      <c r="AC82" s="67"/>
      <c r="AD82" s="67"/>
      <c r="AE82" s="67">
        <f>IF(AC75,AC87,IF(AE75,AE87,AB82))</f>
        <v>1130.0726847488152</v>
      </c>
      <c r="AF82" s="4"/>
      <c r="AG82" s="4"/>
      <c r="AJ82" s="4"/>
      <c r="AL82" s="4"/>
      <c r="AM82" s="4"/>
      <c r="AN82" s="4"/>
      <c r="AO82" s="4"/>
      <c r="AT82" s="63" t="str">
        <f>B82</f>
        <v>SC Midlands KP Black</v>
      </c>
      <c r="AU82" s="63">
        <f>AE82</f>
        <v>1130.0726847488152</v>
      </c>
      <c r="AW82" s="66"/>
    </row>
    <row r="83" spans="1:49" s="63" customFormat="1" hidden="1" x14ac:dyDescent="0.2">
      <c r="A83" s="67">
        <v>5</v>
      </c>
      <c r="B83" s="67">
        <f>E16</f>
        <v>0</v>
      </c>
      <c r="C83" s="67" t="e">
        <f>VLOOKUP(B83,AU$3:AW$33,3,FALSE)</f>
        <v>#N/A</v>
      </c>
      <c r="D83" s="67" t="e">
        <f>IF(B76,B87,IF(D76,D87,C83))</f>
        <v>#N/A</v>
      </c>
      <c r="E83" s="67"/>
      <c r="F83" s="67"/>
      <c r="G83" s="67" t="e">
        <f>IF(E76,E87,IF(G76,G87,D83))</f>
        <v>#N/A</v>
      </c>
      <c r="H83" s="67"/>
      <c r="I83" s="67"/>
      <c r="J83" s="67" t="e">
        <f>IF(H76,H87,IF(J76,J87,G83))</f>
        <v>#N/A</v>
      </c>
      <c r="K83" s="67"/>
      <c r="L83" s="67"/>
      <c r="M83" s="67" t="e">
        <f>IF(K76,K87,IF(M76,M87,J83))</f>
        <v>#N/A</v>
      </c>
      <c r="N83" s="67"/>
      <c r="O83" s="67"/>
      <c r="P83" s="67" t="e">
        <f>IF(N76,N87,IF(P76,P87,M83))</f>
        <v>#N/A</v>
      </c>
      <c r="Q83" s="67"/>
      <c r="R83" s="67"/>
      <c r="S83" s="67" t="e">
        <f>IF(Q76,Q87,IF(S76,S87,P83))</f>
        <v>#N/A</v>
      </c>
      <c r="T83" s="67"/>
      <c r="U83" s="67"/>
      <c r="V83" s="67" t="e">
        <f>IF(T76,T87,IF(V76,V87,S83))</f>
        <v>#N/A</v>
      </c>
      <c r="W83" s="67"/>
      <c r="X83" s="67"/>
      <c r="Y83" s="67" t="e">
        <f>IF(W76,W87,IF(Y76,Y87,V83))</f>
        <v>#N/A</v>
      </c>
      <c r="Z83" s="67"/>
      <c r="AA83" s="67"/>
      <c r="AB83" s="67" t="e">
        <f>IF(Z76,Z87,IF(AB76,AB87,Y83))</f>
        <v>#N/A</v>
      </c>
      <c r="AC83" s="67"/>
      <c r="AD83" s="67"/>
      <c r="AE83" s="67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63">
        <f>B83</f>
        <v>0</v>
      </c>
      <c r="AU83" s="63" t="e">
        <f>AE83</f>
        <v>#N/A</v>
      </c>
      <c r="AW83" s="66"/>
    </row>
    <row r="84" spans="1:49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</row>
    <row r="85" spans="1:49" s="63" customFormat="1" hidden="1" x14ac:dyDescent="0.2">
      <c r="A85" s="67" t="s">
        <v>116</v>
      </c>
      <c r="B85" s="67">
        <f>VLOOKUP(B24,$A79:$AE83,3,FALSE)</f>
        <v>1251.7655011857189</v>
      </c>
      <c r="C85" s="67">
        <v>1</v>
      </c>
      <c r="D85" s="67">
        <f>VLOOKUP(D24,$A79:$AE83,3,FALSE)</f>
        <v>1217.5505615019474</v>
      </c>
      <c r="E85" s="67">
        <f>VLOOKUP(E24,$A79:$AE83,4,FALSE)</f>
        <v>1274.9503770355423</v>
      </c>
      <c r="F85" s="67">
        <v>2</v>
      </c>
      <c r="G85" s="67">
        <f>VLOOKUP(G24,$A79:$AE83,4,FALSE)</f>
        <v>1166.1154316050067</v>
      </c>
      <c r="H85" s="67">
        <f>VLOOKUP(H24,$A79:$AE83,7,FALSE)</f>
        <v>1266.1949188828953</v>
      </c>
      <c r="I85" s="67">
        <v>3</v>
      </c>
      <c r="J85" s="67">
        <f>VLOOKUP(J24,$A79:$AE83,7,FALSE)</f>
        <v>1154.9697164870117</v>
      </c>
      <c r="K85" s="67">
        <f>VLOOKUP(K24,$A79:$AE83,10,FALSE)</f>
        <v>1286.0960921535373</v>
      </c>
      <c r="L85" s="67">
        <v>4</v>
      </c>
      <c r="M85" s="67">
        <f>VLOOKUP(M24,$A79:$AE83,10,FALSE)</f>
        <v>1203.121143804771</v>
      </c>
      <c r="N85" s="67">
        <f>VLOOKUP(N24,$A79:$AE83,13,FALSE)</f>
        <v>1190.8712545177755</v>
      </c>
      <c r="O85" s="67">
        <v>5</v>
      </c>
      <c r="P85" s="67">
        <f>VLOOKUP(P24,$A79:$AE83,13,FALSE)</f>
        <v>1143.9237348955244</v>
      </c>
      <c r="Q85" s="67">
        <f>VLOOKUP(Q24,$A79:$AE83,16,FALSE)</f>
        <v>1298.3459814405328</v>
      </c>
      <c r="R85" s="67">
        <v>6</v>
      </c>
      <c r="S85" s="67">
        <f>VLOOKUP(S24,$A79:$AE83,16,FALSE)</f>
        <v>1277.2409004743827</v>
      </c>
      <c r="T85" s="67" t="e">
        <f>VLOOKUP(T24,$A79:$AE83,19,FALSE)</f>
        <v>#N/A</v>
      </c>
      <c r="U85" s="67">
        <v>7</v>
      </c>
      <c r="V85" s="67" t="e">
        <f>VLOOKUP(V24,$A79:$AE83,19,FALSE)</f>
        <v>#N/A</v>
      </c>
      <c r="W85" s="67" t="e">
        <f>VLOOKUP(W24,$A79:$AE83,22,FALSE)</f>
        <v>#N/A</v>
      </c>
      <c r="X85" s="67">
        <v>8</v>
      </c>
      <c r="Y85" s="67" t="e">
        <f>VLOOKUP(Y24,$A79:$AE83,22,FALSE)</f>
        <v>#N/A</v>
      </c>
      <c r="Z85" s="67" t="e">
        <f>VLOOKUP(Z24,$A79:$AE83,25,FALSE)</f>
        <v>#N/A</v>
      </c>
      <c r="AA85" s="67">
        <v>9</v>
      </c>
      <c r="AB85" s="67" t="e">
        <f>VLOOKUP(AB24,$A79:$AE83,25,FALSE)</f>
        <v>#N/A</v>
      </c>
      <c r="AC85" s="67" t="e">
        <f>VLOOKUP(AC24,$A79:$AE83,28,FALSE)</f>
        <v>#N/A</v>
      </c>
      <c r="AD85" s="67">
        <v>10</v>
      </c>
      <c r="AE85" s="67" t="e">
        <f>VLOOKUP(AE24,$A79:$AE83,28,FALSE)</f>
        <v>#N/A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</row>
    <row r="86" spans="1:49" s="72" customFormat="1" hidden="1" x14ac:dyDescent="0.2">
      <c r="A86" s="68" t="s">
        <v>117</v>
      </c>
      <c r="B86" s="68">
        <f>1/(1+(10^-((B85-D85)/400)))*(B36+D36)</f>
        <v>0.54908069696323925</v>
      </c>
      <c r="C86" s="68"/>
      <c r="D86" s="68">
        <f>1/(1+(10^-((D85-B85)/400)))*(B36+D36)</f>
        <v>0.45091930303676075</v>
      </c>
      <c r="E86" s="68">
        <f>1/(1+(10^-((E85-G85)/400)))*(E36+G36)</f>
        <v>0.65169640256265626</v>
      </c>
      <c r="F86" s="68"/>
      <c r="G86" s="68">
        <f>1/(1+(10^-((G85-E85)/400)))*(E36+G36)</f>
        <v>0.34830359743734368</v>
      </c>
      <c r="H86" s="68">
        <f>1/(1+(10^-((H85-J85)/400)))*(H36+J36)</f>
        <v>0.65481307526602106</v>
      </c>
      <c r="I86" s="68"/>
      <c r="J86" s="68">
        <f>1/(1+(10^-((J85-H85)/400)))*(H36+J36)</f>
        <v>0.34518692473397894</v>
      </c>
      <c r="K86" s="68">
        <f>1/(1+(10^-((K85-M85)/400)))*(K36+M36)</f>
        <v>0.61719095978138916</v>
      </c>
      <c r="L86" s="68"/>
      <c r="M86" s="68">
        <f>1/(1+(10^-((M85-K85)/400)))*(K36+M36)</f>
        <v>0.3828090402186109</v>
      </c>
      <c r="N86" s="68">
        <f>1/(1+(10^-((N85-P85)/400)))*(N36+P36)</f>
        <v>0.56715468291533944</v>
      </c>
      <c r="O86" s="68"/>
      <c r="P86" s="68">
        <f>1/(1+(10^-((P85-N85)/400)))*(N36+P36)</f>
        <v>0.43284531708466051</v>
      </c>
      <c r="Q86" s="68">
        <f>1/(1+(10^-((Q85-S85)/400)))*(Q36+S36)</f>
        <v>0.53033534978613306</v>
      </c>
      <c r="R86" s="68"/>
      <c r="S86" s="68">
        <f>1/(1+(10^-((S85-Q85)/400)))*(Q36+S36)</f>
        <v>0.46966465021386689</v>
      </c>
      <c r="T86" s="68" t="e">
        <f>1/(1+(10^-((T85-V85)/400)))*(T36+V36)</f>
        <v>#N/A</v>
      </c>
      <c r="U86" s="68"/>
      <c r="V86" s="68" t="e">
        <f>1/(1+(10^-((V85-T85)/400)))*(T36+V36)</f>
        <v>#N/A</v>
      </c>
      <c r="W86" s="68" t="e">
        <f>1/(1+(10^-((W85-Y85)/400)))*(W36+Y36)</f>
        <v>#N/A</v>
      </c>
      <c r="X86" s="68"/>
      <c r="Y86" s="68" t="e">
        <f>1/(1+(10^-((Y85-W85)/400)))*(W36+Y36)</f>
        <v>#N/A</v>
      </c>
      <c r="Z86" s="68" t="e">
        <f>1/(1+(10^-((Z85-AB85)/400)))*(Z36+AB36)</f>
        <v>#N/A</v>
      </c>
      <c r="AA86" s="68"/>
      <c r="AB86" s="68" t="e">
        <f>1/(1+(10^-((AB85-Z85)/400)))*(Z36+AB36)</f>
        <v>#N/A</v>
      </c>
      <c r="AC86" s="68" t="e">
        <f>1/(1+(10^-((AC85-AE85)/400)))*(AC36+AE36)</f>
        <v>#N/A</v>
      </c>
      <c r="AD86" s="68"/>
      <c r="AE86" s="68" t="e">
        <f>1/(1+(10^-((AE85-AC85)/400)))*(AC36+AE36)</f>
        <v>#N/A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</row>
    <row r="87" spans="1:49" s="78" customFormat="1" hidden="1" x14ac:dyDescent="0.2">
      <c r="A87" s="74" t="s">
        <v>118</v>
      </c>
      <c r="B87" s="74">
        <f>B85+(B36-B86)*$BA$1</f>
        <v>1266.1949188828953</v>
      </c>
      <c r="C87" s="74"/>
      <c r="D87" s="74">
        <f>D85+(D36-D86)*$BA$1</f>
        <v>1203.121143804771</v>
      </c>
      <c r="E87" s="74">
        <f>E85+(E36-E86)*$BA$1</f>
        <v>1286.0960921535373</v>
      </c>
      <c r="F87" s="74"/>
      <c r="G87" s="74">
        <f>G85+(G36-G86)*$BA$1</f>
        <v>1154.9697164870117</v>
      </c>
      <c r="H87" s="74">
        <f>H85+(H36-H86)*$BA$1</f>
        <v>1277.2409004743827</v>
      </c>
      <c r="I87" s="74"/>
      <c r="J87" s="74">
        <f>J85+(J36-J86)*$BA$1</f>
        <v>1143.9237348955244</v>
      </c>
      <c r="K87" s="74">
        <f>K85+(K36-K86)*$BA$1</f>
        <v>1298.3459814405328</v>
      </c>
      <c r="L87" s="74"/>
      <c r="M87" s="74">
        <f>M85+(M36-M86)*$BA$1</f>
        <v>1190.8712545177755</v>
      </c>
      <c r="N87" s="74">
        <f>N85+(N36-N86)*$BA$1</f>
        <v>1204.7223046644847</v>
      </c>
      <c r="O87" s="74"/>
      <c r="P87" s="74">
        <f>P85+(P36-P86)*$BA$1</f>
        <v>1130.0726847488152</v>
      </c>
      <c r="Q87" s="74">
        <f>Q85+(Q36-Q86)*$BA$1</f>
        <v>1313.3752502473765</v>
      </c>
      <c r="R87" s="74"/>
      <c r="S87" s="74">
        <f>S85+(S36-S86)*$BA$1</f>
        <v>1262.211631667539</v>
      </c>
      <c r="T87" s="74" t="e">
        <f>T85+(T36-T86)*$BA$1</f>
        <v>#N/A</v>
      </c>
      <c r="U87" s="74"/>
      <c r="V87" s="74" t="e">
        <f>V85+(V36-V86)*$BA$1</f>
        <v>#N/A</v>
      </c>
      <c r="W87" s="74" t="e">
        <f>W85+(W36-W86)*$BA$1</f>
        <v>#N/A</v>
      </c>
      <c r="X87" s="74"/>
      <c r="Y87" s="74" t="e">
        <f>Y85+(Y36-Y86)*$BA$1</f>
        <v>#N/A</v>
      </c>
      <c r="Z87" s="74" t="e">
        <f>Z85+(Z36-Z86)*$BA$1</f>
        <v>#N/A</v>
      </c>
      <c r="AA87" s="74"/>
      <c r="AB87" s="74" t="e">
        <f>AB85+(AB36-AB86)*$BA$1</f>
        <v>#N/A</v>
      </c>
      <c r="AC87" s="74" t="e">
        <f>AC85+(AC36-AC86)*$BA$1</f>
        <v>#N/A</v>
      </c>
      <c r="AD87" s="74"/>
      <c r="AE87" s="74" t="e">
        <f>AE85+(AE36-AE86)*$BA$1</f>
        <v>#N/A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</row>
    <row r="88" spans="1:49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</row>
    <row r="89" spans="1:49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</row>
    <row r="90" spans="1:49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T90" s="4"/>
      <c r="AU90" s="4"/>
      <c r="AV90" s="4"/>
    </row>
    <row r="91" spans="1:49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182"/>
      <c r="AK91" s="182"/>
      <c r="AL91" s="182"/>
      <c r="AM91" s="182"/>
      <c r="AN91" s="182"/>
      <c r="AO91" s="182"/>
      <c r="AP91" s="182"/>
      <c r="AQ91" s="182"/>
    </row>
    <row r="92" spans="1:49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Matches Won</v>
      </c>
      <c r="M92" s="255"/>
      <c r="N92" s="255"/>
      <c r="O92" s="255"/>
      <c r="P92" s="255"/>
      <c r="Q92" s="256"/>
      <c r="R92" s="254" t="str">
        <f>IF($AK95=0,"Games Lost","Matches Lost")</f>
        <v>Matches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1</v>
      </c>
      <c r="AL92" s="29" t="s">
        <v>46</v>
      </c>
      <c r="AM92" s="29"/>
      <c r="AN92" s="29"/>
      <c r="AO92" s="29"/>
      <c r="AP92" s="29"/>
      <c r="AQ92" s="29"/>
      <c r="AR92" s="30"/>
    </row>
    <row r="93" spans="1:49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Kidz Power Intense col</v>
      </c>
      <c r="F93" s="233"/>
      <c r="G93" s="233"/>
      <c r="H93" s="233"/>
      <c r="I93" s="233"/>
      <c r="J93" s="233"/>
      <c r="K93" s="234"/>
      <c r="L93" s="235">
        <f>IF($AK95=0,AF149,AF131)</f>
        <v>2</v>
      </c>
      <c r="M93" s="236"/>
      <c r="N93" s="236"/>
      <c r="O93" s="236"/>
      <c r="P93" s="236"/>
      <c r="Q93" s="256"/>
      <c r="R93" s="235">
        <f>IF($AK95=0,AG149,AG131)</f>
        <v>2</v>
      </c>
      <c r="S93" s="236"/>
      <c r="T93" s="236"/>
      <c r="U93" s="236"/>
      <c r="V93" s="236"/>
      <c r="W93" s="235">
        <f>AQ109</f>
        <v>19</v>
      </c>
      <c r="X93" s="236"/>
      <c r="Y93" s="236"/>
      <c r="Z93" s="239">
        <f>IF(AF143&gt;0,(AQ109/AF143),0)</f>
        <v>0.19387755102040816</v>
      </c>
      <c r="AA93" s="240"/>
      <c r="AB93" s="240"/>
      <c r="AC93" s="262">
        <f>IF(AF157=0,0,(AF149/AF157))</f>
        <v>0.5</v>
      </c>
      <c r="AD93" s="263"/>
      <c r="AE93" s="264"/>
      <c r="AF93" s="268">
        <v>1</v>
      </c>
      <c r="AG93" s="268">
        <v>1</v>
      </c>
      <c r="AH93" s="270"/>
      <c r="AI93" s="271"/>
      <c r="AJ93" s="27"/>
      <c r="AK93" s="28">
        <v>6</v>
      </c>
      <c r="AL93" s="29" t="s">
        <v>49</v>
      </c>
      <c r="AM93" s="29"/>
      <c r="AN93" s="29"/>
      <c r="AO93" s="29"/>
      <c r="AP93" s="29"/>
      <c r="AQ93" s="29"/>
      <c r="AR93" s="30"/>
    </row>
    <row r="94" spans="1:49" ht="18.75" customHeight="1" thickBot="1" x14ac:dyDescent="0.25">
      <c r="A94" s="228"/>
      <c r="B94" s="274" t="s">
        <v>11</v>
      </c>
      <c r="C94" s="275"/>
      <c r="D94" s="276"/>
      <c r="E94" s="277" t="str">
        <f>AV4</f>
        <v>fj2inten4pm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3</v>
      </c>
      <c r="AL94" s="29" t="s">
        <v>52</v>
      </c>
      <c r="AM94" s="27"/>
      <c r="AN94" s="27"/>
      <c r="AO94" s="27"/>
      <c r="AP94" s="27"/>
      <c r="AQ94" s="27"/>
      <c r="AR94" s="3"/>
    </row>
    <row r="95" spans="1:49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columbia sc starlings 13</v>
      </c>
      <c r="F95" s="233"/>
      <c r="G95" s="233"/>
      <c r="H95" s="233"/>
      <c r="I95" s="233"/>
      <c r="J95" s="233"/>
      <c r="K95" s="234"/>
      <c r="L95" s="235">
        <f>IF($AK95=0,AF150,AF132)</f>
        <v>0</v>
      </c>
      <c r="M95" s="236"/>
      <c r="N95" s="236"/>
      <c r="O95" s="236"/>
      <c r="P95" s="236"/>
      <c r="Q95" s="256"/>
      <c r="R95" s="235">
        <f>IF($AK95=0,AG150,AG132)</f>
        <v>4</v>
      </c>
      <c r="S95" s="236"/>
      <c r="T95" s="236"/>
      <c r="U95" s="236"/>
      <c r="V95" s="236"/>
      <c r="W95" s="235">
        <f>AQ110</f>
        <v>-47</v>
      </c>
      <c r="X95" s="236"/>
      <c r="Y95" s="236"/>
      <c r="Z95" s="239">
        <f>IF(AF144&gt;0,(AQ110/AF144),0)</f>
        <v>-0.45192307692307693</v>
      </c>
      <c r="AA95" s="240"/>
      <c r="AB95" s="240"/>
      <c r="AC95" s="262">
        <f>IF(AF158=0,0,(AF150/AF158))</f>
        <v>0</v>
      </c>
      <c r="AD95" s="263"/>
      <c r="AE95" s="264"/>
      <c r="AF95" s="268">
        <v>3</v>
      </c>
      <c r="AG95" s="268">
        <v>1</v>
      </c>
      <c r="AH95" s="270"/>
      <c r="AI95" s="271"/>
      <c r="AJ95" s="27"/>
      <c r="AK95" s="28">
        <v>1</v>
      </c>
      <c r="AL95" s="29" t="s">
        <v>55</v>
      </c>
      <c r="AM95" s="29"/>
      <c r="AN95" s="29"/>
      <c r="AO95" s="29"/>
      <c r="AP95" s="29"/>
      <c r="AQ95" s="29"/>
      <c r="AR95" s="30"/>
    </row>
    <row r="96" spans="1:49" ht="18.75" customHeight="1" thickBot="1" x14ac:dyDescent="0.25">
      <c r="A96" s="228"/>
      <c r="B96" s="284" t="s">
        <v>11</v>
      </c>
      <c r="C96" s="285"/>
      <c r="D96" s="285"/>
      <c r="E96" s="277" t="str">
        <f>AV5</f>
        <v>fj3starl1pm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Foothills 12 Rachel</v>
      </c>
      <c r="F97" s="233"/>
      <c r="G97" s="233"/>
      <c r="H97" s="233"/>
      <c r="I97" s="233"/>
      <c r="J97" s="233"/>
      <c r="K97" s="234"/>
      <c r="L97" s="235">
        <f>IF($AK95=0,AF151,AF133)</f>
        <v>4</v>
      </c>
      <c r="M97" s="236"/>
      <c r="N97" s="236"/>
      <c r="O97" s="236"/>
      <c r="P97" s="236"/>
      <c r="Q97" s="256"/>
      <c r="R97" s="235">
        <f>IF($AK95=0,AG151,AG133)</f>
        <v>0</v>
      </c>
      <c r="S97" s="236"/>
      <c r="T97" s="236"/>
      <c r="U97" s="236"/>
      <c r="V97" s="236"/>
      <c r="W97" s="235">
        <f>AQ111</f>
        <v>28</v>
      </c>
      <c r="X97" s="236"/>
      <c r="Y97" s="236"/>
      <c r="Z97" s="239">
        <f>IF(AF145&gt;0,(AQ111/AF145),0)</f>
        <v>0.28000000000000003</v>
      </c>
      <c r="AA97" s="240"/>
      <c r="AB97" s="240"/>
      <c r="AC97" s="262">
        <f>IF(AF159=0,0,(AF151/AF159))</f>
        <v>1</v>
      </c>
      <c r="AD97" s="263"/>
      <c r="AE97" s="264"/>
      <c r="AF97" s="268">
        <v>2</v>
      </c>
      <c r="AG97" s="268">
        <v>1</v>
      </c>
      <c r="AH97" s="270"/>
      <c r="AI97" s="271"/>
      <c r="AJ97" s="31"/>
      <c r="AK97" s="28">
        <v>4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fj2footh5pm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/>
      </c>
      <c r="B99" s="286" t="s">
        <v>10</v>
      </c>
      <c r="C99" s="287"/>
      <c r="D99" s="287"/>
      <c r="E99" s="232" t="str">
        <f>AU13</f>
        <v>Team 11</v>
      </c>
      <c r="F99" s="233"/>
      <c r="G99" s="233"/>
      <c r="H99" s="233"/>
      <c r="I99" s="233"/>
      <c r="J99" s="233"/>
      <c r="K99" s="234"/>
      <c r="L99" s="235">
        <f>IF($AK95=0,AF152,AF134)</f>
        <v>0</v>
      </c>
      <c r="M99" s="236"/>
      <c r="N99" s="236"/>
      <c r="O99" s="236"/>
      <c r="P99" s="236"/>
      <c r="Q99" s="256"/>
      <c r="R99" s="235">
        <f>IF($AK95=0,AG152,AG134)</f>
        <v>0</v>
      </c>
      <c r="S99" s="236"/>
      <c r="T99" s="236"/>
      <c r="U99" s="236"/>
      <c r="V99" s="236"/>
      <c r="W99" s="235">
        <f>AQ112</f>
        <v>0</v>
      </c>
      <c r="X99" s="236"/>
      <c r="Y99" s="236"/>
      <c r="Z99" s="239">
        <f>IF(AF146&gt;0,(AQ112/AF146),0)</f>
        <v>0</v>
      </c>
      <c r="AA99" s="240"/>
      <c r="AB99" s="240"/>
      <c r="AC99" s="262">
        <f>IF(AF160=0,0,(AF152/AF160))</f>
        <v>0</v>
      </c>
      <c r="AD99" s="263"/>
      <c r="AE99" s="264"/>
      <c r="AF99" s="268"/>
      <c r="AG99" s="268"/>
      <c r="AH99" s="270"/>
      <c r="AI99" s="271"/>
      <c r="AJ99" s="182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AV13</f>
        <v>Code 11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182"/>
      <c r="AK100" s="37"/>
      <c r="AL100" s="37"/>
      <c r="AM100" s="37"/>
      <c r="AN100" s="37"/>
      <c r="AO100" s="37"/>
      <c r="AP100" s="37"/>
      <c r="AQ100" s="182"/>
      <c r="AR100" s="3"/>
    </row>
    <row r="101" spans="1:44" ht="18.75" customHeight="1" x14ac:dyDescent="0.2">
      <c r="A101" s="227" t="str">
        <f>IF($AK94&gt;4,"5","")</f>
        <v/>
      </c>
      <c r="B101" s="286" t="s">
        <v>10</v>
      </c>
      <c r="C101" s="287"/>
      <c r="D101" s="287"/>
      <c r="E101" s="300">
        <f>AU20</f>
        <v>0</v>
      </c>
      <c r="F101" s="301"/>
      <c r="G101" s="301"/>
      <c r="H101" s="301"/>
      <c r="I101" s="301"/>
      <c r="J101" s="301"/>
      <c r="K101" s="302"/>
      <c r="L101" s="235">
        <f>IF($AK95=0,AF153,AF135)</f>
        <v>0</v>
      </c>
      <c r="M101" s="236"/>
      <c r="N101" s="236"/>
      <c r="O101" s="236"/>
      <c r="P101" s="236"/>
      <c r="Q101" s="256"/>
      <c r="R101" s="235">
        <f>IF($AK95=0,AG153,AG135)</f>
        <v>0</v>
      </c>
      <c r="S101" s="236"/>
      <c r="T101" s="236"/>
      <c r="U101" s="236"/>
      <c r="V101" s="236"/>
      <c r="W101" s="235">
        <f>AQ113</f>
        <v>0</v>
      </c>
      <c r="X101" s="236"/>
      <c r="Y101" s="236"/>
      <c r="Z101" s="239">
        <f>IF(AF147&gt;0,(AQ113/AF147),0)</f>
        <v>0</v>
      </c>
      <c r="AA101" s="240"/>
      <c r="AB101" s="240"/>
      <c r="AC101" s="262">
        <f>IF(AF161=0,0,(AF153/AF161))</f>
        <v>0</v>
      </c>
      <c r="AD101" s="263"/>
      <c r="AE101" s="264"/>
      <c r="AF101" s="268"/>
      <c r="AG101" s="268"/>
      <c r="AH101" s="270"/>
      <c r="AI101" s="271"/>
      <c r="AJ101" s="182"/>
      <c r="AK101" s="37"/>
      <c r="AL101" s="37"/>
      <c r="AM101" s="37"/>
      <c r="AN101" s="37"/>
      <c r="AO101" s="37"/>
      <c r="AP101" s="37"/>
      <c r="AQ101" s="182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298">
        <f>AV20</f>
        <v>0</v>
      </c>
      <c r="F102" s="299"/>
      <c r="G102" s="299"/>
      <c r="H102" s="299"/>
      <c r="I102" s="299"/>
      <c r="J102" s="299"/>
      <c r="K102" s="299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182"/>
      <c r="AK102" s="37"/>
      <c r="AL102" s="37"/>
      <c r="AM102" s="37"/>
      <c r="AN102" s="37"/>
      <c r="AO102" s="37"/>
      <c r="AP102" s="37"/>
      <c r="AQ102" s="182"/>
      <c r="AR102" s="3"/>
    </row>
    <row r="103" spans="1:44" ht="21" customHeight="1" thickTop="1" thickBot="1" x14ac:dyDescent="0.25">
      <c r="A103" s="40"/>
      <c r="B103" s="305" t="s">
        <v>1020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182"/>
      <c r="AK103" s="37"/>
      <c r="AL103" s="37"/>
      <c r="AM103" s="37"/>
      <c r="AN103" s="37"/>
      <c r="AO103" s="37"/>
      <c r="AP103" s="37"/>
      <c r="AQ103" s="182"/>
      <c r="AR103" s="3"/>
    </row>
    <row r="104" spans="1:44" ht="13.5" thickTop="1" x14ac:dyDescent="0.2">
      <c r="A104" s="4" t="s">
        <v>66</v>
      </c>
      <c r="B104" s="308">
        <v>6.25E-2</v>
      </c>
      <c r="C104" s="309"/>
      <c r="D104" s="310"/>
      <c r="E104" s="308">
        <v>8.3333333333333329E-2</v>
      </c>
      <c r="F104" s="309"/>
      <c r="G104" s="310"/>
      <c r="H104" s="308">
        <v>0.10416666666666667</v>
      </c>
      <c r="I104" s="309"/>
      <c r="J104" s="310"/>
      <c r="K104" s="308"/>
      <c r="L104" s="309"/>
      <c r="M104" s="310"/>
      <c r="N104" s="308"/>
      <c r="O104" s="309"/>
      <c r="P104" s="310"/>
      <c r="Q104" s="308"/>
      <c r="R104" s="309"/>
      <c r="S104" s="310"/>
      <c r="T104" s="308"/>
      <c r="U104" s="309"/>
      <c r="V104" s="310"/>
      <c r="W104" s="308"/>
      <c r="X104" s="309"/>
      <c r="Y104" s="310"/>
      <c r="Z104" s="308"/>
      <c r="AA104" s="309"/>
      <c r="AB104" s="310"/>
      <c r="AC104" s="308"/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/>
      <c r="C105" s="320"/>
      <c r="D105" s="321"/>
      <c r="E105" s="319"/>
      <c r="F105" s="320"/>
      <c r="G105" s="321"/>
      <c r="H105" s="319"/>
      <c r="I105" s="320"/>
      <c r="J105" s="321"/>
      <c r="K105" s="319"/>
      <c r="L105" s="320"/>
      <c r="M105" s="321"/>
      <c r="N105" s="319"/>
      <c r="O105" s="320"/>
      <c r="P105" s="321"/>
      <c r="Q105" s="319"/>
      <c r="R105" s="320"/>
      <c r="S105" s="321"/>
      <c r="T105" s="319"/>
      <c r="U105" s="320"/>
      <c r="V105" s="321"/>
      <c r="W105" s="319"/>
      <c r="X105" s="320"/>
      <c r="Y105" s="321"/>
      <c r="Z105" s="319"/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/>
      <c r="C106" s="320"/>
      <c r="D106" s="321"/>
      <c r="E106" s="319"/>
      <c r="F106" s="320"/>
      <c r="G106" s="321"/>
      <c r="H106" s="319"/>
      <c r="I106" s="320"/>
      <c r="J106" s="321"/>
      <c r="K106" s="319"/>
      <c r="L106" s="320"/>
      <c r="M106" s="321"/>
      <c r="N106" s="319"/>
      <c r="O106" s="320"/>
      <c r="P106" s="321"/>
      <c r="Q106" s="319"/>
      <c r="R106" s="320"/>
      <c r="S106" s="321"/>
      <c r="T106" s="319"/>
      <c r="U106" s="320"/>
      <c r="V106" s="321"/>
      <c r="W106" s="319"/>
      <c r="X106" s="320"/>
      <c r="Y106" s="321"/>
      <c r="Z106" s="319"/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182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/>
      </c>
      <c r="U107" s="323"/>
      <c r="V107" s="324"/>
      <c r="W107" s="322" t="str">
        <f>IF(AK93&gt;7,"Match 8","")</f>
        <v/>
      </c>
      <c r="X107" s="323"/>
      <c r="Y107" s="324"/>
      <c r="Z107" s="322" t="str">
        <f>IF(AK93&gt;8,"Match 9","")</f>
        <v/>
      </c>
      <c r="AA107" s="323"/>
      <c r="AB107" s="324"/>
      <c r="AC107" s="322" t="str">
        <f>IF(AK93&gt;9,"Match 10","")</f>
        <v/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182"/>
      <c r="B108" s="325" t="s">
        <v>75</v>
      </c>
      <c r="C108" s="326"/>
      <c r="D108" s="327"/>
      <c r="E108" s="325" t="s">
        <v>73</v>
      </c>
      <c r="F108" s="326"/>
      <c r="G108" s="327"/>
      <c r="H108" s="325" t="s">
        <v>72</v>
      </c>
      <c r="I108" s="326"/>
      <c r="J108" s="327"/>
      <c r="K108" s="325" t="s">
        <v>75</v>
      </c>
      <c r="L108" s="326"/>
      <c r="M108" s="327"/>
      <c r="N108" s="325" t="s">
        <v>73</v>
      </c>
      <c r="O108" s="326"/>
      <c r="P108" s="327"/>
      <c r="Q108" s="325" t="s">
        <v>72</v>
      </c>
      <c r="R108" s="326"/>
      <c r="S108" s="327"/>
      <c r="T108" s="325"/>
      <c r="U108" s="326"/>
      <c r="V108" s="327"/>
      <c r="W108" s="325"/>
      <c r="X108" s="326"/>
      <c r="Y108" s="327"/>
      <c r="Z108" s="325"/>
      <c r="AA108" s="326"/>
      <c r="AB108" s="327"/>
      <c r="AC108" s="325"/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182"/>
      <c r="B109" s="45">
        <v>1</v>
      </c>
      <c r="C109" s="46" t="s">
        <v>78</v>
      </c>
      <c r="D109" s="47">
        <v>3</v>
      </c>
      <c r="E109" s="45">
        <v>2</v>
      </c>
      <c r="F109" s="46" t="str">
        <f>IF(AK93&gt;1,"v","")</f>
        <v>v</v>
      </c>
      <c r="G109" s="47">
        <v>3</v>
      </c>
      <c r="H109" s="45">
        <v>1</v>
      </c>
      <c r="I109" s="46" t="str">
        <f>IF(AK93&gt;2,"v","")</f>
        <v>v</v>
      </c>
      <c r="J109" s="47">
        <v>2</v>
      </c>
      <c r="K109" s="45">
        <v>1</v>
      </c>
      <c r="L109" s="46" t="str">
        <f>IF(AK93&gt;3,"v","")</f>
        <v>v</v>
      </c>
      <c r="M109" s="47">
        <v>3</v>
      </c>
      <c r="N109" s="45">
        <v>2</v>
      </c>
      <c r="O109" s="46" t="str">
        <f>IF(AK93&gt;4,"v","")</f>
        <v>v</v>
      </c>
      <c r="P109" s="47">
        <v>3</v>
      </c>
      <c r="Q109" s="45">
        <v>1</v>
      </c>
      <c r="R109" s="46" t="str">
        <f>IF(AK93&gt;5,"v","")</f>
        <v>v</v>
      </c>
      <c r="S109" s="47">
        <v>2</v>
      </c>
      <c r="T109" s="45"/>
      <c r="U109" s="46" t="str">
        <f>IF(AK93&gt;6,"v","")</f>
        <v/>
      </c>
      <c r="V109" s="47"/>
      <c r="W109" s="45"/>
      <c r="X109" s="46" t="str">
        <f>IF(AK93&gt;7,"v","")</f>
        <v/>
      </c>
      <c r="Y109" s="47"/>
      <c r="Z109" s="45"/>
      <c r="AA109" s="46" t="str">
        <f>IF(AK93&gt;8,"v","")</f>
        <v/>
      </c>
      <c r="AB109" s="47"/>
      <c r="AC109" s="45"/>
      <c r="AD109" s="46" t="str">
        <f>IF(AK93&gt;9,"v","")</f>
        <v/>
      </c>
      <c r="AE109" s="47"/>
      <c r="AF109" s="42" t="str">
        <f>IF(AK94&gt;0,"Team 1","")</f>
        <v>Team 1</v>
      </c>
      <c r="AG109" s="48">
        <f>IF(AK94&lt;1,"",IF(AK93&lt;1,"",IF(B109=1,B115-D115,IF(D109=1,D115-B115,""))))</f>
        <v>-4</v>
      </c>
      <c r="AH109" s="48" t="str">
        <f>IF(AK94&lt;1,"",IF(AK93&lt;2,"",IF(E109=1,E115-G115,IF(G109=1,G115-E115,""))))</f>
        <v/>
      </c>
      <c r="AI109" s="48">
        <f>IF(AK94&lt;1,"",IF(AK93&lt;3,"",IF(H109=1,H115-J115,IF(J109=1,J115-H115,""))))</f>
        <v>7</v>
      </c>
      <c r="AJ109" s="48">
        <f>IF(AK94&lt;1,"",IF(AK93&lt;4,"",IF(K109=1,K115-M115,IF(M109=1,M115-K115,""))))</f>
        <v>-1</v>
      </c>
      <c r="AK109" s="48" t="str">
        <f>IF(AK94&lt;1,"",IF(AK93&lt;5,"",IF(N109=1,N115-P115,IF(P109=1,P115-N115,""))))</f>
        <v/>
      </c>
      <c r="AL109" s="48">
        <f>IF(AK94&lt;1,"",IF(AK93&lt;6,"",IF(Q109=1,Q115-S115,IF(S109=1,S115-Q115,""))))</f>
        <v>17</v>
      </c>
      <c r="AM109" s="48" t="str">
        <f>IF(AK94&lt;1,"",IF(AK93&lt;7,"",IF(T109=1,T115-V115,IF(V109=1,V115-T115,""))))</f>
        <v/>
      </c>
      <c r="AN109" s="48" t="str">
        <f>IF(AK94&lt;1,"",IF(AK93&lt;8,"",IF(W109=1,W115-Y115,IF(Y109=1,Y115-W115,""))))</f>
        <v/>
      </c>
      <c r="AO109" s="48" t="str">
        <f>IF(AK94&lt;1,"",IF(AK93&lt;9,"",IF(Z109=1,Z115-AB115,IF(AB109=1,AB115-Z115,""))))</f>
        <v/>
      </c>
      <c r="AP109" s="48" t="str">
        <f>IF(AK94&lt;1,"",IF(AK93&lt;10,"",IF(AC109=1,AC115-AE115,IF(AE109=1,AE115-AC115,""))))</f>
        <v/>
      </c>
      <c r="AQ109" s="44">
        <f>SUM(AG109:AP109)</f>
        <v>19</v>
      </c>
    </row>
    <row r="110" spans="1:44" ht="15" x14ac:dyDescent="0.2">
      <c r="A110" s="4" t="s">
        <v>79</v>
      </c>
      <c r="B110" s="49">
        <v>19</v>
      </c>
      <c r="C110" s="50" t="s">
        <v>80</v>
      </c>
      <c r="D110" s="51">
        <v>23</v>
      </c>
      <c r="E110" s="49">
        <v>9</v>
      </c>
      <c r="F110" s="50" t="str">
        <f>IF(AK93&gt;1,"/","")</f>
        <v>/</v>
      </c>
      <c r="G110" s="51">
        <v>28</v>
      </c>
      <c r="H110" s="49">
        <v>24</v>
      </c>
      <c r="I110" s="50" t="str">
        <f>IF(AK93&gt;2,"/","")</f>
        <v>/</v>
      </c>
      <c r="J110" s="51">
        <v>17</v>
      </c>
      <c r="K110" s="49">
        <v>23</v>
      </c>
      <c r="L110" s="50" t="str">
        <f>IF(AK93&gt;3,"/","")</f>
        <v>/</v>
      </c>
      <c r="M110" s="51">
        <v>24</v>
      </c>
      <c r="N110" s="49">
        <v>21</v>
      </c>
      <c r="O110" s="50" t="str">
        <f>IF(AK93&gt;4,"/","")</f>
        <v>/</v>
      </c>
      <c r="P110" s="51">
        <v>25</v>
      </c>
      <c r="Q110" s="49">
        <v>27</v>
      </c>
      <c r="R110" s="50" t="str">
        <f>IF(AK93&gt;5,"/","")</f>
        <v>/</v>
      </c>
      <c r="S110" s="51">
        <v>10</v>
      </c>
      <c r="T110" s="49"/>
      <c r="U110" s="50" t="str">
        <f>IF(AK93&gt;6,"/","")</f>
        <v/>
      </c>
      <c r="V110" s="51"/>
      <c r="W110" s="49"/>
      <c r="X110" s="50" t="str">
        <f>IF(AK93&gt;7,"/","")</f>
        <v/>
      </c>
      <c r="Y110" s="51"/>
      <c r="Z110" s="49"/>
      <c r="AA110" s="50" t="str">
        <f>IF(AK93&gt;8,"/","")</f>
        <v/>
      </c>
      <c r="AB110" s="51"/>
      <c r="AC110" s="49"/>
      <c r="AD110" s="50" t="str">
        <f>IF(AK93&gt;9,"/","")</f>
        <v/>
      </c>
      <c r="AE110" s="51"/>
      <c r="AF110" s="42" t="str">
        <f>IF(AK94&gt;1,"Team 2","")</f>
        <v>Team 2</v>
      </c>
      <c r="AG110" s="48" t="str">
        <f>IF(AK94&lt;2,"",IF(AK93&lt;1,"",IF(B109=2,B115-D115,IF(D109=2,D115-B115,""))))</f>
        <v/>
      </c>
      <c r="AH110" s="48">
        <f>IF(AK94&lt;2,"",IF(AK93&lt;2,"",IF(E109=2,E115-G115,IF(G109=2,G115-E115,""))))</f>
        <v>-19</v>
      </c>
      <c r="AI110" s="48">
        <f>IF(AK94&lt;2,"",IF(AK93&lt;3,"",IF(H109=2,H115-J115,IF(J109=2,J115-H115,""))))</f>
        <v>-7</v>
      </c>
      <c r="AJ110" s="48" t="str">
        <f>IF(AK94&lt;2,"",IF(AK93&lt;4,"",IF(K109=2,K115-M115,IF(M109=2,M115-K115,""))))</f>
        <v/>
      </c>
      <c r="AK110" s="48">
        <f>IF(AK94&lt;2,"",IF(AK93&lt;5,"",IF(N109=2,N115-P115,IF(P109=2,P115-N115,""))))</f>
        <v>-4</v>
      </c>
      <c r="AL110" s="48">
        <f>IF(AK94&lt;2,"",IF(AK93&lt;6,"",IF(Q109=2,Q115-S115,IF(S109=2,S115-Q115,""))))</f>
        <v>-17</v>
      </c>
      <c r="AM110" s="48" t="str">
        <f>IF(AK94&lt;2,"",IF(AK93&lt;7,"",IF(T109=2,T115-V115,IF(V109=2,V115-T115,""))))</f>
        <v/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 t="str">
        <f>IF(AK94&lt;2,"",IF(AK93&lt;10,"",IF(AC109=2,AC115-AE115,IF(AE109=2,AE115-AC115,""))))</f>
        <v/>
      </c>
      <c r="AQ110" s="44">
        <f>SUM(AG110:AP110)</f>
        <v>-47</v>
      </c>
    </row>
    <row r="111" spans="1:44" ht="15" x14ac:dyDescent="0.2">
      <c r="A111" s="3" t="str">
        <f>IF(AK92&gt;1,"Game 2","")</f>
        <v/>
      </c>
      <c r="B111" s="49">
        <v>25</v>
      </c>
      <c r="C111" s="50" t="s">
        <v>80</v>
      </c>
      <c r="D111" s="51">
        <v>15</v>
      </c>
      <c r="E111" s="49">
        <v>18</v>
      </c>
      <c r="F111" s="50" t="str">
        <f>IF(AK93&gt;1,IF(AK92&gt;1,"/",""),"")</f>
        <v/>
      </c>
      <c r="G111" s="51">
        <v>25</v>
      </c>
      <c r="H111" s="49">
        <v>30</v>
      </c>
      <c r="I111" s="50" t="str">
        <f>IF(AK93&gt;2,IF(AK92&gt;1,"/",""),"")</f>
        <v/>
      </c>
      <c r="J111" s="51">
        <v>22</v>
      </c>
      <c r="K111" s="49"/>
      <c r="L111" s="50" t="str">
        <f>IF(AK93&gt;3,IF(AK92&gt;1,"/",""),"")</f>
        <v/>
      </c>
      <c r="M111" s="51"/>
      <c r="N111" s="49"/>
      <c r="O111" s="50" t="str">
        <f>IF(AK93&gt;4,IF(AK92&gt;1,"/",""),"")</f>
        <v/>
      </c>
      <c r="P111" s="51"/>
      <c r="Q111" s="49"/>
      <c r="R111" s="50" t="str">
        <f>IF(AK93&gt;5,IF(AK92&gt;1,"/",""),"")</f>
        <v/>
      </c>
      <c r="S111" s="51"/>
      <c r="T111" s="49"/>
      <c r="U111" s="50" t="str">
        <f>IF(AK93&gt;6,IF(AK92&gt;1,"/",""),"")</f>
        <v/>
      </c>
      <c r="V111" s="51"/>
      <c r="W111" s="49"/>
      <c r="X111" s="50" t="str">
        <f>IF(AK93&gt;7,IF(AK92&gt;1,"/",""),"")</f>
        <v/>
      </c>
      <c r="Y111" s="51"/>
      <c r="Z111" s="49"/>
      <c r="AA111" s="50" t="str">
        <f>IF(AK93&gt;8,IF(AK92&gt;1,"/",""),"")</f>
        <v/>
      </c>
      <c r="AB111" s="51"/>
      <c r="AC111" s="49"/>
      <c r="AD111" s="50" t="str">
        <f>IF(AK93&gt;9,IF(AK92&gt;1,"/",""),"")</f>
        <v/>
      </c>
      <c r="AE111" s="51"/>
      <c r="AF111" s="42" t="str">
        <f>IF(AK94&gt;2,"Team 3","")</f>
        <v>Team 3</v>
      </c>
      <c r="AG111" s="48">
        <f>IF(AK94&lt;3,"",IF(AK93&lt;1,"",IF(B109=3,B115-D115,IF(D109=3,D115-B115,""))))</f>
        <v>4</v>
      </c>
      <c r="AH111" s="48">
        <f>IF(AK94&lt;3,"",IF(AK93&lt;2,"",IF(E109=3,E115-G115,IF(G109=3,G115-E115,""))))</f>
        <v>19</v>
      </c>
      <c r="AI111" s="48" t="str">
        <f>IF(AK94&lt;3,"",IF(AK93&lt;3,"",IF(H109=3,H115-J115,IF(J109=3,J115-H115,""))))</f>
        <v/>
      </c>
      <c r="AJ111" s="48">
        <f>IF(AK94&lt;3,"",IF(AK93&lt;4,"",IF(K109=3,K115-M115,IF(M109=3,M115-K115,""))))</f>
        <v>1</v>
      </c>
      <c r="AK111" s="48">
        <f>IF(AK94&lt;3,"",IF(AK93&lt;5,"",IF(N109=3,N115-P115,IF(P109=3,P115-N115,""))))</f>
        <v>4</v>
      </c>
      <c r="AL111" s="48" t="str">
        <f>IF(AK94&lt;3,"",IF(AK93&lt;6,"",IF(Q109=3,Q115-S115,IF(S109=3,S115-Q115,""))))</f>
        <v/>
      </c>
      <c r="AM111" s="48" t="str">
        <f>IF(AK94&lt;3,"",IF(AK93&lt;7,"",IF(T109=3,T115-V115,IF(V109=3,V115-T115,""))))</f>
        <v/>
      </c>
      <c r="AN111" s="48" t="str">
        <f>IF(AK94&lt;3,"",IF(AK93&lt;8,"",IF(W109=3,W115-Y115,IF(Y109=3,Y115-W115,""))))</f>
        <v/>
      </c>
      <c r="AO111" s="48" t="str">
        <f>IF(AK94&lt;3,"",IF(AK93&lt;9,"",IF(Z109=3,Z115-AB115,IF(AB109=3,AB115-Z115,""))))</f>
        <v/>
      </c>
      <c r="AP111" s="48" t="str">
        <f>IF(AK94&lt;3,"",IF(AK93&lt;9,"",IF(AC109=3,AC115-AE115,IF(AE109=3,AE115-AC115,""))))</f>
        <v/>
      </c>
      <c r="AQ111" s="44">
        <f>SUM(AG111:AP111)</f>
        <v>28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/>
      </c>
      <c r="AG112" s="48" t="str">
        <f>IF(AK94&lt;4,"",IF(AK93&lt;1,"",IF(B109=4,B115-D115,IF(D109=4,D115-B115,""))))</f>
        <v/>
      </c>
      <c r="AH112" s="48" t="str">
        <f>IF(AK94&lt;4,"",IF(AK93&lt;2,"",IF(E109=4,E115-G115,IF(G109=4,G115-E115,""))))</f>
        <v/>
      </c>
      <c r="AI112" s="48" t="str">
        <f>IF(AK94&lt;4,"",IF(AK93&lt;3,"",IF(H109=4,H115-J115,IF(J109=4,J115-H115,""))))</f>
        <v/>
      </c>
      <c r="AJ112" s="48" t="str">
        <f>IF(AK94&lt;4,"",IF(AK93&lt;4,"",IF(K109=4,K115-M115,IF(M109=4,M115-K115,""))))</f>
        <v/>
      </c>
      <c r="AK112" s="48" t="str">
        <f>IF(AK94&lt;4,"",IF(AK93&lt;5,"",IF(N109=4,N115-P115,IF(P109=4,P115-N115,""))))</f>
        <v/>
      </c>
      <c r="AL112" s="48" t="str">
        <f>IF(AK94&lt;4,"",IF(AK93&lt;6,"",IF(Q109=4,Q115-S115,IF(S109=4,S115-Q115,""))))</f>
        <v/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 t="str">
        <f>IF(AK94&lt;4,"",IF(AK93&lt;9,"",IF(Z109=4,Z115-AB115,IF(AB109=4,AB115-Z115,""))))</f>
        <v/>
      </c>
      <c r="AP112" s="48" t="str">
        <f>IF(AK94&lt;4,"",IF(AK93&lt;10,"",IF(AC109=4,AC115-AE115,IF(AE109=4,AE115-AC115,""))))</f>
        <v/>
      </c>
      <c r="AQ112" s="44">
        <f>SUM(AG112:AP112)</f>
        <v>0</v>
      </c>
    </row>
    <row r="113" spans="1:48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/>
      </c>
      <c r="AG113" s="52" t="str">
        <f>IF(AK94&lt;5,"",IF(AK93&lt;1,"",IF(B109=5,B115-D115,IF(D109=5,D115-B115,""))))</f>
        <v/>
      </c>
      <c r="AH113" s="48" t="str">
        <f>IF(AK94&lt;5,"",IF(AK93&lt;2,"",IF(E109=5,E115-G115,IF(G109=5,G115-E115,""))))</f>
        <v/>
      </c>
      <c r="AI113" s="48" t="str">
        <f>IF(AK94&lt;5,"",IF(AK93&lt;3,"",IF(H109=5,H115-J115,IF(J109=5,J115-H115,""))))</f>
        <v/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 t="str">
        <f>IF(AK94&lt;5,"",IF(AK93&lt;6,"",IF(Q109=5,Q115-S115,IF(S109=5,S115-Q115,""))))</f>
        <v/>
      </c>
      <c r="AM113" s="48" t="str">
        <f>IF(AK94&lt;5,"",IF(AK93&lt;7,"",IF(T109=5,T115-V115,IF(V109=5,V115-T115,""))))</f>
        <v/>
      </c>
      <c r="AN113" s="48" t="str">
        <f>IF(AK94&lt;5,"",IF(AK93&lt;8,"",IF(W109=5,W115-Y115,IF(Y109=5,Y115-W115,""))))</f>
        <v/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0</v>
      </c>
    </row>
    <row r="114" spans="1:48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</row>
    <row r="115" spans="1:48" hidden="1" x14ac:dyDescent="0.2">
      <c r="A115" s="53"/>
      <c r="B115" s="53">
        <f>IF($AK92=5,SUM(B110:B114),IF($AK92=4,SUM(B110:B113),IF($AK92=3,SUM(B110:B112),IF($AK92=2,SUM(B110:B111),B110))))</f>
        <v>19</v>
      </c>
      <c r="C115" s="53"/>
      <c r="D115" s="53">
        <f>IF($AK92=5,SUM(D110:D114),IF($AK92=4,SUM(D110:D113),IF($AK92=3,SUM(D110:D112),IF($AK92=2,SUM(D110:D111),D110))))</f>
        <v>23</v>
      </c>
      <c r="E115" s="53">
        <f>IF($AK92=5,SUM(E110:E114),IF($AK92=4,SUM(E110:E113),IF($AK92=3,SUM(E110:E112),IF($AK92=2,SUM(E110:E111),E110))))</f>
        <v>9</v>
      </c>
      <c r="F115" s="53"/>
      <c r="G115" s="53">
        <f>IF($AK92=5,SUM(G110:G114),IF($AK92=4,SUM(G110:G113),IF($AK92=3,SUM(G110:G112),IF($AK92=2,SUM(G110:G111),G110))))</f>
        <v>28</v>
      </c>
      <c r="H115" s="53">
        <f>IF($AK92=5,SUM(H110:H114),IF($AK92=4,SUM(H110:H113),IF($AK92=3,SUM(H110:H112),IF($AK92=2,SUM(H110:H111),H110))))</f>
        <v>24</v>
      </c>
      <c r="I115" s="53"/>
      <c r="J115" s="53">
        <f>IF($AK92=5,SUM(J110:J114),IF($AK92=4,SUM(J110:J113),IF($AK92=3,SUM(J110:J112),IF($AK92=2,SUM(J110:J111),J110))))</f>
        <v>17</v>
      </c>
      <c r="K115" s="53">
        <f>IF($AK92=5,SUM(K110:K114),IF($AK92=4,SUM(K110:K113),IF($AK92=3,SUM(K110:K112),IF($AK92=2,SUM(K110:K111),K110))))</f>
        <v>23</v>
      </c>
      <c r="L115" s="53"/>
      <c r="M115" s="53">
        <f>IF($AK92=5,SUM(M110:M114),IF($AK92=4,SUM(M110:M113),IF($AK92=3,SUM(M110:M112),IF($AK92=2,SUM(M110:M111),M110))))</f>
        <v>24</v>
      </c>
      <c r="N115" s="53">
        <f>IF($AK92=5,SUM(N110:N114),IF($AK92=4,SUM(N110:N113),IF($AK92=3,SUM(N110:N112),IF($AK92=2,SUM(N110:N111),N110))))</f>
        <v>21</v>
      </c>
      <c r="O115" s="53"/>
      <c r="P115" s="53">
        <f>IF($AK92=5,SUM(P110:P114),IF($AK92=4,SUM(P110:P113),IF($AK92=3,SUM(P110:P112),IF($AK92=2,SUM(P110:P111),P110))))</f>
        <v>25</v>
      </c>
      <c r="Q115" s="53">
        <f>IF($AK92=5,SUM(Q110:Q114),IF($AK92=4,SUM(Q110:Q113),IF($AK92=3,SUM(Q110:Q112),IF($AK92=2,SUM(Q110:Q111),Q110))))</f>
        <v>27</v>
      </c>
      <c r="R115" s="53"/>
      <c r="S115" s="53">
        <f>IF($AK92=5,SUM(S110:S114),IF($AK92=4,SUM(S110:S113),IF($AK92=3,SUM(S110:S112),IF($AK92=2,SUM(S110:S111),S110))))</f>
        <v>10</v>
      </c>
      <c r="T115" s="53">
        <f>IF($AK92=5,SUM(T110:T114),IF($AK92=4,SUM(T110:T113),IF($AK92=3,SUM(T110:T112),IF($AK92=2,SUM(T110:T111),T110))))</f>
        <v>0</v>
      </c>
      <c r="U115" s="53"/>
      <c r="V115" s="53">
        <f>IF($AK92=5,SUM(V110:V114),IF($AK92=4,SUM(V110:V113),IF($AK92=3,SUM(V110:V112),IF($AK92=2,SUM(V110:V111),V110))))</f>
        <v>0</v>
      </c>
      <c r="W115" s="53">
        <f>IF($AK92=5,SUM(W110:W114),IF($AK92=4,SUM(W110:W113),IF($AK92=3,SUM(W110:W112),IF($AK92=2,SUM(W110:W111),W110))))</f>
        <v>0</v>
      </c>
      <c r="X115" s="53"/>
      <c r="Y115" s="53">
        <f>IF($AK92=5,SUM(Y110:Y114),IF($AK92=4,SUM(Y110:Y113),IF($AK92=3,SUM(Y110:Y112),IF($AK92=2,SUM(Y110:Y111),Y110))))</f>
        <v>0</v>
      </c>
      <c r="Z115" s="53">
        <f>IF($AK92=5,SUM(Z110:Z114),IF($AK92=4,SUM(Z110:Z113),IF($AK92=3,SUM(Z110:Z112),IF($AK92=2,SUM(Z110:Z111),Z110))))</f>
        <v>0</v>
      </c>
      <c r="AA115" s="53"/>
      <c r="AB115" s="53">
        <f>IF($AK92=5,SUM(AB110:AB114),IF($AK92=4,SUM(AB110:AB113),IF($AK92=3,SUM(AB110:AB112),IF($AK92=2,SUM(AB110:AB111),AB110))))</f>
        <v>0</v>
      </c>
      <c r="AC115" s="53">
        <f>IF($AK92=5,SUM(AC110:AC114),IF($AK92=4,SUM(AC110:AC113),IF($AK92=3,SUM(AC110:AC112),IF($AK92=2,SUM(AC110:AC111),AC110))))</f>
        <v>0</v>
      </c>
      <c r="AD115" s="53"/>
      <c r="AE115" s="53">
        <f>IF($AK92=5,SUM(AE110:AE114),IF($AK92=4,SUM(AE110:AE113),IF($AK92=3,SUM(AE110:AE112),IF($AK92=2,SUM(AE110:AE111),AE110))))</f>
        <v>0</v>
      </c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T115" s="55"/>
      <c r="AU115" s="55"/>
      <c r="AV115" s="55"/>
    </row>
    <row r="116" spans="1:48" s="55" customFormat="1" ht="12.75" hidden="1" customHeight="1" x14ac:dyDescent="0.2">
      <c r="A116" s="55" t="s">
        <v>81</v>
      </c>
      <c r="B116" s="56">
        <f>IF(AND(B110&gt;D110,$AK93&gt;0,ISNUMBER(B110),ISNUMBER(D110)),1,0)</f>
        <v>0</v>
      </c>
      <c r="C116" s="56"/>
      <c r="D116" s="57">
        <f>IF(AND(D110&gt;B110,$AK93&gt;0,ISNUMBER(B110),ISNUMBER(D110)),1,0)</f>
        <v>1</v>
      </c>
      <c r="E116" s="56">
        <f>IF(AND(E110&gt;G110,$AK93&gt;1,ISNUMBER(E110),ISNUMBER(G110)),1,0)</f>
        <v>0</v>
      </c>
      <c r="F116" s="56"/>
      <c r="G116" s="57">
        <f>IF(AND(G110&gt;E110,$AK93&gt;1,ISNUMBER(E110),ISNUMBER(G110)),1,0)</f>
        <v>1</v>
      </c>
      <c r="H116" s="56">
        <f>IF(AND(H110&gt;J110,$AK93&gt;2,ISNUMBER(H110),ISNUMBER(J110)),1,0)</f>
        <v>1</v>
      </c>
      <c r="I116" s="56"/>
      <c r="J116" s="57">
        <f>IF(AND(J110&gt;H110,$AK93&gt;2,ISNUMBER(H110),ISNUMBER(J110)),1,0)</f>
        <v>0</v>
      </c>
      <c r="K116" s="56">
        <f>IF(AND(K110&gt;M110,$AK93&gt;3,ISNUMBER(K110),ISNUMBER(M110)),1,0)</f>
        <v>0</v>
      </c>
      <c r="L116" s="56"/>
      <c r="M116" s="57">
        <f>IF(AND(M110&gt;K110,$AK93&gt;3,ISNUMBER(K110),ISNUMBER(M110)),1,0)</f>
        <v>1</v>
      </c>
      <c r="N116" s="56">
        <f>IF(AND(N110&gt;P110,$AK93&gt;4,ISNUMBER(N110),ISNUMBER(P110)),1,0)</f>
        <v>0</v>
      </c>
      <c r="O116" s="56"/>
      <c r="P116" s="57">
        <f>IF(AND(P110&gt;N110,$AK93&gt;4,ISNUMBER(N110),ISNUMBER(P110)),1,0)</f>
        <v>1</v>
      </c>
      <c r="Q116" s="56">
        <f>IF(AND(Q110&gt;S110,$AK93&gt;5,ISNUMBER(Q110),ISNUMBER(S110)),1,0)</f>
        <v>1</v>
      </c>
      <c r="R116" s="56"/>
      <c r="S116" s="57">
        <f>IF(AND(S110&gt;Q110,$AK93&gt;5,ISNUMBER(Q110),ISNUMBER(S110)),1,0)</f>
        <v>0</v>
      </c>
      <c r="T116" s="56">
        <f>IF(AND(T110&gt;V110,$AK93&gt;6,ISNUMBER(T110),ISNUMBER(V110)),1,0)</f>
        <v>0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0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0</v>
      </c>
      <c r="AD116" s="56"/>
      <c r="AE116" s="57">
        <f>IF(AND(AE110&gt;AC110,$AK93&gt;9,ISNUMBER(AC110),ISNUMBER(AE110)),1,0)</f>
        <v>0</v>
      </c>
    </row>
    <row r="117" spans="1:48" s="55" customFormat="1" ht="12.75" hidden="1" customHeight="1" x14ac:dyDescent="0.2">
      <c r="A117" s="55" t="s">
        <v>82</v>
      </c>
      <c r="B117" s="56">
        <f>IF(AND(B111&gt;D111,$AK93&gt;0,$AK92&gt;1,ISNUMBER(B111),ISNUMBER(D111)),1,0)</f>
        <v>0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0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0</v>
      </c>
      <c r="I117" s="56"/>
      <c r="J117" s="57">
        <f>IF(AND(J111&gt;H111,$AK93&gt;2,$AK92&gt;1,ISNUMBER(H111),ISNUMBER(J111)),1,0)</f>
        <v>0</v>
      </c>
      <c r="K117" s="56">
        <f>IF(AND(K111&gt;M111,$AK93&gt;3,$AK92&gt;1,ISNUMBER(K111),ISNUMBER(M111)),1,0)</f>
        <v>0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0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0</v>
      </c>
      <c r="R117" s="56"/>
      <c r="S117" s="57">
        <f>IF(AND(S111&gt;Q111,$AK93&gt;5,$AK92&gt;1,ISNUMBER(Q111),ISNUMBER(S111)),1,0)</f>
        <v>0</v>
      </c>
      <c r="T117" s="56">
        <f>IF(AND(T111&gt;V111,$AK93&gt;6,$AK92&gt;1,ISNUMBER(T111),ISNUMBER(V111)),1,0)</f>
        <v>0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0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0</v>
      </c>
      <c r="AD117" s="56"/>
      <c r="AE117" s="57">
        <f>IF(AND(AE111&gt;AC111,$AK93&gt;9,$AK92&gt;1,ISNUMBER(AC111),ISNUMBER(AE111)),1,0)</f>
        <v>0</v>
      </c>
    </row>
    <row r="118" spans="1:48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</row>
    <row r="119" spans="1:48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</row>
    <row r="120" spans="1:48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</row>
    <row r="121" spans="1:48" s="55" customFormat="1" ht="38.25" hidden="1" customHeight="1" x14ac:dyDescent="0.2">
      <c r="A121" s="59" t="s">
        <v>86</v>
      </c>
      <c r="B121" s="55">
        <f>SUM(B116:B120)</f>
        <v>0</v>
      </c>
      <c r="D121" s="60">
        <f>SUM(D116:D120)</f>
        <v>1</v>
      </c>
      <c r="E121" s="55">
        <f>SUM(E116:E120)</f>
        <v>0</v>
      </c>
      <c r="G121" s="60">
        <f>SUM(G116:G120)</f>
        <v>1</v>
      </c>
      <c r="H121" s="55">
        <f>SUM(H116:H120)</f>
        <v>1</v>
      </c>
      <c r="J121" s="60">
        <f>SUM(J116:J120)</f>
        <v>0</v>
      </c>
      <c r="K121" s="55">
        <f>SUM(K116:K120)</f>
        <v>0</v>
      </c>
      <c r="M121" s="60">
        <f>SUM(M116:M120)</f>
        <v>1</v>
      </c>
      <c r="N121" s="55">
        <f>SUM(N116:N120)</f>
        <v>0</v>
      </c>
      <c r="P121" s="60">
        <f>SUM(P116:P120)</f>
        <v>1</v>
      </c>
      <c r="Q121" s="55">
        <f>SUM(Q116:Q120)</f>
        <v>1</v>
      </c>
      <c r="S121" s="60">
        <f>SUM(S116:S120)</f>
        <v>0</v>
      </c>
      <c r="T121" s="55">
        <f>SUM(T116:T120)</f>
        <v>0</v>
      </c>
      <c r="V121" s="60">
        <f>SUM(V116:V120)</f>
        <v>0</v>
      </c>
      <c r="W121" s="55">
        <f>SUM(W116:W120)</f>
        <v>0</v>
      </c>
      <c r="Y121" s="60">
        <f>SUM(Y116:Y120)</f>
        <v>0</v>
      </c>
      <c r="Z121" s="55">
        <f>SUM(Z116:Z120)</f>
        <v>0</v>
      </c>
      <c r="AB121" s="60">
        <f>SUM(AB116:AB120)</f>
        <v>0</v>
      </c>
      <c r="AC121" s="55">
        <f>SUM(AC116:AC120)</f>
        <v>0</v>
      </c>
      <c r="AE121" s="60">
        <f>SUM(AE116:AE120)</f>
        <v>0</v>
      </c>
    </row>
    <row r="122" spans="1:48" s="55" customFormat="1" ht="25.5" hidden="1" customHeight="1" x14ac:dyDescent="0.2">
      <c r="A122" s="59" t="s">
        <v>87</v>
      </c>
      <c r="B122" s="55">
        <f>IF(B121&gt;D121,IF(C156=AK92,1,IF(C156=AK92-1,1,0)),0)</f>
        <v>0</v>
      </c>
      <c r="C122" s="55">
        <f>B122+D122</f>
        <v>1</v>
      </c>
      <c r="D122" s="60">
        <f>IF(D121&gt;B121,IF(C156=AK92,1,IF(C156=AK92-1,1,0)),0)</f>
        <v>1</v>
      </c>
      <c r="E122" s="55">
        <f>IF(E121&gt;G121,IF(F156=AK92,1,IF(F156=AK92-1,1,0)),0)</f>
        <v>0</v>
      </c>
      <c r="F122" s="55">
        <f>E122+G122</f>
        <v>1</v>
      </c>
      <c r="G122" s="60">
        <f>IF(G121&gt;E121,IF(F156=AK92,1,IF(F156=AK92-1,1,0)),0)</f>
        <v>1</v>
      </c>
      <c r="H122" s="55">
        <f>IF(H121&gt;J121,IF(I156=AK92,1,IF(I156=AK92-1,1,0)),0)</f>
        <v>1</v>
      </c>
      <c r="I122" s="55">
        <f>H122+J122</f>
        <v>1</v>
      </c>
      <c r="J122" s="60">
        <f>IF(J121&gt;H121,IF(I156=AK92,1,IF(I156=AK92-1,1,0)),0)</f>
        <v>0</v>
      </c>
      <c r="K122" s="55">
        <f>IF(K121&gt;M121,IF(L156=AK92,1,IF(L156=AK92-1,1,0)),0)</f>
        <v>0</v>
      </c>
      <c r="L122" s="55">
        <f>K122+M122</f>
        <v>1</v>
      </c>
      <c r="M122" s="60">
        <f>IF(M121&gt;K121,IF(L156=AK92,1,IF(L156=AK92-1,1,0)),0)</f>
        <v>1</v>
      </c>
      <c r="N122" s="55">
        <f>IF(N121&gt;P121,IF(O156=AK92,1,IF(O156=AK92-1,1,0)),0)</f>
        <v>0</v>
      </c>
      <c r="O122" s="55">
        <f>N122+P122</f>
        <v>1</v>
      </c>
      <c r="P122" s="60">
        <f>IF(P121&gt;N121,IF(O156=AK92,1,IF(O156=AK92-1,1,0)),0)</f>
        <v>1</v>
      </c>
      <c r="Q122" s="55">
        <f>IF(Q121&gt;S121,IF(R156=AK92,1,IF(R156=AK92-1,1,0)),0)</f>
        <v>1</v>
      </c>
      <c r="R122" s="55">
        <f>Q122+S122</f>
        <v>1</v>
      </c>
      <c r="S122" s="60">
        <f>IF(S121&gt;Q121,IF(R156=AK92,1,IF(R156=AK92-1,1,0)),0)</f>
        <v>0</v>
      </c>
      <c r="T122" s="55">
        <f>IF(T121&gt;V121,IF(U156=AK92,1,IF(U156=AK92-1,1,0)),0)</f>
        <v>0</v>
      </c>
      <c r="U122" s="55">
        <f>T122+V122</f>
        <v>0</v>
      </c>
      <c r="V122" s="60">
        <f>IF(V121&gt;T121,IF(U156=AK92,1,IF(U156=AK92-1,1,0)),0)</f>
        <v>0</v>
      </c>
      <c r="W122" s="55">
        <f>IF(W121&gt;Y121,IF(X156=AK92,1,IF(X156=AK92-1,1,0)),0)</f>
        <v>0</v>
      </c>
      <c r="X122" s="55">
        <f>W122+Y122</f>
        <v>0</v>
      </c>
      <c r="Y122" s="60">
        <f>IF(Y121&gt;W121,IF(X156=AK92,1,IF(X156=AK92-1,1,0)),0)</f>
        <v>0</v>
      </c>
      <c r="Z122" s="55">
        <f>IF(Z121&gt;AB121,IF(AA156=AK92,1,IF(AA156=AK92-1,1,0)),0)</f>
        <v>0</v>
      </c>
      <c r="AA122" s="55">
        <f>Z122+AB122</f>
        <v>0</v>
      </c>
      <c r="AB122" s="60">
        <f>IF(AB121&gt;Z121,IF(AA156=AK92,1,IF(AA156=AK92-1,1,0)),0)</f>
        <v>0</v>
      </c>
      <c r="AC122" s="55">
        <f>IF(AC121&gt;AE121,IF(AD156=AK92,1,IF(AD156=AK92-1,1,0)),0)</f>
        <v>0</v>
      </c>
      <c r="AD122" s="55">
        <f>AC122+AE122</f>
        <v>0</v>
      </c>
      <c r="AE122" s="60">
        <f>IF(AE121&gt;AC121,IF(AD156=AK92,1,IF(AD156=AK92-1,1,0)),0)</f>
        <v>0</v>
      </c>
    </row>
    <row r="123" spans="1:48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</row>
    <row r="124" spans="1:48" s="55" customFormat="1" ht="12.75" hidden="1" customHeight="1" x14ac:dyDescent="0.2">
      <c r="A124" s="55" t="s">
        <v>88</v>
      </c>
      <c r="B124" s="55">
        <f>IF(B116=1,B110,0)</f>
        <v>0</v>
      </c>
      <c r="D124" s="60">
        <f t="shared" ref="D124:E128" si="11">IF(D116=1,D110,0)</f>
        <v>23</v>
      </c>
      <c r="E124" s="55">
        <f t="shared" si="11"/>
        <v>0</v>
      </c>
      <c r="G124" s="60">
        <f t="shared" ref="G124:H128" si="12">IF(G116=1,G110,0)</f>
        <v>28</v>
      </c>
      <c r="H124" s="55">
        <f t="shared" si="12"/>
        <v>24</v>
      </c>
      <c r="J124" s="60">
        <f t="shared" ref="J124:K128" si="13">IF(J116=1,J110,0)</f>
        <v>0</v>
      </c>
      <c r="K124" s="55">
        <f t="shared" si="13"/>
        <v>0</v>
      </c>
      <c r="M124" s="60">
        <f t="shared" ref="M124:N128" si="14">IF(M116=1,M110,0)</f>
        <v>24</v>
      </c>
      <c r="N124" s="55">
        <f t="shared" si="14"/>
        <v>0</v>
      </c>
      <c r="P124" s="60">
        <f t="shared" ref="P124:Q128" si="15">IF(P116=1,P110,0)</f>
        <v>25</v>
      </c>
      <c r="Q124" s="55">
        <f t="shared" si="15"/>
        <v>27</v>
      </c>
      <c r="S124" s="60">
        <f t="shared" ref="S124:T128" si="16">IF(S116=1,S110,0)</f>
        <v>0</v>
      </c>
      <c r="T124" s="55">
        <f t="shared" si="16"/>
        <v>0</v>
      </c>
      <c r="V124" s="60">
        <f t="shared" ref="V124:W128" si="17">IF(V116=1,V110,0)</f>
        <v>0</v>
      </c>
      <c r="W124" s="55">
        <f t="shared" si="17"/>
        <v>0</v>
      </c>
      <c r="Y124" s="60">
        <f t="shared" ref="Y124:Z128" si="18">IF(Y116=1,Y110,0)</f>
        <v>0</v>
      </c>
      <c r="Z124" s="55">
        <f t="shared" si="18"/>
        <v>0</v>
      </c>
      <c r="AB124" s="60">
        <f t="shared" ref="AB124:AC128" si="19">IF(AB116=1,AB110,0)</f>
        <v>0</v>
      </c>
      <c r="AC124" s="55">
        <f t="shared" si="19"/>
        <v>0</v>
      </c>
      <c r="AE124" s="60">
        <f>IF(AE116=1,AE110,0)</f>
        <v>0</v>
      </c>
    </row>
    <row r="125" spans="1:48" s="55" customFormat="1" ht="12.75" hidden="1" customHeight="1" x14ac:dyDescent="0.2">
      <c r="A125" s="55" t="s">
        <v>89</v>
      </c>
      <c r="B125" s="55">
        <f>IF(B117=1,B111,0)</f>
        <v>0</v>
      </c>
      <c r="D125" s="60">
        <f t="shared" si="11"/>
        <v>0</v>
      </c>
      <c r="E125" s="55">
        <f t="shared" si="11"/>
        <v>0</v>
      </c>
      <c r="G125" s="60">
        <f t="shared" si="12"/>
        <v>0</v>
      </c>
      <c r="H125" s="55">
        <f t="shared" si="12"/>
        <v>0</v>
      </c>
      <c r="J125" s="60">
        <f t="shared" si="13"/>
        <v>0</v>
      </c>
      <c r="K125" s="55">
        <f t="shared" si="13"/>
        <v>0</v>
      </c>
      <c r="M125" s="60">
        <f t="shared" si="14"/>
        <v>0</v>
      </c>
      <c r="N125" s="55">
        <f t="shared" si="14"/>
        <v>0</v>
      </c>
      <c r="P125" s="60">
        <f t="shared" si="15"/>
        <v>0</v>
      </c>
      <c r="Q125" s="55">
        <f t="shared" si="15"/>
        <v>0</v>
      </c>
      <c r="S125" s="60">
        <f t="shared" si="16"/>
        <v>0</v>
      </c>
      <c r="T125" s="55">
        <f t="shared" si="16"/>
        <v>0</v>
      </c>
      <c r="V125" s="60">
        <f t="shared" si="17"/>
        <v>0</v>
      </c>
      <c r="W125" s="55">
        <f t="shared" si="17"/>
        <v>0</v>
      </c>
      <c r="Y125" s="60">
        <f t="shared" si="18"/>
        <v>0</v>
      </c>
      <c r="Z125" s="55">
        <f t="shared" si="18"/>
        <v>0</v>
      </c>
      <c r="AB125" s="60">
        <f t="shared" si="19"/>
        <v>0</v>
      </c>
      <c r="AC125" s="55">
        <f t="shared" si="19"/>
        <v>0</v>
      </c>
      <c r="AE125" s="60">
        <f>IF(AE117=1,AE111,0)</f>
        <v>0</v>
      </c>
    </row>
    <row r="126" spans="1:48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</row>
    <row r="127" spans="1:48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</row>
    <row r="128" spans="1:48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</row>
    <row r="129" spans="1:37" s="55" customFormat="1" ht="38.25" hidden="1" customHeight="1" x14ac:dyDescent="0.2">
      <c r="A129" s="59" t="s">
        <v>93</v>
      </c>
      <c r="B129" s="55">
        <f>SUM(B124:D128)</f>
        <v>23</v>
      </c>
      <c r="D129" s="60"/>
      <c r="E129" s="55">
        <f>SUM(E124:G128)</f>
        <v>28</v>
      </c>
      <c r="G129" s="60"/>
      <c r="H129" s="55">
        <f>SUM(H124:J128)</f>
        <v>24</v>
      </c>
      <c r="J129" s="60"/>
      <c r="K129" s="55">
        <f>SUM(K124:M128)</f>
        <v>24</v>
      </c>
      <c r="M129" s="60"/>
      <c r="N129" s="55">
        <f>SUM(N124:P128)</f>
        <v>25</v>
      </c>
      <c r="P129" s="60"/>
      <c r="Q129" s="55">
        <f>SUM(Q124:S128)</f>
        <v>27</v>
      </c>
      <c r="S129" s="60"/>
      <c r="T129" s="55">
        <f>SUM(T124:V128)</f>
        <v>0</v>
      </c>
      <c r="V129" s="60"/>
      <c r="W129" s="55">
        <f>SUM(W124:Y128)</f>
        <v>0</v>
      </c>
      <c r="Y129" s="60"/>
      <c r="Z129" s="55">
        <f>SUM(Z124:AB128)</f>
        <v>0</v>
      </c>
      <c r="AB129" s="60"/>
      <c r="AC129" s="55">
        <f>SUM(AC124:AE128)</f>
        <v>0</v>
      </c>
      <c r="AE129" s="60"/>
    </row>
    <row r="130" spans="1:37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</row>
    <row r="131" spans="1:37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0</v>
      </c>
      <c r="G131" s="60">
        <f>IF(G109=1,IF(G122=1,1,0),0)</f>
        <v>0</v>
      </c>
      <c r="H131" s="55">
        <f>IF(H109=1,IF(H122=1,1,0),0)</f>
        <v>1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0</v>
      </c>
      <c r="P131" s="60">
        <f>IF(P109=1,IF(P122=1,1,0),0)</f>
        <v>0</v>
      </c>
      <c r="Q131" s="55">
        <f>IF(Q109=1,IF(Q122=1,1,0),0)</f>
        <v>1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0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2</v>
      </c>
      <c r="AG131" s="55">
        <f>AF137-AF131</f>
        <v>2</v>
      </c>
    </row>
    <row r="132" spans="1:37" s="55" customFormat="1" ht="12.75" hidden="1" customHeight="1" x14ac:dyDescent="0.2">
      <c r="A132" s="55" t="s">
        <v>98</v>
      </c>
      <c r="B132" s="55">
        <f>IF(B109=2,IF(B122=1,1,0),0)</f>
        <v>0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0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0</v>
      </c>
      <c r="AG132" s="55">
        <f>AF138-AF132</f>
        <v>4</v>
      </c>
    </row>
    <row r="133" spans="1:37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1</v>
      </c>
      <c r="E133" s="55">
        <f>IF(E109=3,IF(E122=1,1,0),0)</f>
        <v>0</v>
      </c>
      <c r="G133" s="60">
        <f>IF(G109=3,IF(G122=1,1,0),0)</f>
        <v>1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1</v>
      </c>
      <c r="N133" s="55">
        <f>IF(N109=3,IF(N122=1,1,0),0)</f>
        <v>0</v>
      </c>
      <c r="P133" s="60">
        <f>IF(P109=3,IF(P122=1,1,0),0)</f>
        <v>1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4</v>
      </c>
      <c r="AG133" s="55">
        <f>AF139-AF133</f>
        <v>0</v>
      </c>
    </row>
    <row r="134" spans="1:37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0</v>
      </c>
      <c r="AG134" s="55">
        <f>AF140-AF134</f>
        <v>0</v>
      </c>
    </row>
    <row r="135" spans="1:37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0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0</v>
      </c>
      <c r="AG135" s="55">
        <f>AF141-AF135</f>
        <v>0</v>
      </c>
    </row>
    <row r="136" spans="1:37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</row>
    <row r="137" spans="1:37" s="55" customFormat="1" ht="12.75" hidden="1" customHeight="1" x14ac:dyDescent="0.2">
      <c r="A137" s="55" t="s">
        <v>103</v>
      </c>
      <c r="B137" s="55">
        <f>IF(B109=1,IF(C122=1,1,0),0)</f>
        <v>1</v>
      </c>
      <c r="D137" s="60">
        <f>IF(D109=1,IF(C122=1,1,0),0)</f>
        <v>0</v>
      </c>
      <c r="E137" s="55">
        <f>IF(E109=1,IF(F122=1,1,0),0)</f>
        <v>0</v>
      </c>
      <c r="G137" s="60">
        <f>IF(G109=1,IF(F122=1,1,0),0)</f>
        <v>0</v>
      </c>
      <c r="H137" s="55">
        <f>IF(H109=1,IF(I122=1,1,0),0)</f>
        <v>1</v>
      </c>
      <c r="J137" s="60">
        <f>IF(J109=1,IF(I122=1,1,0),0)</f>
        <v>0</v>
      </c>
      <c r="K137" s="55">
        <f>IF(K109=1,IF(L122=1,1,0),0)</f>
        <v>1</v>
      </c>
      <c r="M137" s="60">
        <f>IF(M109=1,IF(L122=1,1,0),0)</f>
        <v>0</v>
      </c>
      <c r="N137" s="55">
        <f>IF(N109=1,IF(O122=1,1,0),0)</f>
        <v>0</v>
      </c>
      <c r="P137" s="60">
        <f>IF(P109=1,IF(O122=1,1,0),0)</f>
        <v>0</v>
      </c>
      <c r="Q137" s="55">
        <f>IF(Q109=1,IF(R122=1,1,0),0)</f>
        <v>1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0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0</v>
      </c>
      <c r="AE137" s="60">
        <f>IF(AE109=1,IF(AD122=1,1,0),0)</f>
        <v>0</v>
      </c>
      <c r="AF137" s="55">
        <f>SUM(B137:AE137)</f>
        <v>4</v>
      </c>
    </row>
    <row r="138" spans="1:37" s="55" customFormat="1" ht="12.75" hidden="1" customHeight="1" x14ac:dyDescent="0.2">
      <c r="A138" s="55" t="s">
        <v>104</v>
      </c>
      <c r="B138" s="55">
        <f>IF(B109=2,IF(C122=1,1,0),0)</f>
        <v>0</v>
      </c>
      <c r="D138" s="60">
        <f>IF(D109=2,IF(C122=1,1,0),0)</f>
        <v>0</v>
      </c>
      <c r="E138" s="55">
        <f>IF(E109=2,IF(F122=1,1,0),0)</f>
        <v>1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1</v>
      </c>
      <c r="K138" s="55">
        <f>IF(K109=2,IF(L122=1,1,0),0)</f>
        <v>0</v>
      </c>
      <c r="M138" s="60">
        <f>IF(M109=2,IF(L122=1,1,0),0)</f>
        <v>0</v>
      </c>
      <c r="N138" s="55">
        <f>IF(N109=2,IF(O122=1,1,0),0)</f>
        <v>1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1</v>
      </c>
      <c r="T138" s="55">
        <f>IF(T109=2,IF(U122=1,1,0),0)</f>
        <v>0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0</v>
      </c>
      <c r="AF138" s="55">
        <f>SUM(B138:AE138)</f>
        <v>4</v>
      </c>
    </row>
    <row r="139" spans="1:37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1</v>
      </c>
      <c r="E139" s="55">
        <f>IF(E109=3,IF(F122=1,1,0),0)</f>
        <v>0</v>
      </c>
      <c r="G139" s="60">
        <f>IF(G109=3,IF(F122=1,1,0),0)</f>
        <v>1</v>
      </c>
      <c r="H139" s="55">
        <f>IF(H109=3,IF(I122=1,1,0),0)</f>
        <v>0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1</v>
      </c>
      <c r="N139" s="55">
        <f>IF(N109=3,IF(O122=1,1,0),0)</f>
        <v>0</v>
      </c>
      <c r="P139" s="60">
        <f>IF(P109=3,IF(O122=1,1,0),0)</f>
        <v>1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0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0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4</v>
      </c>
    </row>
    <row r="140" spans="1:37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0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0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0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0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0</v>
      </c>
    </row>
    <row r="141" spans="1:37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0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0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0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0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0</v>
      </c>
    </row>
    <row r="142" spans="1:37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</row>
    <row r="143" spans="1:37" s="55" customFormat="1" ht="12.75" hidden="1" customHeight="1" x14ac:dyDescent="0.2">
      <c r="A143" s="55" t="s">
        <v>103</v>
      </c>
      <c r="B143" s="55">
        <f>IF(B109=1,B129,0)</f>
        <v>23</v>
      </c>
      <c r="D143" s="60">
        <f>IF(D109=1,B129,0)</f>
        <v>0</v>
      </c>
      <c r="E143" s="55">
        <f>IF(E109=1,E129,0)</f>
        <v>0</v>
      </c>
      <c r="G143" s="60">
        <f>IF(G109=1,E129,0)</f>
        <v>0</v>
      </c>
      <c r="H143" s="55">
        <f>IF(H109=1,H129,0)</f>
        <v>24</v>
      </c>
      <c r="J143" s="60">
        <f>IF(J109=1,H129,0)</f>
        <v>0</v>
      </c>
      <c r="K143" s="55">
        <f>IF(K109=1,K129,0)</f>
        <v>24</v>
      </c>
      <c r="M143" s="60">
        <f>IF(M109=1,K129,0)</f>
        <v>0</v>
      </c>
      <c r="N143" s="55">
        <f>IF(N109=1,N129,0)</f>
        <v>0</v>
      </c>
      <c r="P143" s="60">
        <f>IF(P109=1,N129,0)</f>
        <v>0</v>
      </c>
      <c r="Q143" s="55">
        <f>IF(Q109=1,Q129,0)</f>
        <v>27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0</v>
      </c>
      <c r="AE143" s="60">
        <f>IF(AE109=1,AC129,0)</f>
        <v>0</v>
      </c>
      <c r="AF143" s="55">
        <f>SUM(B143:AE143)</f>
        <v>98</v>
      </c>
    </row>
    <row r="144" spans="1:37" s="55" customFormat="1" ht="12.75" hidden="1" customHeight="1" x14ac:dyDescent="0.2">
      <c r="A144" s="55" t="s">
        <v>104</v>
      </c>
      <c r="B144" s="55">
        <f>IF(B109=2,B129,0)</f>
        <v>0</v>
      </c>
      <c r="D144" s="60">
        <f>IF(D109=2,B129,0)</f>
        <v>0</v>
      </c>
      <c r="E144" s="55">
        <f>IF(E109=2,E129,0)</f>
        <v>28</v>
      </c>
      <c r="G144" s="60">
        <f>IF(G109=2,E129,0)</f>
        <v>0</v>
      </c>
      <c r="H144" s="55">
        <f>IF(H109=2,H129,0)</f>
        <v>0</v>
      </c>
      <c r="J144" s="60">
        <f>IF(J109=2,H129,0)</f>
        <v>24</v>
      </c>
      <c r="K144" s="55">
        <f>IF(K109=2,K129,0)</f>
        <v>0</v>
      </c>
      <c r="M144" s="60">
        <f>IF(M109=2,K129,0)</f>
        <v>0</v>
      </c>
      <c r="N144" s="55">
        <f>IF(N109=2,N129,0)</f>
        <v>25</v>
      </c>
      <c r="P144" s="60">
        <f>IF(P109=2,N129,0)</f>
        <v>0</v>
      </c>
      <c r="Q144" s="55">
        <f>IF(Q109=2,Q129,0)</f>
        <v>0</v>
      </c>
      <c r="S144" s="60">
        <f>IF(S109=2,Q129,0)</f>
        <v>27</v>
      </c>
      <c r="T144" s="55">
        <f>IF(T109=2,T129,0)</f>
        <v>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0</v>
      </c>
      <c r="AF144" s="55">
        <f>SUM(B144:AE144)</f>
        <v>104</v>
      </c>
    </row>
    <row r="145" spans="1:33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23</v>
      </c>
      <c r="E145" s="55">
        <f>IF(E109=3,E129,0)</f>
        <v>0</v>
      </c>
      <c r="G145" s="60">
        <f>IF(G109=3,E129,0)</f>
        <v>28</v>
      </c>
      <c r="H145" s="55">
        <f>IF(H109=3,H129,0)</f>
        <v>0</v>
      </c>
      <c r="J145" s="60">
        <f>IF(J109=3,H129,0)</f>
        <v>0</v>
      </c>
      <c r="K145" s="55">
        <f>IF(K109=3,K129,0)</f>
        <v>0</v>
      </c>
      <c r="M145" s="60">
        <f>IF(M109=3,K129,0)</f>
        <v>24</v>
      </c>
      <c r="N145" s="55">
        <f>IF(N109=3,N129,0)</f>
        <v>0</v>
      </c>
      <c r="P145" s="60">
        <f>IF(P109=3,N129,0)</f>
        <v>25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0</v>
      </c>
      <c r="W145" s="55">
        <f>IF(W109=3,W129,0)</f>
        <v>0</v>
      </c>
      <c r="Y145" s="60">
        <f>IF(Y109=3,W129,0)</f>
        <v>0</v>
      </c>
      <c r="Z145" s="55">
        <f>IF(Z109=3,Z129,0)</f>
        <v>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100</v>
      </c>
    </row>
    <row r="146" spans="1:33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0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0</v>
      </c>
      <c r="N146" s="55">
        <f>IF(N109=4,N129,0)</f>
        <v>0</v>
      </c>
      <c r="P146" s="60">
        <f>IF(P109=4,N129,0)</f>
        <v>0</v>
      </c>
      <c r="Q146" s="55">
        <f>IF(Q109=4,Q129,0)</f>
        <v>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0</v>
      </c>
      <c r="AC146" s="55">
        <f>IF(AC109=4,AC129,0)</f>
        <v>0</v>
      </c>
      <c r="AE146" s="60">
        <f>IF(AE109=4,AC129,0)</f>
        <v>0</v>
      </c>
      <c r="AF146" s="55">
        <f>SUM(B146:AE146)</f>
        <v>0</v>
      </c>
    </row>
    <row r="147" spans="1:33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0</v>
      </c>
    </row>
    <row r="148" spans="1:33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</row>
    <row r="149" spans="1:33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0</v>
      </c>
      <c r="G149" s="60">
        <f>IF(G109=1,SUMIF(G116:G120,"&gt;0"),0)</f>
        <v>0</v>
      </c>
      <c r="H149" s="55">
        <f>IF(H109=1,SUMIF(H116:H120,"&gt;0"),0)</f>
        <v>1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0</v>
      </c>
      <c r="P149" s="60">
        <f>IF(P109=1,SUMIF(P116:P120,"&gt;0"),0)</f>
        <v>0</v>
      </c>
      <c r="Q149" s="55">
        <f>IF(Q109=1,SUMIF(Q116:Q120,"&gt;0"),0)</f>
        <v>1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0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0</v>
      </c>
      <c r="AE149" s="60">
        <f>IF(AE109=1,SUMIF(AE116:AE120,"&gt;0"),0)</f>
        <v>0</v>
      </c>
      <c r="AF149" s="55">
        <f>SUM(B149:AE149)</f>
        <v>2</v>
      </c>
      <c r="AG149" s="55">
        <f>AF157-AF149</f>
        <v>2</v>
      </c>
    </row>
    <row r="150" spans="1:33" s="55" customFormat="1" ht="12.75" hidden="1" customHeight="1" x14ac:dyDescent="0.2">
      <c r="A150" s="55" t="s">
        <v>98</v>
      </c>
      <c r="B150" s="55">
        <f>IF(B109=2,SUMIF(B116:B120,"&gt;0"),0)</f>
        <v>0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0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0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0</v>
      </c>
      <c r="AG150" s="55">
        <f>AF158-AF150</f>
        <v>4</v>
      </c>
    </row>
    <row r="151" spans="1:33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1</v>
      </c>
      <c r="E151" s="55">
        <f>IF(E109=3,SUMIF(E116:E120,"&gt;0"),0)</f>
        <v>0</v>
      </c>
      <c r="G151" s="60">
        <f>IF(G109=3,SUMIF(G116:G120,"&gt;0"),0)</f>
        <v>1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1</v>
      </c>
      <c r="N151" s="55">
        <f>IF(N109=3,SUMIF(N116:N120,"&gt;0"),0)</f>
        <v>0</v>
      </c>
      <c r="P151" s="60">
        <f>IF(P109=3,SUMIF(P116:P120,"&gt;0"),0)</f>
        <v>1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0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4</v>
      </c>
      <c r="AG151" s="55">
        <f>AF159-AF151</f>
        <v>0</v>
      </c>
    </row>
    <row r="152" spans="1:33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0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0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0</v>
      </c>
      <c r="AG152" s="55">
        <f>AF160-AF152</f>
        <v>0</v>
      </c>
    </row>
    <row r="153" spans="1:33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0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0</v>
      </c>
      <c r="AG153" s="55">
        <f>AF161-AF153</f>
        <v>0</v>
      </c>
    </row>
    <row r="154" spans="1:33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</row>
    <row r="155" spans="1:33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</row>
    <row r="156" spans="1:33" s="55" customFormat="1" ht="51" hidden="1" customHeight="1" x14ac:dyDescent="0.2">
      <c r="A156" s="59" t="s">
        <v>112</v>
      </c>
      <c r="C156" s="55">
        <f>SUMIF(B149:D153,"&gt;0")</f>
        <v>1</v>
      </c>
      <c r="D156" s="60"/>
      <c r="F156" s="55">
        <f>SUMIF(E149:G153,"&gt;0")</f>
        <v>1</v>
      </c>
      <c r="G156" s="60"/>
      <c r="I156" s="55">
        <f>SUMIF(H149:J153,"&gt;0")</f>
        <v>1</v>
      </c>
      <c r="J156" s="60"/>
      <c r="L156" s="55">
        <f>SUMIF(K149:M153,"&gt;0")</f>
        <v>1</v>
      </c>
      <c r="M156" s="60"/>
      <c r="O156" s="55">
        <f>SUMIF(N149:P153,"&gt;0")</f>
        <v>1</v>
      </c>
      <c r="P156" s="60"/>
      <c r="R156" s="55">
        <f>SUMIF(Q149:S153,"&gt;0")</f>
        <v>1</v>
      </c>
      <c r="S156" s="60"/>
      <c r="U156" s="55">
        <f>SUMIF(T149:V153,"&gt;0")</f>
        <v>0</v>
      </c>
      <c r="V156" s="60"/>
      <c r="X156" s="55">
        <f>SUMIF(W149:Y153,"&gt;0")</f>
        <v>0</v>
      </c>
      <c r="Y156" s="60"/>
      <c r="AA156" s="55">
        <f>SUMIF(Z149:AB153,"&gt;0")</f>
        <v>0</v>
      </c>
      <c r="AB156" s="60"/>
      <c r="AD156" s="55">
        <f>SUMIF(AC149:AE153,"&gt;0")</f>
        <v>0</v>
      </c>
      <c r="AE156" s="60"/>
      <c r="AF156" s="59" t="s">
        <v>113</v>
      </c>
    </row>
    <row r="157" spans="1:33" s="55" customFormat="1" ht="12.75" hidden="1" customHeight="1" x14ac:dyDescent="0.2">
      <c r="A157" s="55" t="s">
        <v>103</v>
      </c>
      <c r="B157" s="55">
        <f>IF(B109=1,C156,0)</f>
        <v>1</v>
      </c>
      <c r="D157" s="60">
        <f>IF(D109=1,C156,0)</f>
        <v>0</v>
      </c>
      <c r="E157" s="55">
        <f>IF(E109=1,F156,0)</f>
        <v>0</v>
      </c>
      <c r="G157" s="60">
        <f>IF(G109=1,F156,0)</f>
        <v>0</v>
      </c>
      <c r="H157" s="55">
        <f>IF(H109=1,I156,0)</f>
        <v>1</v>
      </c>
      <c r="J157" s="60">
        <f>IF(J109=1,I156,0)</f>
        <v>0</v>
      </c>
      <c r="K157" s="55">
        <f>IF(K109=1,L156,0)</f>
        <v>1</v>
      </c>
      <c r="M157" s="60">
        <f>IF(M109=1,L156,0)</f>
        <v>0</v>
      </c>
      <c r="N157" s="55">
        <f>IF(N109=1,O156,0)</f>
        <v>0</v>
      </c>
      <c r="P157" s="60">
        <f>IF(P109=1,O156,0)</f>
        <v>0</v>
      </c>
      <c r="Q157" s="55">
        <f>IF(Q109=1,R156,0)</f>
        <v>1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0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0</v>
      </c>
      <c r="AE157" s="60">
        <f>IF(AE109=1,AD156,0)</f>
        <v>0</v>
      </c>
      <c r="AF157" s="55">
        <f>SUM(B157:AE157)</f>
        <v>4</v>
      </c>
    </row>
    <row r="158" spans="1:33" s="55" customFormat="1" ht="12.75" hidden="1" customHeight="1" x14ac:dyDescent="0.2">
      <c r="A158" s="55" t="s">
        <v>104</v>
      </c>
      <c r="B158" s="55">
        <f>IF(B109=2,C156,0)</f>
        <v>0</v>
      </c>
      <c r="D158" s="60">
        <f>IF(D109=2,C156,0)</f>
        <v>0</v>
      </c>
      <c r="E158" s="55">
        <f>IF(E109=2,F156,0)</f>
        <v>1</v>
      </c>
      <c r="G158" s="60">
        <f>IF(G109=2,F156,0)</f>
        <v>0</v>
      </c>
      <c r="H158" s="55">
        <f>IF(H109=2,I156,0)</f>
        <v>0</v>
      </c>
      <c r="J158" s="60">
        <f>IF(J109=2,I156,0)</f>
        <v>1</v>
      </c>
      <c r="K158" s="55">
        <f>IF(K109=2,L156,0)</f>
        <v>0</v>
      </c>
      <c r="M158" s="60">
        <f>IF(M109=2,L156,0)</f>
        <v>0</v>
      </c>
      <c r="N158" s="55">
        <f>IF(N109=2,O156,0)</f>
        <v>1</v>
      </c>
      <c r="P158" s="60">
        <f>IF(P109=2,O156,0)</f>
        <v>0</v>
      </c>
      <c r="Q158" s="55">
        <f>IF(Q109=2,R156,0)</f>
        <v>0</v>
      </c>
      <c r="S158" s="60">
        <f>IF(S109=2,R156,0)</f>
        <v>1</v>
      </c>
      <c r="T158" s="55">
        <f>IF(T109=2,U156,0)</f>
        <v>0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0</v>
      </c>
      <c r="AF158" s="55">
        <f>SUM(B158:AE158)</f>
        <v>4</v>
      </c>
    </row>
    <row r="159" spans="1:33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1</v>
      </c>
      <c r="E159" s="55">
        <f>IF(E109=3,F156,0)</f>
        <v>0</v>
      </c>
      <c r="G159" s="60">
        <f>IF(G109=3,F156,0)</f>
        <v>1</v>
      </c>
      <c r="H159" s="55">
        <f>IF(H109=3,I156,0)</f>
        <v>0</v>
      </c>
      <c r="J159" s="60">
        <f>IF(J109=3,I156,0)</f>
        <v>0</v>
      </c>
      <c r="K159" s="55">
        <f>IF(K109=3,L156,0)</f>
        <v>0</v>
      </c>
      <c r="M159" s="60">
        <f>IF(M109=3,L156,0)</f>
        <v>1</v>
      </c>
      <c r="N159" s="55">
        <f>IF(N109=3,O156,0)</f>
        <v>0</v>
      </c>
      <c r="P159" s="60">
        <f>IF(P109=3,O156,0)</f>
        <v>1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0</v>
      </c>
      <c r="W159" s="55">
        <f>IF(W109=3,X156,0)</f>
        <v>0</v>
      </c>
      <c r="Y159" s="60">
        <f>IF(Y109=3,X156,0)</f>
        <v>0</v>
      </c>
      <c r="Z159" s="55">
        <f>IF(Z109=3,AA156,0)</f>
        <v>0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4</v>
      </c>
    </row>
    <row r="160" spans="1:33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0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0</v>
      </c>
      <c r="N160" s="55">
        <f>IF(N109=4,O156,0)</f>
        <v>0</v>
      </c>
      <c r="P160" s="60">
        <f>IF(P109=4,O156,0)</f>
        <v>0</v>
      </c>
      <c r="Q160" s="55">
        <f>IF(Q109=4,R156,0)</f>
        <v>0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0</v>
      </c>
      <c r="AC160" s="55">
        <f>IF(AC109=4,AD156,0)</f>
        <v>0</v>
      </c>
      <c r="AE160" s="60">
        <f>IF(AE109=4,AD156,0)</f>
        <v>0</v>
      </c>
      <c r="AF160" s="55">
        <f>SUM(B160:AE160)</f>
        <v>0</v>
      </c>
    </row>
    <row r="161" spans="1:49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0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0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0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0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0</v>
      </c>
      <c r="AT161" s="63"/>
      <c r="AU161" s="63"/>
      <c r="AV161" s="63"/>
    </row>
    <row r="162" spans="1:49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AW162" s="130"/>
    </row>
    <row r="163" spans="1:49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</row>
    <row r="164" spans="1:49" s="63" customFormat="1" hidden="1" x14ac:dyDescent="0.2">
      <c r="A164" s="67">
        <v>1</v>
      </c>
      <c r="B164" s="67" t="str">
        <f>E93</f>
        <v>Kidz Power Intense col</v>
      </c>
      <c r="C164" s="67">
        <f>VLOOKUP(B164,AU$3:AW$33,3,FALSE)</f>
        <v>1238.5911205484977</v>
      </c>
      <c r="D164" s="67">
        <f>IF(B157,B172,IF(D157,D172,C164))</f>
        <v>1220.9642304078122</v>
      </c>
      <c r="E164" s="67"/>
      <c r="F164" s="67"/>
      <c r="G164" s="67">
        <f>IF(E157,E172,IF(G157,G172,D164))</f>
        <v>1220.9642304078122</v>
      </c>
      <c r="H164" s="67"/>
      <c r="I164" s="67"/>
      <c r="J164" s="67">
        <f>IF(H157,H172,IF(J157,J172,G164))</f>
        <v>1235.3118684527321</v>
      </c>
      <c r="K164" s="67"/>
      <c r="L164" s="67"/>
      <c r="M164" s="67">
        <f>IF(K157,K172,IF(M157,M172,J164))</f>
        <v>1219.334935527806</v>
      </c>
      <c r="N164" s="67"/>
      <c r="O164" s="67"/>
      <c r="P164" s="67">
        <f>IF(N157,N172,IF(P157,P172,M164))</f>
        <v>1219.334935527806</v>
      </c>
      <c r="Q164" s="67"/>
      <c r="R164" s="67"/>
      <c r="S164" s="67">
        <f>IF(Q157,Q172,IF(S157,S172,P164))</f>
        <v>1232.5518241924728</v>
      </c>
      <c r="T164" s="67"/>
      <c r="U164" s="67"/>
      <c r="V164" s="67">
        <f>IF(T157,T172,IF(V157,V172,S164))</f>
        <v>1232.5518241924728</v>
      </c>
      <c r="W164" s="67"/>
      <c r="X164" s="67"/>
      <c r="Y164" s="67">
        <f>IF(W157,W172,IF(Y157,Y172,V164))</f>
        <v>1232.5518241924728</v>
      </c>
      <c r="Z164" s="67"/>
      <c r="AA164" s="67"/>
      <c r="AB164" s="67">
        <f>IF(Z157,Z172,IF(AB157,AB172,Y164))</f>
        <v>1232.5518241924728</v>
      </c>
      <c r="AC164" s="67"/>
      <c r="AD164" s="67"/>
      <c r="AE164" s="67">
        <f>IF(AC157,AC172,IF(AE157,AE172,AB164))</f>
        <v>1232.5518241924728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Kidz Power Intense col</v>
      </c>
      <c r="AU164" s="63">
        <f>AE164</f>
        <v>1232.5518241924728</v>
      </c>
      <c r="AW164" s="66"/>
    </row>
    <row r="165" spans="1:49" s="63" customFormat="1" hidden="1" x14ac:dyDescent="0.2">
      <c r="A165" s="67">
        <v>2</v>
      </c>
      <c r="B165" s="67" t="str">
        <f>E95</f>
        <v>columbia sc starlings 13</v>
      </c>
      <c r="C165" s="67">
        <f>VLOOKUP(B165,AU$3:AW$33,3,FALSE)</f>
        <v>1200</v>
      </c>
      <c r="D165" s="67">
        <f>IF(B158,B172,IF(D158,D172,C165))</f>
        <v>1200</v>
      </c>
      <c r="E165" s="67"/>
      <c r="F165" s="67"/>
      <c r="G165" s="67">
        <f>IF(E158,E172,IF(G158,G172,D165))</f>
        <v>1184.9552656335941</v>
      </c>
      <c r="H165" s="67"/>
      <c r="I165" s="67"/>
      <c r="J165" s="67">
        <f>IF(H158,H172,IF(J158,J172,G165))</f>
        <v>1170.6076275886742</v>
      </c>
      <c r="K165" s="67"/>
      <c r="L165" s="67"/>
      <c r="M165" s="67">
        <f>IF(K158,K172,IF(M158,M172,J165))</f>
        <v>1170.6076275886742</v>
      </c>
      <c r="N165" s="67"/>
      <c r="O165" s="67"/>
      <c r="P165" s="67">
        <f>IF(N158,N172,IF(P158,P172,M165))</f>
        <v>1158.2796150810036</v>
      </c>
      <c r="Q165" s="67"/>
      <c r="R165" s="67"/>
      <c r="S165" s="67">
        <f>IF(Q158,Q172,IF(S158,S172,P165))</f>
        <v>1145.0627264163368</v>
      </c>
      <c r="T165" s="67"/>
      <c r="U165" s="67"/>
      <c r="V165" s="67">
        <f>IF(T158,T172,IF(V158,V172,S165))</f>
        <v>1145.0627264163368</v>
      </c>
      <c r="W165" s="67"/>
      <c r="X165" s="67"/>
      <c r="Y165" s="67">
        <f>IF(W158,W172,IF(Y158,Y172,V165))</f>
        <v>1145.0627264163368</v>
      </c>
      <c r="Z165" s="67"/>
      <c r="AA165" s="67"/>
      <c r="AB165" s="67">
        <f>IF(Z158,Z172,IF(AB158,AB172,Y165))</f>
        <v>1145.0627264163368</v>
      </c>
      <c r="AC165" s="67"/>
      <c r="AD165" s="67"/>
      <c r="AE165" s="67">
        <f>IF(AC158,AC172,IF(AE158,AE172,AB165))</f>
        <v>1145.0627264163368</v>
      </c>
      <c r="AF165" s="4"/>
      <c r="AG165" s="4"/>
      <c r="AJ165" s="4"/>
      <c r="AL165" s="4"/>
      <c r="AM165" s="4"/>
      <c r="AN165" s="4"/>
      <c r="AO165" s="4"/>
      <c r="AT165" s="63" t="str">
        <f>B165</f>
        <v>columbia sc starlings 13</v>
      </c>
      <c r="AU165" s="63">
        <f>AE165</f>
        <v>1145.0627264163368</v>
      </c>
      <c r="AW165" s="66"/>
    </row>
    <row r="166" spans="1:49" s="63" customFormat="1" hidden="1" x14ac:dyDescent="0.2">
      <c r="A166" s="67">
        <v>3</v>
      </c>
      <c r="B166" s="67" t="str">
        <f>E97</f>
        <v>Foothills 12 Rachel</v>
      </c>
      <c r="C166" s="67">
        <f>VLOOKUP(B166,AU$3:AW$33,3,FALSE)</f>
        <v>1203.1411394635875</v>
      </c>
      <c r="D166" s="67">
        <f>IF(B159,B172,IF(D159,D172,C166))</f>
        <v>1220.7680296042729</v>
      </c>
      <c r="E166" s="67"/>
      <c r="F166" s="67"/>
      <c r="G166" s="67">
        <f>IF(E159,E172,IF(G159,G172,D166))</f>
        <v>1235.8127639706788</v>
      </c>
      <c r="H166" s="67"/>
      <c r="I166" s="67"/>
      <c r="J166" s="67">
        <f>IF(H159,H172,IF(J159,J172,G166))</f>
        <v>1235.8127639706788</v>
      </c>
      <c r="K166" s="67"/>
      <c r="L166" s="67"/>
      <c r="M166" s="67">
        <f>IF(K159,K172,IF(M159,M172,J166))</f>
        <v>1251.7896968956049</v>
      </c>
      <c r="N166" s="67"/>
      <c r="O166" s="67"/>
      <c r="P166" s="67">
        <f>IF(N159,N172,IF(P159,P172,M166))</f>
        <v>1264.1177094032755</v>
      </c>
      <c r="Q166" s="67"/>
      <c r="R166" s="67"/>
      <c r="S166" s="67">
        <f>IF(Q159,Q172,IF(S159,S172,P166))</f>
        <v>1264.1177094032755</v>
      </c>
      <c r="T166" s="67"/>
      <c r="U166" s="67"/>
      <c r="V166" s="67">
        <f>IF(T159,T172,IF(V159,V172,S166))</f>
        <v>1264.1177094032755</v>
      </c>
      <c r="W166" s="67"/>
      <c r="X166" s="67"/>
      <c r="Y166" s="67">
        <f>IF(W159,W172,IF(Y159,Y172,V166))</f>
        <v>1264.1177094032755</v>
      </c>
      <c r="Z166" s="67"/>
      <c r="AA166" s="67"/>
      <c r="AB166" s="67">
        <f>IF(Z159,Z172,IF(AB159,AB172,Y166))</f>
        <v>1264.1177094032755</v>
      </c>
      <c r="AC166" s="67"/>
      <c r="AD166" s="67"/>
      <c r="AE166" s="67">
        <f>IF(AC159,AC172,IF(AE159,AE172,AB166))</f>
        <v>1264.1177094032755</v>
      </c>
      <c r="AF166" s="4"/>
      <c r="AG166" s="4"/>
      <c r="AJ166" s="4"/>
      <c r="AL166" s="4"/>
      <c r="AM166" s="4"/>
      <c r="AN166" s="4"/>
      <c r="AO166" s="4"/>
      <c r="AT166" s="63" t="str">
        <f>B166</f>
        <v>Foothills 12 Rachel</v>
      </c>
      <c r="AU166" s="63">
        <f>AE166</f>
        <v>1264.1177094032755</v>
      </c>
      <c r="AW166" s="66"/>
    </row>
    <row r="167" spans="1:49" s="63" customFormat="1" hidden="1" x14ac:dyDescent="0.2">
      <c r="A167" s="67">
        <v>4</v>
      </c>
      <c r="B167" s="67" t="str">
        <f>E99</f>
        <v>Team 11</v>
      </c>
      <c r="C167" s="67">
        <f>VLOOKUP(B167,AU$3:AW$33,3,FALSE)</f>
        <v>0</v>
      </c>
      <c r="D167" s="67">
        <f>IF(B160,B172,IF(D160,D172,C167))</f>
        <v>0</v>
      </c>
      <c r="E167" s="67"/>
      <c r="F167" s="67"/>
      <c r="G167" s="67">
        <f>IF(E160,E172,IF(G160,G172,D167))</f>
        <v>0</v>
      </c>
      <c r="H167" s="67"/>
      <c r="I167" s="67"/>
      <c r="J167" s="67">
        <f>IF(H160,H172,IF(J160,J172,G167))</f>
        <v>0</v>
      </c>
      <c r="K167" s="67"/>
      <c r="L167" s="67"/>
      <c r="M167" s="67">
        <f>IF(K160,K172,IF(M160,M172,J167))</f>
        <v>0</v>
      </c>
      <c r="N167" s="67"/>
      <c r="O167" s="67"/>
      <c r="P167" s="67">
        <f>IF(N160,N172,IF(P160,P172,M167))</f>
        <v>0</v>
      </c>
      <c r="Q167" s="67"/>
      <c r="R167" s="67"/>
      <c r="S167" s="67">
        <f>IF(Q160,Q172,IF(S160,S172,P167))</f>
        <v>0</v>
      </c>
      <c r="T167" s="67"/>
      <c r="U167" s="67"/>
      <c r="V167" s="67">
        <f>IF(T160,T172,IF(V160,V172,S167))</f>
        <v>0</v>
      </c>
      <c r="W167" s="67"/>
      <c r="X167" s="67"/>
      <c r="Y167" s="67">
        <f>IF(W160,W172,IF(Y160,Y172,V167))</f>
        <v>0</v>
      </c>
      <c r="Z167" s="67"/>
      <c r="AA167" s="67"/>
      <c r="AB167" s="67">
        <f>IF(Z160,Z172,IF(AB160,AB172,Y167))</f>
        <v>0</v>
      </c>
      <c r="AC167" s="67"/>
      <c r="AD167" s="67"/>
      <c r="AE167" s="67">
        <f>IF(AC160,AC172,IF(AE160,AE172,AB167))</f>
        <v>0</v>
      </c>
      <c r="AF167" s="4"/>
      <c r="AG167" s="4"/>
      <c r="AJ167" s="4"/>
      <c r="AL167" s="4"/>
      <c r="AM167" s="4"/>
      <c r="AN167" s="4"/>
      <c r="AO167" s="4"/>
      <c r="AT167" s="63" t="str">
        <f>B167</f>
        <v>Team 11</v>
      </c>
      <c r="AU167" s="63">
        <f>AE167</f>
        <v>0</v>
      </c>
      <c r="AW167" s="66"/>
    </row>
    <row r="168" spans="1:49" s="63" customFormat="1" hidden="1" x14ac:dyDescent="0.2">
      <c r="A168" s="67">
        <v>5</v>
      </c>
      <c r="B168" s="67">
        <f>E101</f>
        <v>0</v>
      </c>
      <c r="C168" s="67" t="e">
        <f>VLOOKUP(B168,AU$3:AW$33,3,FALSE)</f>
        <v>#N/A</v>
      </c>
      <c r="D168" s="67" t="e">
        <f>IF(B161,B172,IF(D161,D172,C168))</f>
        <v>#N/A</v>
      </c>
      <c r="E168" s="67"/>
      <c r="F168" s="67"/>
      <c r="G168" s="67" t="e">
        <f>IF(E161,E172,IF(G161,G172,D168))</f>
        <v>#N/A</v>
      </c>
      <c r="H168" s="67"/>
      <c r="I168" s="67"/>
      <c r="J168" s="67" t="e">
        <f>IF(H161,H172,IF(J161,J172,G168))</f>
        <v>#N/A</v>
      </c>
      <c r="K168" s="67"/>
      <c r="L168" s="67"/>
      <c r="M168" s="67" t="e">
        <f>IF(K161,K172,IF(M161,M172,J168))</f>
        <v>#N/A</v>
      </c>
      <c r="N168" s="67"/>
      <c r="O168" s="67"/>
      <c r="P168" s="67" t="e">
        <f>IF(N161,N172,IF(P161,P172,M168))</f>
        <v>#N/A</v>
      </c>
      <c r="Q168" s="67"/>
      <c r="R168" s="67"/>
      <c r="S168" s="67" t="e">
        <f>IF(Q161,Q172,IF(S161,S172,P168))</f>
        <v>#N/A</v>
      </c>
      <c r="T168" s="67"/>
      <c r="U168" s="67"/>
      <c r="V168" s="67" t="e">
        <f>IF(T161,T172,IF(V161,V172,S168))</f>
        <v>#N/A</v>
      </c>
      <c r="W168" s="67"/>
      <c r="X168" s="67"/>
      <c r="Y168" s="67" t="e">
        <f>IF(W161,W172,IF(Y161,Y172,V168))</f>
        <v>#N/A</v>
      </c>
      <c r="Z168" s="67"/>
      <c r="AA168" s="67"/>
      <c r="AB168" s="67" t="e">
        <f>IF(Z161,Z172,IF(AB161,AB172,Y168))</f>
        <v>#N/A</v>
      </c>
      <c r="AC168" s="67"/>
      <c r="AD168" s="67"/>
      <c r="AE168" s="67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63">
        <f>B168</f>
        <v>0</v>
      </c>
      <c r="AU168" s="63" t="e">
        <f>AE168</f>
        <v>#N/A</v>
      </c>
      <c r="AW168" s="66"/>
    </row>
    <row r="169" spans="1:49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</row>
    <row r="170" spans="1:49" s="63" customFormat="1" hidden="1" x14ac:dyDescent="0.2">
      <c r="A170" s="67" t="s">
        <v>116</v>
      </c>
      <c r="B170" s="67">
        <f>VLOOKUP(B109,$A164:$AE168,3,FALSE)</f>
        <v>1238.5911205484977</v>
      </c>
      <c r="C170" s="67">
        <v>1</v>
      </c>
      <c r="D170" s="67">
        <f>VLOOKUP(D109,$A164:$AE168,3,FALSE)</f>
        <v>1203.1411394635875</v>
      </c>
      <c r="E170" s="67">
        <f>VLOOKUP(E109,$A164:$AE168,4,FALSE)</f>
        <v>1200</v>
      </c>
      <c r="F170" s="67">
        <v>2</v>
      </c>
      <c r="G170" s="67">
        <f>VLOOKUP(G109,$A164:$AE168,4,FALSE)</f>
        <v>1220.7680296042729</v>
      </c>
      <c r="H170" s="67">
        <f>VLOOKUP(H109,$A164:$AE168,7,FALSE)</f>
        <v>1220.9642304078122</v>
      </c>
      <c r="I170" s="67">
        <v>3</v>
      </c>
      <c r="J170" s="67">
        <f>VLOOKUP(J109,$A164:$AE168,7,FALSE)</f>
        <v>1184.9552656335941</v>
      </c>
      <c r="K170" s="67">
        <f>VLOOKUP(K109,$A164:$AE168,10,FALSE)</f>
        <v>1235.3118684527321</v>
      </c>
      <c r="L170" s="67">
        <v>4</v>
      </c>
      <c r="M170" s="67">
        <f>VLOOKUP(M109,$A164:$AE168,10,FALSE)</f>
        <v>1235.8127639706788</v>
      </c>
      <c r="N170" s="67">
        <f>VLOOKUP(N109,$A164:$AE168,13,FALSE)</f>
        <v>1170.6076275886742</v>
      </c>
      <c r="O170" s="67">
        <v>5</v>
      </c>
      <c r="P170" s="67">
        <f>VLOOKUP(P109,$A164:$AE168,13,FALSE)</f>
        <v>1251.7896968956049</v>
      </c>
      <c r="Q170" s="67">
        <f>VLOOKUP(Q109,$A164:$AE168,16,FALSE)</f>
        <v>1219.334935527806</v>
      </c>
      <c r="R170" s="67">
        <v>6</v>
      </c>
      <c r="S170" s="67">
        <f>VLOOKUP(S109,$A164:$AE168,16,FALSE)</f>
        <v>1158.2796150810036</v>
      </c>
      <c r="T170" s="67" t="e">
        <f>VLOOKUP(T109,$A164:$AE168,19,FALSE)</f>
        <v>#N/A</v>
      </c>
      <c r="U170" s="67">
        <v>7</v>
      </c>
      <c r="V170" s="67" t="e">
        <f>VLOOKUP(V109,$A164:$AE168,19,FALSE)</f>
        <v>#N/A</v>
      </c>
      <c r="W170" s="67" t="e">
        <f>VLOOKUP(W109,$A164:$AE168,22,FALSE)</f>
        <v>#N/A</v>
      </c>
      <c r="X170" s="67">
        <v>8</v>
      </c>
      <c r="Y170" s="67" t="e">
        <f>VLOOKUP(Y109,$A164:$AE168,22,FALSE)</f>
        <v>#N/A</v>
      </c>
      <c r="Z170" s="67" t="e">
        <f>VLOOKUP(Z109,$A164:$AE168,25,FALSE)</f>
        <v>#N/A</v>
      </c>
      <c r="AA170" s="67">
        <v>9</v>
      </c>
      <c r="AB170" s="67" t="e">
        <f>VLOOKUP(AB109,$A164:$AE168,25,FALSE)</f>
        <v>#N/A</v>
      </c>
      <c r="AC170" s="67" t="e">
        <f>VLOOKUP(AC109,$A164:$AE168,28,FALSE)</f>
        <v>#N/A</v>
      </c>
      <c r="AD170" s="67">
        <v>10</v>
      </c>
      <c r="AE170" s="67" t="e">
        <f>VLOOKUP(AE109,$A164:$AE168,28,FALSE)</f>
        <v>#N/A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</row>
    <row r="171" spans="1:49" s="72" customFormat="1" hidden="1" x14ac:dyDescent="0.2">
      <c r="A171" s="68" t="s">
        <v>117</v>
      </c>
      <c r="B171" s="68">
        <f>1/(1+(10^-((B170-D170)/400)))*(B121+D121)</f>
        <v>0.55084031689641622</v>
      </c>
      <c r="C171" s="68"/>
      <c r="D171" s="68">
        <f>1/(1+(10^-((D170-B170)/400)))*(B121+D121)</f>
        <v>0.44915968310358384</v>
      </c>
      <c r="E171" s="68">
        <f>1/(1+(10^-((E170-G170)/400)))*(E121+G121)</f>
        <v>0.4701479489501828</v>
      </c>
      <c r="F171" s="68"/>
      <c r="G171" s="68">
        <f>1/(1+(10^-((G170-E170)/400)))*(E121+G121)</f>
        <v>0.52985205104981725</v>
      </c>
      <c r="H171" s="68">
        <f>1/(1+(10^-((H170-J170)/400)))*(H121+J121)</f>
        <v>0.55163631109624955</v>
      </c>
      <c r="I171" s="68"/>
      <c r="J171" s="68">
        <f>1/(1+(10^-((J170-H170)/400)))*(H121+J121)</f>
        <v>0.44836368890375045</v>
      </c>
      <c r="K171" s="68">
        <f>1/(1+(10^-((K170-M170)/400)))*(K121+M121)</f>
        <v>0.4992791539039389</v>
      </c>
      <c r="L171" s="68"/>
      <c r="M171" s="68">
        <f>1/(1+(10^-((M170-K170)/400)))*(K121+M121)</f>
        <v>0.50072084609606105</v>
      </c>
      <c r="N171" s="68">
        <f>1/(1+(10^-((N170-P170)/400)))*(N121+P121)</f>
        <v>0.38525039086470675</v>
      </c>
      <c r="O171" s="68"/>
      <c r="P171" s="68">
        <f>1/(1+(10^-((P170-N170)/400)))*(N121+P121)</f>
        <v>0.6147496091352932</v>
      </c>
      <c r="Q171" s="68">
        <f>1/(1+(10^-((Q170-S170)/400)))*(Q121+S121)</f>
        <v>0.58697222922916337</v>
      </c>
      <c r="R171" s="68"/>
      <c r="S171" s="68">
        <f>1/(1+(10^-((S170-Q170)/400)))*(Q121+S121)</f>
        <v>0.41302777077083663</v>
      </c>
      <c r="T171" s="68" t="e">
        <f>1/(1+(10^-((T170-V170)/400)))*(T121+V121)</f>
        <v>#N/A</v>
      </c>
      <c r="U171" s="68"/>
      <c r="V171" s="68" t="e">
        <f>1/(1+(10^-((V170-T170)/400)))*(T121+V121)</f>
        <v>#N/A</v>
      </c>
      <c r="W171" s="68" t="e">
        <f>1/(1+(10^-((W170-Y170)/400)))*(W121+Y121)</f>
        <v>#N/A</v>
      </c>
      <c r="X171" s="68"/>
      <c r="Y171" s="68" t="e">
        <f>1/(1+(10^-((Y170-W170)/400)))*(W121+Y121)</f>
        <v>#N/A</v>
      </c>
      <c r="Z171" s="68" t="e">
        <f>1/(1+(10^-((Z170-AB170)/400)))*(Z121+AB121)</f>
        <v>#N/A</v>
      </c>
      <c r="AA171" s="68"/>
      <c r="AB171" s="68" t="e">
        <f>1/(1+(10^-((AB170-Z170)/400)))*(Z121+AB121)</f>
        <v>#N/A</v>
      </c>
      <c r="AC171" s="68" t="e">
        <f>1/(1+(10^-((AC170-AE170)/400)))*(AC121+AE121)</f>
        <v>#N/A</v>
      </c>
      <c r="AD171" s="68"/>
      <c r="AE171" s="68" t="e">
        <f>1/(1+(10^-((AE170-AC170)/400)))*(AC121+AE121)</f>
        <v>#N/A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</row>
    <row r="172" spans="1:49" s="78" customFormat="1" hidden="1" x14ac:dyDescent="0.2">
      <c r="A172" s="74" t="s">
        <v>118</v>
      </c>
      <c r="B172" s="74">
        <f>B170+(B121-B171)*$BA$1</f>
        <v>1220.9642304078122</v>
      </c>
      <c r="C172" s="74"/>
      <c r="D172" s="74">
        <f>D170+(D121-D171)*$BA$1</f>
        <v>1220.7680296042729</v>
      </c>
      <c r="E172" s="74">
        <f>E170+(E121-E171)*$BA$1</f>
        <v>1184.9552656335941</v>
      </c>
      <c r="F172" s="74"/>
      <c r="G172" s="74">
        <f>G170+(G121-G171)*$BA$1</f>
        <v>1235.8127639706788</v>
      </c>
      <c r="H172" s="74">
        <f>H170+(H121-H171)*$BA$1</f>
        <v>1235.3118684527321</v>
      </c>
      <c r="I172" s="74"/>
      <c r="J172" s="74">
        <f>J170+(J121-J171)*$BA$1</f>
        <v>1170.6076275886742</v>
      </c>
      <c r="K172" s="74">
        <f>K170+(K121-K171)*$BA$1</f>
        <v>1219.334935527806</v>
      </c>
      <c r="L172" s="74"/>
      <c r="M172" s="74">
        <f>M170+(M121-M171)*$BA$1</f>
        <v>1251.7896968956049</v>
      </c>
      <c r="N172" s="74">
        <f>N170+(N121-N171)*$BA$1</f>
        <v>1158.2796150810036</v>
      </c>
      <c r="O172" s="74"/>
      <c r="P172" s="74">
        <f>P170+(P121-P171)*$BA$1</f>
        <v>1264.1177094032755</v>
      </c>
      <c r="Q172" s="74">
        <f>Q170+(Q121-Q171)*$BA$1</f>
        <v>1232.5518241924728</v>
      </c>
      <c r="R172" s="74"/>
      <c r="S172" s="74">
        <f>S170+(S121-S171)*$BA$1</f>
        <v>1145.0627264163368</v>
      </c>
      <c r="T172" s="74" t="e">
        <f>T170+(T121-T171)*$BA$1</f>
        <v>#N/A</v>
      </c>
      <c r="U172" s="74"/>
      <c r="V172" s="74" t="e">
        <f>V170+(V121-V171)*$BA$1</f>
        <v>#N/A</v>
      </c>
      <c r="W172" s="74" t="e">
        <f>W170+(W121-W171)*$BA$1</f>
        <v>#N/A</v>
      </c>
      <c r="X172" s="74"/>
      <c r="Y172" s="74" t="e">
        <f>Y170+(Y121-Y171)*$BA$1</f>
        <v>#N/A</v>
      </c>
      <c r="Z172" s="74" t="e">
        <f>Z170+(Z121-Z171)*$BA$1</f>
        <v>#N/A</v>
      </c>
      <c r="AA172" s="74"/>
      <c r="AB172" s="74" t="e">
        <f>AB170+(AB121-AB171)*$BA$1</f>
        <v>#N/A</v>
      </c>
      <c r="AC172" s="74" t="e">
        <f>AC170+(AC121-AC171)*$BA$1</f>
        <v>#N/A</v>
      </c>
      <c r="AD172" s="74"/>
      <c r="AE172" s="74" t="e">
        <f>AE170+(AE121-AE171)*$BA$1</f>
        <v>#N/A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</row>
    <row r="173" spans="1:49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</row>
    <row r="174" spans="1:49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</row>
    <row r="175" spans="1:49" s="63" customFormat="1" ht="13.5" thickBot="1" x14ac:dyDescent="0.25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T175" s="4"/>
      <c r="AU175" s="4"/>
      <c r="AV175" s="4"/>
    </row>
    <row r="176" spans="1:49" ht="24" customHeight="1" thickBot="1" x14ac:dyDescent="0.25">
      <c r="A176" s="22" t="s">
        <v>35</v>
      </c>
      <c r="B176" s="23" t="s">
        <v>1025</v>
      </c>
      <c r="C176" s="246" t="s">
        <v>37</v>
      </c>
      <c r="D176" s="247"/>
      <c r="E176" s="247"/>
      <c r="F176" s="247"/>
      <c r="G176" s="247"/>
      <c r="H176" s="248"/>
      <c r="I176" s="249">
        <v>3</v>
      </c>
      <c r="J176" s="250"/>
      <c r="K176" s="251" t="str">
        <f>"Pool "&amp;B176&amp;" - Round 1 - Court "&amp;I176</f>
        <v>Pool C - Round 1 - Court 3</v>
      </c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3"/>
      <c r="AJ176" s="182"/>
      <c r="AK176" s="182"/>
      <c r="AL176" s="182"/>
      <c r="AM176" s="182"/>
      <c r="AN176" s="182"/>
      <c r="AO176" s="182"/>
      <c r="AP176" s="182"/>
      <c r="AQ176" s="182"/>
    </row>
    <row r="177" spans="1:44" ht="27" customHeight="1" thickBot="1" x14ac:dyDescent="0.25">
      <c r="A177" s="24" t="s">
        <v>40</v>
      </c>
      <c r="B177" s="254" t="s">
        <v>10</v>
      </c>
      <c r="C177" s="255"/>
      <c r="D177" s="255"/>
      <c r="E177" s="255"/>
      <c r="F177" s="255"/>
      <c r="G177" s="255"/>
      <c r="H177" s="255"/>
      <c r="I177" s="255"/>
      <c r="J177" s="255"/>
      <c r="K177" s="255"/>
      <c r="L177" s="254" t="str">
        <f>IF($AK180=0,"Games Won","Matches Won")</f>
        <v>Matches Won</v>
      </c>
      <c r="M177" s="255"/>
      <c r="N177" s="255"/>
      <c r="O177" s="255"/>
      <c r="P177" s="255"/>
      <c r="Q177" s="256"/>
      <c r="R177" s="254" t="str">
        <f>IF($AK180=0,"Games Lost","Matches Lost")</f>
        <v>Matches Lost</v>
      </c>
      <c r="S177" s="257"/>
      <c r="T177" s="257"/>
      <c r="U177" s="257"/>
      <c r="V177" s="258"/>
      <c r="W177" s="259" t="s">
        <v>41</v>
      </c>
      <c r="X177" s="260"/>
      <c r="Y177" s="261"/>
      <c r="Z177" s="259" t="s">
        <v>42</v>
      </c>
      <c r="AA177" s="260"/>
      <c r="AB177" s="261"/>
      <c r="AC177" s="279" t="s">
        <v>43</v>
      </c>
      <c r="AD177" s="280"/>
      <c r="AE177" s="281"/>
      <c r="AF177" s="25" t="s">
        <v>44</v>
      </c>
      <c r="AG177" s="26" t="s">
        <v>9</v>
      </c>
      <c r="AH177" s="282" t="s">
        <v>45</v>
      </c>
      <c r="AI177" s="283"/>
      <c r="AJ177" s="27"/>
      <c r="AK177" s="28">
        <v>2</v>
      </c>
      <c r="AL177" s="29" t="s">
        <v>46</v>
      </c>
      <c r="AM177" s="29"/>
      <c r="AN177" s="29"/>
      <c r="AO177" s="29"/>
      <c r="AP177" s="29"/>
      <c r="AQ177" s="29"/>
      <c r="AR177" s="30"/>
    </row>
    <row r="178" spans="1:44" ht="18.75" customHeight="1" x14ac:dyDescent="0.2">
      <c r="A178" s="227" t="str">
        <f>IF($AK179&gt;0,"1","")</f>
        <v>1</v>
      </c>
      <c r="B178" s="229" t="s">
        <v>10</v>
      </c>
      <c r="C178" s="230"/>
      <c r="D178" s="231"/>
      <c r="E178" s="232" t="str">
        <f>AU5</f>
        <v>columbia sc starlings 13</v>
      </c>
      <c r="F178" s="233"/>
      <c r="G178" s="233"/>
      <c r="H178" s="233"/>
      <c r="I178" s="233"/>
      <c r="J178" s="233"/>
      <c r="K178" s="234"/>
      <c r="L178" s="235">
        <f>IF($AK180=0,AF234,AF216)</f>
        <v>1</v>
      </c>
      <c r="M178" s="236"/>
      <c r="N178" s="236"/>
      <c r="O178" s="236"/>
      <c r="P178" s="236"/>
      <c r="Q178" s="256"/>
      <c r="R178" s="235">
        <f>IF($AK180=0,AG234,AG216)</f>
        <v>1</v>
      </c>
      <c r="S178" s="236"/>
      <c r="T178" s="236"/>
      <c r="U178" s="236"/>
      <c r="V178" s="236"/>
      <c r="W178" s="235">
        <f>AQ194</f>
        <v>10</v>
      </c>
      <c r="X178" s="236"/>
      <c r="Y178" s="236"/>
      <c r="Z178" s="239">
        <f>IF(AF228&gt;0,(AQ194/AF228),0)</f>
        <v>0.125</v>
      </c>
      <c r="AA178" s="240"/>
      <c r="AB178" s="240"/>
      <c r="AC178" s="262">
        <f>IF(AF242=0,0,(AF234/AF242))</f>
        <v>0.66666666666666663</v>
      </c>
      <c r="AD178" s="263"/>
      <c r="AE178" s="264"/>
      <c r="AF178" s="268">
        <v>2</v>
      </c>
      <c r="AG178" s="268">
        <v>1</v>
      </c>
      <c r="AH178" s="270"/>
      <c r="AI178" s="271"/>
      <c r="AJ178" s="27"/>
      <c r="AK178" s="28">
        <v>3</v>
      </c>
      <c r="AL178" s="29" t="s">
        <v>49</v>
      </c>
      <c r="AM178" s="29"/>
      <c r="AN178" s="29"/>
      <c r="AO178" s="29"/>
      <c r="AP178" s="29"/>
      <c r="AQ178" s="29"/>
      <c r="AR178" s="30"/>
    </row>
    <row r="179" spans="1:44" ht="18.75" customHeight="1" thickBot="1" x14ac:dyDescent="0.25">
      <c r="A179" s="228"/>
      <c r="B179" s="274" t="s">
        <v>11</v>
      </c>
      <c r="C179" s="275"/>
      <c r="D179" s="276"/>
      <c r="E179" s="277" t="str">
        <f>AV5</f>
        <v>fj3starl1pm</v>
      </c>
      <c r="F179" s="278"/>
      <c r="G179" s="278"/>
      <c r="H179" s="278"/>
      <c r="I179" s="278"/>
      <c r="J179" s="278"/>
      <c r="K179" s="278"/>
      <c r="L179" s="237"/>
      <c r="M179" s="238"/>
      <c r="N179" s="238"/>
      <c r="O179" s="238"/>
      <c r="P179" s="238"/>
      <c r="Q179" s="256"/>
      <c r="R179" s="237"/>
      <c r="S179" s="238"/>
      <c r="T179" s="238"/>
      <c r="U179" s="238"/>
      <c r="V179" s="238"/>
      <c r="W179" s="237"/>
      <c r="X179" s="238"/>
      <c r="Y179" s="238"/>
      <c r="Z179" s="241"/>
      <c r="AA179" s="242"/>
      <c r="AB179" s="242"/>
      <c r="AC179" s="265"/>
      <c r="AD179" s="266"/>
      <c r="AE179" s="267"/>
      <c r="AF179" s="269"/>
      <c r="AG179" s="269"/>
      <c r="AH179" s="272"/>
      <c r="AI179" s="273"/>
      <c r="AJ179" s="27"/>
      <c r="AK179" s="28">
        <v>3</v>
      </c>
      <c r="AL179" s="29" t="s">
        <v>52</v>
      </c>
      <c r="AM179" s="27"/>
      <c r="AN179" s="27"/>
      <c r="AO179" s="27"/>
      <c r="AP179" s="27"/>
      <c r="AQ179" s="27"/>
      <c r="AR179" s="3"/>
    </row>
    <row r="180" spans="1:44" ht="18.75" customHeight="1" x14ac:dyDescent="0.2">
      <c r="A180" s="227" t="str">
        <f>IF($AK179&gt;1,"2","")</f>
        <v>2</v>
      </c>
      <c r="B180" s="229" t="s">
        <v>10</v>
      </c>
      <c r="C180" s="230"/>
      <c r="D180" s="231"/>
      <c r="E180" s="232" t="str">
        <f>AU6</f>
        <v>Foothills 13 Caitlin</v>
      </c>
      <c r="F180" s="233"/>
      <c r="G180" s="233"/>
      <c r="H180" s="233"/>
      <c r="I180" s="233"/>
      <c r="J180" s="233"/>
      <c r="K180" s="234"/>
      <c r="L180" s="235">
        <f>IF($AK180=0,AF235,AF217)</f>
        <v>0</v>
      </c>
      <c r="M180" s="236"/>
      <c r="N180" s="236"/>
      <c r="O180" s="236"/>
      <c r="P180" s="236"/>
      <c r="Q180" s="256"/>
      <c r="R180" s="235">
        <f>IF($AK180=0,AG235,AG217)</f>
        <v>2</v>
      </c>
      <c r="S180" s="236"/>
      <c r="T180" s="236"/>
      <c r="U180" s="236"/>
      <c r="V180" s="236"/>
      <c r="W180" s="235">
        <f>AQ195</f>
        <v>-28</v>
      </c>
      <c r="X180" s="236"/>
      <c r="Y180" s="236"/>
      <c r="Z180" s="239">
        <f>IF(AF229&gt;0,(AQ195/AF229),0)</f>
        <v>-0.26415094339622641</v>
      </c>
      <c r="AA180" s="240"/>
      <c r="AB180" s="240"/>
      <c r="AC180" s="262">
        <f>IF(AF243=0,0,(AF235/AF243))</f>
        <v>0</v>
      </c>
      <c r="AD180" s="263"/>
      <c r="AE180" s="264"/>
      <c r="AF180" s="268">
        <v>3</v>
      </c>
      <c r="AG180" s="268">
        <v>1</v>
      </c>
      <c r="AH180" s="270"/>
      <c r="AI180" s="271"/>
      <c r="AJ180" s="27"/>
      <c r="AK180" s="28">
        <v>1</v>
      </c>
      <c r="AL180" s="29" t="s">
        <v>55</v>
      </c>
      <c r="AM180" s="29"/>
      <c r="AN180" s="29"/>
      <c r="AO180" s="29"/>
      <c r="AP180" s="29"/>
      <c r="AQ180" s="29"/>
      <c r="AR180" s="30"/>
    </row>
    <row r="181" spans="1:44" ht="18.75" customHeight="1" thickBot="1" x14ac:dyDescent="0.25">
      <c r="A181" s="228"/>
      <c r="B181" s="284" t="s">
        <v>11</v>
      </c>
      <c r="C181" s="285"/>
      <c r="D181" s="285"/>
      <c r="E181" s="277" t="str">
        <f>AV6</f>
        <v>fj3footh2pm</v>
      </c>
      <c r="F181" s="278"/>
      <c r="G181" s="278"/>
      <c r="H181" s="278"/>
      <c r="I181" s="278"/>
      <c r="J181" s="278"/>
      <c r="K181" s="278"/>
      <c r="L181" s="237"/>
      <c r="M181" s="238"/>
      <c r="N181" s="238"/>
      <c r="O181" s="238"/>
      <c r="P181" s="238"/>
      <c r="Q181" s="256"/>
      <c r="R181" s="237"/>
      <c r="S181" s="238"/>
      <c r="T181" s="238"/>
      <c r="U181" s="238"/>
      <c r="V181" s="238"/>
      <c r="W181" s="237"/>
      <c r="X181" s="238"/>
      <c r="Y181" s="238"/>
      <c r="Z181" s="241"/>
      <c r="AA181" s="242"/>
      <c r="AB181" s="242"/>
      <c r="AC181" s="265"/>
      <c r="AD181" s="266"/>
      <c r="AE181" s="267"/>
      <c r="AF181" s="269"/>
      <c r="AG181" s="269"/>
      <c r="AH181" s="272"/>
      <c r="AI181" s="273"/>
      <c r="AJ181" s="27"/>
      <c r="AK181" s="28">
        <v>1</v>
      </c>
      <c r="AL181" s="29" t="s">
        <v>58</v>
      </c>
      <c r="AM181" s="27"/>
      <c r="AN181" s="27"/>
      <c r="AO181" s="27"/>
      <c r="AP181" s="27"/>
      <c r="AQ181" s="27"/>
      <c r="AR181" s="3"/>
    </row>
    <row r="182" spans="1:44" ht="18.75" customHeight="1" x14ac:dyDescent="0.2">
      <c r="A182" s="227" t="str">
        <f>IF($AK179&gt;2,"3","")</f>
        <v>3</v>
      </c>
      <c r="B182" s="286" t="s">
        <v>10</v>
      </c>
      <c r="C182" s="287"/>
      <c r="D182" s="287"/>
      <c r="E182" s="232">
        <f>AU11</f>
        <v>0</v>
      </c>
      <c r="F182" s="233"/>
      <c r="G182" s="233"/>
      <c r="H182" s="233"/>
      <c r="I182" s="233"/>
      <c r="J182" s="233"/>
      <c r="K182" s="234"/>
      <c r="L182" s="235">
        <f>IF($AK180=0,AF236,AF218)</f>
        <v>2</v>
      </c>
      <c r="M182" s="236"/>
      <c r="N182" s="236"/>
      <c r="O182" s="236"/>
      <c r="P182" s="236"/>
      <c r="Q182" s="256"/>
      <c r="R182" s="235">
        <f>IF($AK180=0,AG236,AG218)</f>
        <v>0</v>
      </c>
      <c r="S182" s="236"/>
      <c r="T182" s="236"/>
      <c r="U182" s="236"/>
      <c r="V182" s="236"/>
      <c r="W182" s="235">
        <f>AQ196</f>
        <v>18</v>
      </c>
      <c r="X182" s="236"/>
      <c r="Y182" s="236"/>
      <c r="Z182" s="239">
        <f>IF(AF230&gt;0,(AQ196/AF230),0)</f>
        <v>0.23076923076923078</v>
      </c>
      <c r="AA182" s="240"/>
      <c r="AB182" s="240"/>
      <c r="AC182" s="262">
        <f>IF(AF244=0,0,(AF236/AF244))</f>
        <v>1</v>
      </c>
      <c r="AD182" s="263"/>
      <c r="AE182" s="264"/>
      <c r="AF182" s="268">
        <v>1</v>
      </c>
      <c r="AG182" s="268">
        <v>1</v>
      </c>
      <c r="AH182" s="270"/>
      <c r="AI182" s="271"/>
      <c r="AJ182" s="31"/>
      <c r="AK182" s="28">
        <v>2</v>
      </c>
      <c r="AL182" s="32" t="s">
        <v>61</v>
      </c>
      <c r="AM182" s="29"/>
      <c r="AN182" s="29"/>
      <c r="AO182" s="29"/>
      <c r="AP182" s="29"/>
      <c r="AQ182" s="29"/>
      <c r="AR182" s="30"/>
    </row>
    <row r="183" spans="1:44" ht="18.75" customHeight="1" thickBot="1" x14ac:dyDescent="0.25">
      <c r="A183" s="228"/>
      <c r="B183" s="284" t="s">
        <v>11</v>
      </c>
      <c r="C183" s="285"/>
      <c r="D183" s="285"/>
      <c r="E183" s="277">
        <f>AV11</f>
        <v>0</v>
      </c>
      <c r="F183" s="278"/>
      <c r="G183" s="278"/>
      <c r="H183" s="278"/>
      <c r="I183" s="278"/>
      <c r="J183" s="278"/>
      <c r="K183" s="278"/>
      <c r="L183" s="237"/>
      <c r="M183" s="238"/>
      <c r="N183" s="238"/>
      <c r="O183" s="238"/>
      <c r="P183" s="238"/>
      <c r="Q183" s="256"/>
      <c r="R183" s="237"/>
      <c r="S183" s="238"/>
      <c r="T183" s="238"/>
      <c r="U183" s="238"/>
      <c r="V183" s="238"/>
      <c r="W183" s="237"/>
      <c r="X183" s="238"/>
      <c r="Y183" s="238"/>
      <c r="Z183" s="241"/>
      <c r="AA183" s="242"/>
      <c r="AB183" s="242"/>
      <c r="AC183" s="265"/>
      <c r="AD183" s="266"/>
      <c r="AE183" s="267"/>
      <c r="AF183" s="269"/>
      <c r="AG183" s="269"/>
      <c r="AH183" s="272"/>
      <c r="AI183" s="273"/>
      <c r="AJ183" s="31"/>
      <c r="AK183" s="36"/>
      <c r="AL183" s="37"/>
      <c r="AM183" s="37"/>
      <c r="AN183" s="37"/>
      <c r="AO183" s="37"/>
      <c r="AP183" s="37"/>
      <c r="AQ183" s="27"/>
      <c r="AR183" s="3"/>
    </row>
    <row r="184" spans="1:44" ht="18.75" customHeight="1" x14ac:dyDescent="0.2">
      <c r="A184" s="227" t="str">
        <f>IF($AK179&gt;3,"4","")</f>
        <v/>
      </c>
      <c r="B184" s="286" t="s">
        <v>10</v>
      </c>
      <c r="C184" s="287"/>
      <c r="D184" s="287"/>
      <c r="E184" s="232" t="str">
        <f>AU12</f>
        <v>Team 10</v>
      </c>
      <c r="F184" s="233"/>
      <c r="G184" s="233"/>
      <c r="H184" s="233"/>
      <c r="I184" s="233"/>
      <c r="J184" s="233"/>
      <c r="K184" s="234"/>
      <c r="L184" s="235">
        <f>IF($AK180=0,AF237,AF219)</f>
        <v>0</v>
      </c>
      <c r="M184" s="236"/>
      <c r="N184" s="236"/>
      <c r="O184" s="236"/>
      <c r="P184" s="236"/>
      <c r="Q184" s="256"/>
      <c r="R184" s="235">
        <f>IF($AK180=0,AG237,AG219)</f>
        <v>0</v>
      </c>
      <c r="S184" s="236"/>
      <c r="T184" s="236"/>
      <c r="U184" s="236"/>
      <c r="V184" s="236"/>
      <c r="W184" s="235">
        <f>AQ197</f>
        <v>0</v>
      </c>
      <c r="X184" s="236"/>
      <c r="Y184" s="236"/>
      <c r="Z184" s="239">
        <f>IF(AF231&gt;0,(AQ197/AF231),0)</f>
        <v>0</v>
      </c>
      <c r="AA184" s="240"/>
      <c r="AB184" s="240"/>
      <c r="AC184" s="262">
        <f>IF(AF245=0,0,(AF237/AF245))</f>
        <v>0</v>
      </c>
      <c r="AD184" s="263"/>
      <c r="AE184" s="264"/>
      <c r="AF184" s="268"/>
      <c r="AG184" s="268"/>
      <c r="AH184" s="270"/>
      <c r="AI184" s="271"/>
      <c r="AJ184" s="182"/>
      <c r="AK184" s="37"/>
      <c r="AL184" s="37"/>
      <c r="AM184" s="37"/>
      <c r="AN184" s="37"/>
      <c r="AO184" s="37"/>
      <c r="AP184" s="37"/>
      <c r="AQ184" s="29"/>
      <c r="AR184" s="30"/>
    </row>
    <row r="185" spans="1:44" ht="18.75" customHeight="1" thickBot="1" x14ac:dyDescent="0.25">
      <c r="A185" s="228"/>
      <c r="B185" s="284" t="s">
        <v>11</v>
      </c>
      <c r="C185" s="285"/>
      <c r="D185" s="285"/>
      <c r="E185" s="277" t="str">
        <f>AV12</f>
        <v>Code 10</v>
      </c>
      <c r="F185" s="278"/>
      <c r="G185" s="278"/>
      <c r="H185" s="278"/>
      <c r="I185" s="278"/>
      <c r="J185" s="278"/>
      <c r="K185" s="278"/>
      <c r="L185" s="237"/>
      <c r="M185" s="238"/>
      <c r="N185" s="238"/>
      <c r="O185" s="238"/>
      <c r="P185" s="238"/>
      <c r="Q185" s="256"/>
      <c r="R185" s="237"/>
      <c r="S185" s="238"/>
      <c r="T185" s="238"/>
      <c r="U185" s="238"/>
      <c r="V185" s="238"/>
      <c r="W185" s="237"/>
      <c r="X185" s="238"/>
      <c r="Y185" s="238"/>
      <c r="Z185" s="241"/>
      <c r="AA185" s="242"/>
      <c r="AB185" s="242"/>
      <c r="AC185" s="265"/>
      <c r="AD185" s="266"/>
      <c r="AE185" s="267"/>
      <c r="AF185" s="269"/>
      <c r="AG185" s="269"/>
      <c r="AH185" s="272"/>
      <c r="AI185" s="273"/>
      <c r="AJ185" s="182"/>
      <c r="AK185" s="37"/>
      <c r="AL185" s="37"/>
      <c r="AM185" s="37"/>
      <c r="AN185" s="37"/>
      <c r="AO185" s="37"/>
      <c r="AP185" s="37"/>
      <c r="AQ185" s="182"/>
      <c r="AR185" s="3"/>
    </row>
    <row r="186" spans="1:44" ht="18.75" customHeight="1" x14ac:dyDescent="0.2">
      <c r="A186" s="227" t="str">
        <f>IF($AK179&gt;4,"5","")</f>
        <v/>
      </c>
      <c r="B186" s="286" t="s">
        <v>10</v>
      </c>
      <c r="C186" s="287"/>
      <c r="D186" s="287"/>
      <c r="E186" s="300">
        <f>AU21</f>
        <v>0</v>
      </c>
      <c r="F186" s="301"/>
      <c r="G186" s="301"/>
      <c r="H186" s="301"/>
      <c r="I186" s="301"/>
      <c r="J186" s="301"/>
      <c r="K186" s="302"/>
      <c r="L186" s="235">
        <f>IF($AK180=0,AF238,AF220)</f>
        <v>0</v>
      </c>
      <c r="M186" s="236"/>
      <c r="N186" s="236"/>
      <c r="O186" s="236"/>
      <c r="P186" s="236"/>
      <c r="Q186" s="256"/>
      <c r="R186" s="235">
        <f>IF($AK180=0,AG238,AG220)</f>
        <v>0</v>
      </c>
      <c r="S186" s="236"/>
      <c r="T186" s="236"/>
      <c r="U186" s="236"/>
      <c r="V186" s="236"/>
      <c r="W186" s="235">
        <f>AQ198</f>
        <v>0</v>
      </c>
      <c r="X186" s="236"/>
      <c r="Y186" s="236"/>
      <c r="Z186" s="239">
        <f>IF(AF232&gt;0,(AQ198/AF232),0)</f>
        <v>0</v>
      </c>
      <c r="AA186" s="240"/>
      <c r="AB186" s="240"/>
      <c r="AC186" s="262">
        <f>IF(AF246=0,0,(AF238/AF246))</f>
        <v>0</v>
      </c>
      <c r="AD186" s="263"/>
      <c r="AE186" s="264"/>
      <c r="AF186" s="268"/>
      <c r="AG186" s="268"/>
      <c r="AH186" s="270"/>
      <c r="AI186" s="271"/>
      <c r="AJ186" s="182"/>
      <c r="AK186" s="37"/>
      <c r="AL186" s="37"/>
      <c r="AM186" s="37"/>
      <c r="AN186" s="37"/>
      <c r="AO186" s="37"/>
      <c r="AP186" s="37"/>
      <c r="AQ186" s="182"/>
      <c r="AR186" s="3"/>
    </row>
    <row r="187" spans="1:44" ht="18.75" customHeight="1" thickBot="1" x14ac:dyDescent="0.25">
      <c r="A187" s="228"/>
      <c r="B187" s="296" t="s">
        <v>11</v>
      </c>
      <c r="C187" s="297"/>
      <c r="D187" s="297"/>
      <c r="E187" s="298">
        <f>AV21</f>
        <v>0</v>
      </c>
      <c r="F187" s="299"/>
      <c r="G187" s="299"/>
      <c r="H187" s="299"/>
      <c r="I187" s="299"/>
      <c r="J187" s="299"/>
      <c r="K187" s="299"/>
      <c r="L187" s="303"/>
      <c r="M187" s="304"/>
      <c r="N187" s="304"/>
      <c r="O187" s="304"/>
      <c r="P187" s="304"/>
      <c r="Q187" s="256"/>
      <c r="R187" s="303"/>
      <c r="S187" s="304"/>
      <c r="T187" s="304"/>
      <c r="U187" s="304"/>
      <c r="V187" s="304"/>
      <c r="W187" s="303"/>
      <c r="X187" s="304"/>
      <c r="Y187" s="304"/>
      <c r="Z187" s="288"/>
      <c r="AA187" s="289"/>
      <c r="AB187" s="289"/>
      <c r="AC187" s="290"/>
      <c r="AD187" s="291"/>
      <c r="AE187" s="292"/>
      <c r="AF187" s="293"/>
      <c r="AG187" s="293"/>
      <c r="AH187" s="294"/>
      <c r="AI187" s="295"/>
      <c r="AJ187" s="182"/>
      <c r="AK187" s="37"/>
      <c r="AL187" s="37"/>
      <c r="AM187" s="37"/>
      <c r="AN187" s="37"/>
      <c r="AO187" s="37"/>
      <c r="AP187" s="37"/>
      <c r="AQ187" s="182"/>
      <c r="AR187" s="3"/>
    </row>
    <row r="188" spans="1:44" ht="21" customHeight="1" thickTop="1" thickBot="1" x14ac:dyDescent="0.25">
      <c r="A188" s="40"/>
      <c r="B188" s="305" t="s">
        <v>1020</v>
      </c>
      <c r="C188" s="306"/>
      <c r="D188" s="306"/>
      <c r="E188" s="306"/>
      <c r="F188" s="306"/>
      <c r="G188" s="306"/>
      <c r="H188" s="306"/>
      <c r="I188" s="306"/>
      <c r="J188" s="306"/>
      <c r="K188" s="306"/>
      <c r="L188" s="306"/>
      <c r="M188" s="306"/>
      <c r="N188" s="306"/>
      <c r="O188" s="306"/>
      <c r="P188" s="306"/>
      <c r="Q188" s="306"/>
      <c r="R188" s="306"/>
      <c r="S188" s="306"/>
      <c r="T188" s="306"/>
      <c r="U188" s="306"/>
      <c r="V188" s="306"/>
      <c r="W188" s="306"/>
      <c r="X188" s="306"/>
      <c r="Y188" s="306"/>
      <c r="Z188" s="306"/>
      <c r="AA188" s="306"/>
      <c r="AB188" s="306"/>
      <c r="AC188" s="306"/>
      <c r="AD188" s="306"/>
      <c r="AE188" s="306"/>
      <c r="AF188" s="306"/>
      <c r="AG188" s="306"/>
      <c r="AH188" s="306"/>
      <c r="AI188" s="307"/>
      <c r="AJ188" s="182"/>
      <c r="AK188" s="37"/>
      <c r="AL188" s="37"/>
      <c r="AM188" s="37"/>
      <c r="AN188" s="37"/>
      <c r="AO188" s="37"/>
      <c r="AP188" s="37"/>
      <c r="AQ188" s="182"/>
      <c r="AR188" s="3"/>
    </row>
    <row r="189" spans="1:44" ht="13.5" thickTop="1" x14ac:dyDescent="0.2">
      <c r="A189" s="4" t="s">
        <v>66</v>
      </c>
      <c r="B189" s="308">
        <v>6.25E-2</v>
      </c>
      <c r="C189" s="309"/>
      <c r="D189" s="310"/>
      <c r="E189" s="308">
        <v>8.3333333333333329E-2</v>
      </c>
      <c r="F189" s="309"/>
      <c r="G189" s="310"/>
      <c r="H189" s="308">
        <v>0.10416666666666667</v>
      </c>
      <c r="I189" s="309"/>
      <c r="J189" s="310"/>
      <c r="K189" s="308"/>
      <c r="L189" s="309"/>
      <c r="M189" s="310"/>
      <c r="N189" s="308"/>
      <c r="O189" s="309"/>
      <c r="P189" s="310"/>
      <c r="Q189" s="308"/>
      <c r="R189" s="309"/>
      <c r="S189" s="310"/>
      <c r="T189" s="308"/>
      <c r="U189" s="309"/>
      <c r="V189" s="310"/>
      <c r="W189" s="308"/>
      <c r="X189" s="309"/>
      <c r="Y189" s="310"/>
      <c r="Z189" s="308"/>
      <c r="AA189" s="309"/>
      <c r="AB189" s="310"/>
      <c r="AC189" s="308"/>
      <c r="AD189" s="309"/>
      <c r="AE189" s="310"/>
      <c r="AF189" s="311" t="s">
        <v>67</v>
      </c>
      <c r="AG189" s="312"/>
      <c r="AH189" s="312"/>
      <c r="AI189" s="312"/>
      <c r="AJ189" s="313"/>
      <c r="AK189" s="313"/>
      <c r="AL189" s="313"/>
      <c r="AM189" s="313"/>
      <c r="AN189" s="313"/>
      <c r="AO189" s="313"/>
      <c r="AP189" s="313"/>
      <c r="AQ189" s="314"/>
    </row>
    <row r="190" spans="1:44" x14ac:dyDescent="0.2">
      <c r="A190" s="41" t="s">
        <v>68</v>
      </c>
      <c r="B190" s="319"/>
      <c r="C190" s="320"/>
      <c r="D190" s="321"/>
      <c r="E190" s="319"/>
      <c r="F190" s="320"/>
      <c r="G190" s="321"/>
      <c r="H190" s="319"/>
      <c r="I190" s="320"/>
      <c r="J190" s="321"/>
      <c r="K190" s="319"/>
      <c r="L190" s="320"/>
      <c r="M190" s="321"/>
      <c r="N190" s="319"/>
      <c r="O190" s="320"/>
      <c r="P190" s="321"/>
      <c r="Q190" s="319"/>
      <c r="R190" s="320"/>
      <c r="S190" s="321"/>
      <c r="T190" s="319"/>
      <c r="U190" s="320"/>
      <c r="V190" s="321"/>
      <c r="W190" s="319"/>
      <c r="X190" s="320"/>
      <c r="Y190" s="321"/>
      <c r="Z190" s="319"/>
      <c r="AA190" s="320"/>
      <c r="AB190" s="321"/>
      <c r="AC190" s="319"/>
      <c r="AD190" s="320"/>
      <c r="AE190" s="321"/>
      <c r="AF190" s="311"/>
      <c r="AG190" s="312"/>
      <c r="AH190" s="312"/>
      <c r="AI190" s="312"/>
      <c r="AJ190" s="312"/>
      <c r="AK190" s="312"/>
      <c r="AL190" s="312"/>
      <c r="AM190" s="312"/>
      <c r="AN190" s="312"/>
      <c r="AO190" s="312"/>
      <c r="AP190" s="312"/>
      <c r="AQ190" s="315"/>
    </row>
    <row r="191" spans="1:44" x14ac:dyDescent="0.2">
      <c r="A191" s="41" t="s">
        <v>69</v>
      </c>
      <c r="B191" s="319"/>
      <c r="C191" s="320"/>
      <c r="D191" s="321"/>
      <c r="E191" s="319"/>
      <c r="F191" s="320"/>
      <c r="G191" s="321"/>
      <c r="H191" s="319"/>
      <c r="I191" s="320"/>
      <c r="J191" s="321"/>
      <c r="K191" s="319"/>
      <c r="L191" s="320"/>
      <c r="M191" s="321"/>
      <c r="N191" s="319"/>
      <c r="O191" s="320"/>
      <c r="P191" s="321"/>
      <c r="Q191" s="319"/>
      <c r="R191" s="320"/>
      <c r="S191" s="321"/>
      <c r="T191" s="319"/>
      <c r="U191" s="320"/>
      <c r="V191" s="321"/>
      <c r="W191" s="319"/>
      <c r="X191" s="320"/>
      <c r="Y191" s="321"/>
      <c r="Z191" s="319"/>
      <c r="AA191" s="320"/>
      <c r="AB191" s="321"/>
      <c r="AC191" s="319"/>
      <c r="AD191" s="320"/>
      <c r="AE191" s="321"/>
      <c r="AF191" s="311"/>
      <c r="AG191" s="312"/>
      <c r="AH191" s="312"/>
      <c r="AI191" s="312"/>
      <c r="AJ191" s="312"/>
      <c r="AK191" s="312"/>
      <c r="AL191" s="312"/>
      <c r="AM191" s="312"/>
      <c r="AN191" s="312"/>
      <c r="AO191" s="312"/>
      <c r="AP191" s="312"/>
      <c r="AQ191" s="315"/>
    </row>
    <row r="192" spans="1:44" ht="13.5" thickBot="1" x14ac:dyDescent="0.25">
      <c r="A192" s="182"/>
      <c r="B192" s="322" t="s">
        <v>70</v>
      </c>
      <c r="C192" s="323"/>
      <c r="D192" s="324"/>
      <c r="E192" s="322" t="str">
        <f>IF(AK178&gt;1,"Match 2","")</f>
        <v>Match 2</v>
      </c>
      <c r="F192" s="323"/>
      <c r="G192" s="324"/>
      <c r="H192" s="322" t="str">
        <f>IF(AK178&gt;2,"Match 3","")</f>
        <v>Match 3</v>
      </c>
      <c r="I192" s="323"/>
      <c r="J192" s="324"/>
      <c r="K192" s="322" t="str">
        <f>IF(AK178&gt;3,"Match 4","")</f>
        <v/>
      </c>
      <c r="L192" s="323"/>
      <c r="M192" s="324"/>
      <c r="N192" s="322" t="str">
        <f>IF(AK178&gt;4,"Match 5","")</f>
        <v/>
      </c>
      <c r="O192" s="323"/>
      <c r="P192" s="324"/>
      <c r="Q192" s="322" t="str">
        <f>IF(AK178&gt;5,"Match 6","")</f>
        <v/>
      </c>
      <c r="R192" s="323"/>
      <c r="S192" s="324"/>
      <c r="T192" s="322" t="str">
        <f>IF(AK178&gt;6,"Match 7","")</f>
        <v/>
      </c>
      <c r="U192" s="323"/>
      <c r="V192" s="324"/>
      <c r="W192" s="322" t="str">
        <f>IF(AK178&gt;7,"Match 8","")</f>
        <v/>
      </c>
      <c r="X192" s="323"/>
      <c r="Y192" s="324"/>
      <c r="Z192" s="322" t="str">
        <f>IF(AK178&gt;8,"Match 9","")</f>
        <v/>
      </c>
      <c r="AA192" s="323"/>
      <c r="AB192" s="324"/>
      <c r="AC192" s="322" t="str">
        <f>IF(AK178&gt;9,"Match 10","")</f>
        <v/>
      </c>
      <c r="AD192" s="323"/>
      <c r="AE192" s="324"/>
      <c r="AF192" s="316"/>
      <c r="AG192" s="317"/>
      <c r="AH192" s="317"/>
      <c r="AI192" s="317"/>
      <c r="AJ192" s="317"/>
      <c r="AK192" s="317"/>
      <c r="AL192" s="317"/>
      <c r="AM192" s="317"/>
      <c r="AN192" s="317"/>
      <c r="AO192" s="317"/>
      <c r="AP192" s="317"/>
      <c r="AQ192" s="318"/>
    </row>
    <row r="193" spans="1:48" ht="15.75" x14ac:dyDescent="0.25">
      <c r="A193" s="182"/>
      <c r="B193" s="325" t="s">
        <v>75</v>
      </c>
      <c r="C193" s="326"/>
      <c r="D193" s="327"/>
      <c r="E193" s="325" t="s">
        <v>73</v>
      </c>
      <c r="F193" s="326"/>
      <c r="G193" s="327"/>
      <c r="H193" s="325" t="s">
        <v>72</v>
      </c>
      <c r="I193" s="326"/>
      <c r="J193" s="327"/>
      <c r="K193" s="325" t="s">
        <v>71</v>
      </c>
      <c r="L193" s="326"/>
      <c r="M193" s="327"/>
      <c r="N193" s="325" t="s">
        <v>75</v>
      </c>
      <c r="O193" s="326"/>
      <c r="P193" s="327"/>
      <c r="Q193" s="325" t="s">
        <v>72</v>
      </c>
      <c r="R193" s="326"/>
      <c r="S193" s="327"/>
      <c r="T193" s="325"/>
      <c r="U193" s="326"/>
      <c r="V193" s="327"/>
      <c r="W193" s="325"/>
      <c r="X193" s="326"/>
      <c r="Y193" s="327"/>
      <c r="Z193" s="325"/>
      <c r="AA193" s="326"/>
      <c r="AB193" s="327"/>
      <c r="AC193" s="325"/>
      <c r="AD193" s="326"/>
      <c r="AE193" s="327"/>
      <c r="AF193" s="42" t="s">
        <v>76</v>
      </c>
      <c r="AG193" s="43">
        <v>1</v>
      </c>
      <c r="AH193" s="43">
        <v>2</v>
      </c>
      <c r="AI193" s="43">
        <v>3</v>
      </c>
      <c r="AJ193" s="43">
        <v>4</v>
      </c>
      <c r="AK193" s="43">
        <v>5</v>
      </c>
      <c r="AL193" s="43">
        <v>6</v>
      </c>
      <c r="AM193" s="43">
        <v>7</v>
      </c>
      <c r="AN193" s="43">
        <v>8</v>
      </c>
      <c r="AO193" s="43">
        <v>9</v>
      </c>
      <c r="AP193" s="43">
        <v>10</v>
      </c>
      <c r="AQ193" s="44" t="s">
        <v>77</v>
      </c>
    </row>
    <row r="194" spans="1:48" ht="15.75" x14ac:dyDescent="0.25">
      <c r="A194" s="182"/>
      <c r="B194" s="45">
        <v>1</v>
      </c>
      <c r="C194" s="46" t="s">
        <v>78</v>
      </c>
      <c r="D194" s="47">
        <v>3</v>
      </c>
      <c r="E194" s="45">
        <v>2</v>
      </c>
      <c r="F194" s="46" t="str">
        <f>IF(AK178&gt;1,"v","")</f>
        <v>v</v>
      </c>
      <c r="G194" s="47">
        <v>3</v>
      </c>
      <c r="H194" s="45">
        <v>1</v>
      </c>
      <c r="I194" s="46" t="str">
        <f>IF(AK178&gt;2,"v","")</f>
        <v>v</v>
      </c>
      <c r="J194" s="47">
        <v>2</v>
      </c>
      <c r="K194" s="45">
        <v>1</v>
      </c>
      <c r="L194" s="46" t="str">
        <f>IF(AK178&gt;3,"v","")</f>
        <v/>
      </c>
      <c r="M194" s="47">
        <v>3</v>
      </c>
      <c r="N194" s="45">
        <v>3</v>
      </c>
      <c r="O194" s="46" t="str">
        <f>IF(AK178&gt;4,"v","")</f>
        <v/>
      </c>
      <c r="P194" s="47">
        <v>4</v>
      </c>
      <c r="Q194" s="45">
        <v>1</v>
      </c>
      <c r="R194" s="46" t="str">
        <f>IF(AK178&gt;5,"v","")</f>
        <v/>
      </c>
      <c r="S194" s="47">
        <v>2</v>
      </c>
      <c r="T194" s="45"/>
      <c r="U194" s="46" t="str">
        <f>IF(AK178&gt;6,"v","")</f>
        <v/>
      </c>
      <c r="V194" s="47"/>
      <c r="W194" s="45"/>
      <c r="X194" s="46" t="str">
        <f>IF(AK178&gt;7,"v","")</f>
        <v/>
      </c>
      <c r="Y194" s="47"/>
      <c r="Z194" s="45"/>
      <c r="AA194" s="46" t="str">
        <f>IF(AK178&gt;8,"v","")</f>
        <v/>
      </c>
      <c r="AB194" s="47"/>
      <c r="AC194" s="45"/>
      <c r="AD194" s="46" t="str">
        <f>IF(AK178&gt;9,"v","")</f>
        <v/>
      </c>
      <c r="AE194" s="47"/>
      <c r="AF194" s="42" t="str">
        <f>IF(AK179&gt;0,"Team 1","")</f>
        <v>Team 1</v>
      </c>
      <c r="AG194" s="48">
        <f>IF(AK179&lt;1,"",IF(AK178&lt;1,"",IF(B194=1,B200-D200,IF(D194=1,D200-B200,""))))</f>
        <v>-10</v>
      </c>
      <c r="AH194" s="48" t="str">
        <f>IF(AK179&lt;1,"",IF(AK178&lt;2,"",IF(E194=1,E200-G200,IF(G194=1,G200-E200,""))))</f>
        <v/>
      </c>
      <c r="AI194" s="48">
        <f>IF(AK179&lt;1,"",IF(AK178&lt;3,"",IF(H194=1,H200-J200,IF(J194=1,J200-H200,""))))</f>
        <v>20</v>
      </c>
      <c r="AJ194" s="48" t="str">
        <f>IF(AK179&lt;1,"",IF(AK178&lt;4,"",IF(K194=1,K200-M200,IF(M194=1,M200-K200,""))))</f>
        <v/>
      </c>
      <c r="AK194" s="48" t="str">
        <f>IF(AK179&lt;1,"",IF(AK178&lt;5,"",IF(N194=1,N200-P200,IF(P194=1,P200-N200,""))))</f>
        <v/>
      </c>
      <c r="AL194" s="48" t="str">
        <f>IF(AK179&lt;1,"",IF(AK178&lt;6,"",IF(Q194=1,Q200-S200,IF(S194=1,S200-Q200,""))))</f>
        <v/>
      </c>
      <c r="AM194" s="48" t="str">
        <f>IF(AK179&lt;1,"",IF(AK178&lt;7,"",IF(T194=1,T200-V200,IF(V194=1,V200-T200,""))))</f>
        <v/>
      </c>
      <c r="AN194" s="48" t="str">
        <f>IF(AK179&lt;1,"",IF(AK178&lt;8,"",IF(W194=1,W200-Y200,IF(Y194=1,Y200-W200,""))))</f>
        <v/>
      </c>
      <c r="AO194" s="48" t="str">
        <f>IF(AK179&lt;1,"",IF(AK178&lt;9,"",IF(Z194=1,Z200-AB200,IF(AB194=1,AB200-Z200,""))))</f>
        <v/>
      </c>
      <c r="AP194" s="48" t="str">
        <f>IF(AK179&lt;1,"",IF(AK178&lt;10,"",IF(AC194=1,AC200-AE200,IF(AE194=1,AE200-AC200,""))))</f>
        <v/>
      </c>
      <c r="AQ194" s="44">
        <f>SUM(AG194:AP194)</f>
        <v>10</v>
      </c>
    </row>
    <row r="195" spans="1:48" ht="15" x14ac:dyDescent="0.2">
      <c r="A195" s="4" t="s">
        <v>79</v>
      </c>
      <c r="B195" s="49">
        <v>16</v>
      </c>
      <c r="C195" s="50" t="s">
        <v>80</v>
      </c>
      <c r="D195" s="51">
        <v>26</v>
      </c>
      <c r="E195" s="49">
        <v>22</v>
      </c>
      <c r="F195" s="50" t="str">
        <f>IF(AK178&gt;1,"/","")</f>
        <v>/</v>
      </c>
      <c r="G195" s="51">
        <v>26</v>
      </c>
      <c r="H195" s="49">
        <v>24</v>
      </c>
      <c r="I195" s="50" t="str">
        <f>IF(AK178&gt;2,"/","")</f>
        <v>/</v>
      </c>
      <c r="J195" s="51">
        <v>17</v>
      </c>
      <c r="K195" s="49"/>
      <c r="L195" s="50" t="str">
        <f>IF(AK178&gt;3,"/","")</f>
        <v/>
      </c>
      <c r="M195" s="51"/>
      <c r="N195" s="49"/>
      <c r="O195" s="50" t="str">
        <f>IF(AK178&gt;4,"/","")</f>
        <v/>
      </c>
      <c r="P195" s="51"/>
      <c r="Q195" s="49"/>
      <c r="R195" s="50" t="str">
        <f>IF(AK178&gt;5,"/","")</f>
        <v/>
      </c>
      <c r="S195" s="51"/>
      <c r="T195" s="49"/>
      <c r="U195" s="50" t="str">
        <f>IF(AK178&gt;6,"/","")</f>
        <v/>
      </c>
      <c r="V195" s="51"/>
      <c r="W195" s="49"/>
      <c r="X195" s="50" t="str">
        <f>IF(AK178&gt;7,"/","")</f>
        <v/>
      </c>
      <c r="Y195" s="51"/>
      <c r="Z195" s="49"/>
      <c r="AA195" s="50" t="str">
        <f>IF(AK178&gt;8,"/","")</f>
        <v/>
      </c>
      <c r="AB195" s="51"/>
      <c r="AC195" s="49"/>
      <c r="AD195" s="50" t="str">
        <f>IF(AK178&gt;9,"/","")</f>
        <v/>
      </c>
      <c r="AE195" s="51"/>
      <c r="AF195" s="42" t="str">
        <f>IF(AK179&gt;1,"Team 2","")</f>
        <v>Team 2</v>
      </c>
      <c r="AG195" s="48" t="str">
        <f>IF(AK179&lt;2,"",IF(AK178&lt;1,"",IF(B194=2,B200-D200,IF(D194=2,D200-B200,""))))</f>
        <v/>
      </c>
      <c r="AH195" s="48">
        <f>IF(AK179&lt;2,"",IF(AK178&lt;2,"",IF(E194=2,E200-G200,IF(G194=2,G200-E200,""))))</f>
        <v>-8</v>
      </c>
      <c r="AI195" s="48">
        <f>IF(AK179&lt;2,"",IF(AK178&lt;3,"",IF(H194=2,H200-J200,IF(J194=2,J200-H200,""))))</f>
        <v>-20</v>
      </c>
      <c r="AJ195" s="48" t="str">
        <f>IF(AK179&lt;2,"",IF(AK178&lt;4,"",IF(K194=2,K200-M200,IF(M194=2,M200-K200,""))))</f>
        <v/>
      </c>
      <c r="AK195" s="48" t="str">
        <f>IF(AK179&lt;2,"",IF(AK178&lt;5,"",IF(N194=2,N200-P200,IF(P194=2,P200-N200,""))))</f>
        <v/>
      </c>
      <c r="AL195" s="48" t="str">
        <f>IF(AK179&lt;2,"",IF(AK178&lt;6,"",IF(Q194=2,Q200-S200,IF(S194=2,S200-Q200,""))))</f>
        <v/>
      </c>
      <c r="AM195" s="48" t="str">
        <f>IF(AK179&lt;2,"",IF(AK178&lt;7,"",IF(T194=2,T200-V200,IF(V194=2,V200-T200,""))))</f>
        <v/>
      </c>
      <c r="AN195" s="48" t="str">
        <f>IF(AK179&lt;2,"",IF(AK178&lt;8,"",IF(W194=2,W200-Y200,IF(Y194=2,Y200-W200,""))))</f>
        <v/>
      </c>
      <c r="AO195" s="48" t="str">
        <f>IF(AK179&lt;2,"",IF(AK178&lt;9,"",IF(Z194=2,Z200-AB200,IF(AB194=2,AB200-Z200,""))))</f>
        <v/>
      </c>
      <c r="AP195" s="48" t="str">
        <f>IF(AK179&lt;2,"",IF(AK178&lt;10,"",IF(AC194=2,AC200-AE200,IF(AE194=2,AE200-AC200,""))))</f>
        <v/>
      </c>
      <c r="AQ195" s="44">
        <f>SUM(AG195:AP195)</f>
        <v>-28</v>
      </c>
    </row>
    <row r="196" spans="1:48" ht="15" x14ac:dyDescent="0.2">
      <c r="A196" s="3" t="str">
        <f>IF(AK177&gt;1,"Game 2","")</f>
        <v>Game 2</v>
      </c>
      <c r="B196" s="49"/>
      <c r="C196" s="50" t="s">
        <v>80</v>
      </c>
      <c r="D196" s="51"/>
      <c r="E196" s="49">
        <v>22</v>
      </c>
      <c r="F196" s="50" t="str">
        <f>IF(AK178&gt;1,IF(AK177&gt;1,"/",""),"")</f>
        <v>/</v>
      </c>
      <c r="G196" s="51">
        <v>26</v>
      </c>
      <c r="H196" s="49">
        <v>30</v>
      </c>
      <c r="I196" s="50" t="str">
        <f>IF(AK178&gt;2,IF(AK177&gt;1,"/",""),"")</f>
        <v>/</v>
      </c>
      <c r="J196" s="51">
        <v>17</v>
      </c>
      <c r="K196" s="49"/>
      <c r="L196" s="50" t="str">
        <f>IF(AK178&gt;3,IF(AK177&gt;1,"/",""),"")</f>
        <v/>
      </c>
      <c r="M196" s="51"/>
      <c r="N196" s="49"/>
      <c r="O196" s="50" t="str">
        <f>IF(AK178&gt;4,IF(AK177&gt;1,"/",""),"")</f>
        <v/>
      </c>
      <c r="P196" s="51"/>
      <c r="Q196" s="49"/>
      <c r="R196" s="50" t="str">
        <f>IF(AK178&gt;5,IF(AK177&gt;1,"/",""),"")</f>
        <v/>
      </c>
      <c r="S196" s="51"/>
      <c r="T196" s="49"/>
      <c r="U196" s="50" t="str">
        <f>IF(AK178&gt;6,IF(AK177&gt;1,"/",""),"")</f>
        <v/>
      </c>
      <c r="V196" s="51"/>
      <c r="W196" s="49"/>
      <c r="X196" s="50" t="str">
        <f>IF(AK178&gt;7,IF(AK177&gt;1,"/",""),"")</f>
        <v/>
      </c>
      <c r="Y196" s="51"/>
      <c r="Z196" s="49"/>
      <c r="AA196" s="50" t="str">
        <f>IF(AK178&gt;8,IF(AK177&gt;1,"/",""),"")</f>
        <v/>
      </c>
      <c r="AB196" s="51"/>
      <c r="AC196" s="49"/>
      <c r="AD196" s="50" t="str">
        <f>IF(AK178&gt;9,IF(AK177&gt;1,"/",""),"")</f>
        <v/>
      </c>
      <c r="AE196" s="51"/>
      <c r="AF196" s="42" t="str">
        <f>IF(AK179&gt;2,"Team 3","")</f>
        <v>Team 3</v>
      </c>
      <c r="AG196" s="48">
        <f>IF(AK179&lt;3,"",IF(AK178&lt;1,"",IF(B194=3,B200-D200,IF(D194=3,D200-B200,""))))</f>
        <v>10</v>
      </c>
      <c r="AH196" s="48">
        <f>IF(AK179&lt;3,"",IF(AK178&lt;2,"",IF(E194=3,E200-G200,IF(G194=3,G200-E200,""))))</f>
        <v>8</v>
      </c>
      <c r="AI196" s="48" t="str">
        <f>IF(AK179&lt;3,"",IF(AK178&lt;3,"",IF(H194=3,H200-J200,IF(J194=3,J200-H200,""))))</f>
        <v/>
      </c>
      <c r="AJ196" s="48" t="str">
        <f>IF(AK179&lt;3,"",IF(AK178&lt;4,"",IF(K194=3,K200-M200,IF(M194=3,M200-K200,""))))</f>
        <v/>
      </c>
      <c r="AK196" s="48" t="str">
        <f>IF(AK179&lt;3,"",IF(AK178&lt;5,"",IF(N194=3,N200-P200,IF(P194=3,P200-N200,""))))</f>
        <v/>
      </c>
      <c r="AL196" s="48" t="str">
        <f>IF(AK179&lt;3,"",IF(AK178&lt;6,"",IF(Q194=3,Q200-S200,IF(S194=3,S200-Q200,""))))</f>
        <v/>
      </c>
      <c r="AM196" s="48" t="str">
        <f>IF(AK179&lt;3,"",IF(AK178&lt;7,"",IF(T194=3,T200-V200,IF(V194=3,V200-T200,""))))</f>
        <v/>
      </c>
      <c r="AN196" s="48" t="str">
        <f>IF(AK179&lt;3,"",IF(AK178&lt;8,"",IF(W194=3,W200-Y200,IF(Y194=3,Y200-W200,""))))</f>
        <v/>
      </c>
      <c r="AO196" s="48" t="str">
        <f>IF(AK179&lt;3,"",IF(AK178&lt;9,"",IF(Z194=3,Z200-AB200,IF(AB194=3,AB200-Z200,""))))</f>
        <v/>
      </c>
      <c r="AP196" s="48" t="str">
        <f>IF(AK179&lt;3,"",IF(AK178&lt;9,"",IF(AC194=3,AC200-AE200,IF(AE194=3,AE200-AC200,""))))</f>
        <v/>
      </c>
      <c r="AQ196" s="44">
        <f>SUM(AG196:AP196)</f>
        <v>18</v>
      </c>
    </row>
    <row r="197" spans="1:48" ht="15" x14ac:dyDescent="0.2">
      <c r="A197" s="3" t="str">
        <f>IF(AK177&gt;2,"Game 3","")</f>
        <v/>
      </c>
      <c r="B197" s="49"/>
      <c r="C197" s="50" t="s">
        <v>80</v>
      </c>
      <c r="D197" s="51"/>
      <c r="E197" s="49"/>
      <c r="F197" s="50" t="str">
        <f>IF(AK178&gt;1,IF(AK177&gt;2,"/",""),"")</f>
        <v/>
      </c>
      <c r="G197" s="51"/>
      <c r="H197" s="49"/>
      <c r="I197" s="50" t="str">
        <f>IF(AK178&gt;2,IF(AK177&gt;2,"/",""),"")</f>
        <v/>
      </c>
      <c r="J197" s="51"/>
      <c r="K197" s="49"/>
      <c r="L197" s="50" t="str">
        <f>IF(AK178&gt;3,IF(AK177&gt;2,"/",""),"")</f>
        <v/>
      </c>
      <c r="M197" s="51"/>
      <c r="N197" s="49"/>
      <c r="O197" s="50" t="str">
        <f>IF(AK178&gt;4,IF(AK177&gt;2,"/",""),"")</f>
        <v/>
      </c>
      <c r="P197" s="51"/>
      <c r="Q197" s="49"/>
      <c r="R197" s="50" t="str">
        <f>IF(AK178&gt;5,IF(AK177&gt;2,"/",""),"")</f>
        <v/>
      </c>
      <c r="S197" s="51"/>
      <c r="T197" s="49"/>
      <c r="U197" s="50" t="str">
        <f>IF(AK178&gt;6,IF(AK177&gt;2,"/",""),"")</f>
        <v/>
      </c>
      <c r="V197" s="51"/>
      <c r="W197" s="49"/>
      <c r="X197" s="50" t="str">
        <f>IF(AK178&gt;7,IF(AK177&gt;2,"/",""),"")</f>
        <v/>
      </c>
      <c r="Y197" s="51"/>
      <c r="Z197" s="49"/>
      <c r="AA197" s="50" t="str">
        <f>IF(AK178&gt;8,IF(AK177&gt;2,"/",""),"")</f>
        <v/>
      </c>
      <c r="AB197" s="51"/>
      <c r="AC197" s="49"/>
      <c r="AD197" s="50" t="str">
        <f>IF(AK178&gt;9,IF(AK177&gt;2,"/",""),"")</f>
        <v/>
      </c>
      <c r="AE197" s="51"/>
      <c r="AF197" s="42" t="str">
        <f>IF(AK179&gt;3,"Team 4","")</f>
        <v/>
      </c>
      <c r="AG197" s="48" t="str">
        <f>IF(AK179&lt;4,"",IF(AK178&lt;1,"",IF(B194=4,B200-D200,IF(D194=4,D200-B200,""))))</f>
        <v/>
      </c>
      <c r="AH197" s="48" t="str">
        <f>IF(AK179&lt;4,"",IF(AK178&lt;2,"",IF(E194=4,E200-G200,IF(G194=4,G200-E200,""))))</f>
        <v/>
      </c>
      <c r="AI197" s="48" t="str">
        <f>IF(AK179&lt;4,"",IF(AK178&lt;3,"",IF(H194=4,H200-J200,IF(J194=4,J200-H200,""))))</f>
        <v/>
      </c>
      <c r="AJ197" s="48" t="str">
        <f>IF(AK179&lt;4,"",IF(AK178&lt;4,"",IF(K194=4,K200-M200,IF(M194=4,M200-K200,""))))</f>
        <v/>
      </c>
      <c r="AK197" s="48" t="str">
        <f>IF(AK179&lt;4,"",IF(AK178&lt;5,"",IF(N194=4,N200-P200,IF(P194=4,P200-N200,""))))</f>
        <v/>
      </c>
      <c r="AL197" s="48" t="str">
        <f>IF(AK179&lt;4,"",IF(AK178&lt;6,"",IF(Q194=4,Q200-S200,IF(S194=4,S200-Q200,""))))</f>
        <v/>
      </c>
      <c r="AM197" s="48" t="str">
        <f>IF(AK179&lt;4,"",IF(AK178&lt;7,"",IF(T194=4,T200-V200,IF(V194=4,V200-T200,""))))</f>
        <v/>
      </c>
      <c r="AN197" s="48" t="str">
        <f>IF(AK179&lt;4,"",IF(AK178&lt;8,"",IF(W194=4,W200-Y200,IF(Y194=4,Y200-W200,""))))</f>
        <v/>
      </c>
      <c r="AO197" s="48" t="str">
        <f>IF(AK179&lt;4,"",IF(AK178&lt;9,"",IF(Z194=4,Z200-AB200,IF(AB194=4,AB200-Z200,""))))</f>
        <v/>
      </c>
      <c r="AP197" s="48" t="str">
        <f>IF(AK179&lt;4,"",IF(AK178&lt;10,"",IF(AC194=4,AC200-AE200,IF(AE194=4,AE200-AC200,""))))</f>
        <v/>
      </c>
      <c r="AQ197" s="44">
        <f>SUM(AG197:AP197)</f>
        <v>0</v>
      </c>
    </row>
    <row r="198" spans="1:48" ht="15" x14ac:dyDescent="0.2">
      <c r="A198" s="3" t="str">
        <f>IF(AK177&gt;3,"Game 4","")</f>
        <v/>
      </c>
      <c r="B198" s="49"/>
      <c r="C198" s="50" t="s">
        <v>80</v>
      </c>
      <c r="D198" s="51"/>
      <c r="E198" s="49"/>
      <c r="F198" s="50" t="str">
        <f>IF(AK178&gt;1,IF(AK177&gt;3,"/",""),"")</f>
        <v/>
      </c>
      <c r="G198" s="51"/>
      <c r="H198" s="49"/>
      <c r="I198" s="50" t="str">
        <f>IF(AK178&gt;2,IF(AK177&gt;3,"/",""),"")</f>
        <v/>
      </c>
      <c r="J198" s="51"/>
      <c r="K198" s="49"/>
      <c r="L198" s="50" t="str">
        <f>IF(AK178&gt;3,IF(AK177&gt;3,"/",""),"")</f>
        <v/>
      </c>
      <c r="M198" s="51"/>
      <c r="N198" s="49"/>
      <c r="O198" s="50" t="str">
        <f>IF(AK178&gt;4,IF(AK177&gt;3,"/",""),"")</f>
        <v/>
      </c>
      <c r="P198" s="51"/>
      <c r="Q198" s="49"/>
      <c r="R198" s="50" t="str">
        <f>IF(AK178&gt;5,IF(AK177&gt;3,"/",""),"")</f>
        <v/>
      </c>
      <c r="S198" s="51"/>
      <c r="T198" s="49"/>
      <c r="U198" s="50" t="str">
        <f>IF(AK178&gt;6,IF(AK177&gt;3,"/",""),"")</f>
        <v/>
      </c>
      <c r="V198" s="51"/>
      <c r="W198" s="49"/>
      <c r="X198" s="50" t="str">
        <f>IF(AK178&gt;7,IF(AK177&gt;3,"/",""),"")</f>
        <v/>
      </c>
      <c r="Y198" s="51"/>
      <c r="Z198" s="49"/>
      <c r="AA198" s="50" t="str">
        <f>IF(AK178&gt;8,IF(AK177&gt;3,"/",""),"")</f>
        <v/>
      </c>
      <c r="AB198" s="51"/>
      <c r="AC198" s="49"/>
      <c r="AD198" s="50" t="str">
        <f>IF(AK178&gt;9,IF(AK177&gt;3,"/",""),"")</f>
        <v/>
      </c>
      <c r="AE198" s="51"/>
      <c r="AF198" s="42" t="str">
        <f>IF(AK179&gt;4,"Team 5","")</f>
        <v/>
      </c>
      <c r="AG198" s="52" t="str">
        <f>IF(AK179&lt;5,"",IF(AK178&lt;1,"",IF(B194=5,B200-D200,IF(D194=5,D200-B200,""))))</f>
        <v/>
      </c>
      <c r="AH198" s="48" t="str">
        <f>IF(AK179&lt;5,"",IF(AK178&lt;2,"",IF(E194=5,E200-G200,IF(G194=5,G200-E200,""))))</f>
        <v/>
      </c>
      <c r="AI198" s="48" t="str">
        <f>IF(AK179&lt;5,"",IF(AK178&lt;3,"",IF(H194=5,H200-J200,IF(J194=5,J200-H200,""))))</f>
        <v/>
      </c>
      <c r="AJ198" s="48" t="str">
        <f>IF(AK179&lt;5,"",IF(AK178&lt;4,"",IF(K194=5,K200-M200,IF(M194=5,M200-K200,""))))</f>
        <v/>
      </c>
      <c r="AK198" s="48" t="str">
        <f>IF(AK179&lt;5,"",IF(AK178&lt;5,"",IF(N194=5,N200-P200,IF(P194=5,P200-N200,""))))</f>
        <v/>
      </c>
      <c r="AL198" s="48" t="str">
        <f>IF(AK179&lt;5,"",IF(AK178&lt;6,"",IF(Q194=5,Q200-S200,IF(S194=5,S200-Q200,""))))</f>
        <v/>
      </c>
      <c r="AM198" s="48" t="str">
        <f>IF(AK179&lt;5,"",IF(AK178&lt;7,"",IF(T194=5,T200-V200,IF(V194=5,V200-T200,""))))</f>
        <v/>
      </c>
      <c r="AN198" s="48" t="str">
        <f>IF(AK179&lt;5,"",IF(AK178&lt;8,"",IF(W194=5,W200-Y200,IF(Y194=5,Y200-W200,""))))</f>
        <v/>
      </c>
      <c r="AO198" s="48" t="str">
        <f>IF(AK179&lt;5,"",IF(AK178&lt;9,"",IF(Z194=5,Z200-AB200,IF(AB194=5,AB200-Z200,""))))</f>
        <v/>
      </c>
      <c r="AP198" s="48" t="str">
        <f>IF(AK179&lt;5,"",IF(AK178&lt;10,"",IF(AC194=5,AC200-AE200,IF(AE194=5,AE200-AC200,""))))</f>
        <v/>
      </c>
      <c r="AQ198" s="44">
        <f>SUM(AG198:AP198)</f>
        <v>0</v>
      </c>
    </row>
    <row r="199" spans="1:48" ht="15" x14ac:dyDescent="0.2">
      <c r="A199" s="3" t="str">
        <f>IF(AK177&gt;4,"Game 5","")</f>
        <v/>
      </c>
      <c r="B199" s="49"/>
      <c r="C199" s="50" t="s">
        <v>80</v>
      </c>
      <c r="D199" s="51"/>
      <c r="E199" s="49"/>
      <c r="F199" s="50" t="str">
        <f>IF(AK178&gt;1,IF(AK177&gt;4,"/",""),"")</f>
        <v/>
      </c>
      <c r="G199" s="51"/>
      <c r="H199" s="49"/>
      <c r="I199" s="50" t="str">
        <f>IF(AK178&gt;2,IF(AK177&gt;4,"/",""),"")</f>
        <v/>
      </c>
      <c r="J199" s="51"/>
      <c r="K199" s="49"/>
      <c r="L199" s="50" t="str">
        <f>IF(AK178&gt;3,IF(AK177&gt;4,"/",""),"")</f>
        <v/>
      </c>
      <c r="M199" s="51"/>
      <c r="N199" s="49"/>
      <c r="O199" s="50" t="str">
        <f>IF(AK178&gt;4,IF(AK177&gt;4,"/",""),"")</f>
        <v/>
      </c>
      <c r="P199" s="51"/>
      <c r="Q199" s="49"/>
      <c r="R199" s="50" t="str">
        <f>IF(AK178&gt;5,IF(AK177&gt;4,"/",""),"")</f>
        <v/>
      </c>
      <c r="S199" s="51"/>
      <c r="T199" s="49"/>
      <c r="U199" s="50" t="str">
        <f>IF(AK178&gt;6,IF(AK177&gt;4,"/",""),"")</f>
        <v/>
      </c>
      <c r="V199" s="51"/>
      <c r="W199" s="49"/>
      <c r="X199" s="50" t="str">
        <f>IF(AK178&gt;7,IF(AK177&gt;4,"/",""),"")</f>
        <v/>
      </c>
      <c r="Y199" s="51"/>
      <c r="Z199" s="49"/>
      <c r="AA199" s="50" t="str">
        <f>IF(AK178&gt;8,IF(AK177&gt;4,"/",""),"")</f>
        <v/>
      </c>
      <c r="AB199" s="51"/>
      <c r="AC199" s="49"/>
      <c r="AD199" s="50" t="str">
        <f>IF(AK178&gt;9,IF(AK177&gt;4,"/",""),"")</f>
        <v/>
      </c>
      <c r="AE199" s="51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</row>
    <row r="200" spans="1:48" hidden="1" x14ac:dyDescent="0.2">
      <c r="A200" s="53"/>
      <c r="B200" s="53">
        <f>IF($AK177=5,SUM(B195:B199),IF($AK177=4,SUM(B195:B198),IF($AK177=3,SUM(B195:B197),IF($AK177=2,SUM(B195:B196),B195))))</f>
        <v>16</v>
      </c>
      <c r="C200" s="53"/>
      <c r="D200" s="53">
        <f>IF($AK177=5,SUM(D195:D199),IF($AK177=4,SUM(D195:D198),IF($AK177=3,SUM(D195:D197),IF($AK177=2,SUM(D195:D196),D195))))</f>
        <v>26</v>
      </c>
      <c r="E200" s="53">
        <f>IF($AK177=5,SUM(E195:E199),IF($AK177=4,SUM(E195:E198),IF($AK177=3,SUM(E195:E197),IF($AK177=2,SUM(E195:E196),E195))))</f>
        <v>44</v>
      </c>
      <c r="F200" s="53"/>
      <c r="G200" s="53">
        <f>IF($AK177=5,SUM(G195:G199),IF($AK177=4,SUM(G195:G198),IF($AK177=3,SUM(G195:G197),IF($AK177=2,SUM(G195:G196),G195))))</f>
        <v>52</v>
      </c>
      <c r="H200" s="53">
        <f>IF($AK177=5,SUM(H195:H199),IF($AK177=4,SUM(H195:H198),IF($AK177=3,SUM(H195:H197),IF($AK177=2,SUM(H195:H196),H195))))</f>
        <v>54</v>
      </c>
      <c r="I200" s="53"/>
      <c r="J200" s="53">
        <f>IF($AK177=5,SUM(J195:J199),IF($AK177=4,SUM(J195:J198),IF($AK177=3,SUM(J195:J197),IF($AK177=2,SUM(J195:J196),J195))))</f>
        <v>34</v>
      </c>
      <c r="K200" s="53">
        <f>IF($AK177=5,SUM(K195:K199),IF($AK177=4,SUM(K195:K198),IF($AK177=3,SUM(K195:K197),IF($AK177=2,SUM(K195:K196),K195))))</f>
        <v>0</v>
      </c>
      <c r="L200" s="53"/>
      <c r="M200" s="53">
        <f>IF($AK177=5,SUM(M195:M199),IF($AK177=4,SUM(M195:M198),IF($AK177=3,SUM(M195:M197),IF($AK177=2,SUM(M195:M196),M195))))</f>
        <v>0</v>
      </c>
      <c r="N200" s="53">
        <f>IF($AK177=5,SUM(N195:N199),IF($AK177=4,SUM(N195:N198),IF($AK177=3,SUM(N195:N197),IF($AK177=2,SUM(N195:N196),N195))))</f>
        <v>0</v>
      </c>
      <c r="O200" s="53"/>
      <c r="P200" s="53">
        <f>IF($AK177=5,SUM(P195:P199),IF($AK177=4,SUM(P195:P198),IF($AK177=3,SUM(P195:P197),IF($AK177=2,SUM(P195:P196),P195))))</f>
        <v>0</v>
      </c>
      <c r="Q200" s="53">
        <f>IF($AK177=5,SUM(Q195:Q199),IF($AK177=4,SUM(Q195:Q198),IF($AK177=3,SUM(Q195:Q197),IF($AK177=2,SUM(Q195:Q196),Q195))))</f>
        <v>0</v>
      </c>
      <c r="R200" s="53"/>
      <c r="S200" s="53">
        <f>IF($AK177=5,SUM(S195:S199),IF($AK177=4,SUM(S195:S198),IF($AK177=3,SUM(S195:S197),IF($AK177=2,SUM(S195:S196),S195))))</f>
        <v>0</v>
      </c>
      <c r="T200" s="53">
        <f>IF($AK177=5,SUM(T195:T199),IF($AK177=4,SUM(T195:T198),IF($AK177=3,SUM(T195:T197),IF($AK177=2,SUM(T195:T196),T195))))</f>
        <v>0</v>
      </c>
      <c r="U200" s="53"/>
      <c r="V200" s="53">
        <f>IF($AK177=5,SUM(V195:V199),IF($AK177=4,SUM(V195:V198),IF($AK177=3,SUM(V195:V197),IF($AK177=2,SUM(V195:V196),V195))))</f>
        <v>0</v>
      </c>
      <c r="W200" s="53">
        <f>IF($AK177=5,SUM(W195:W199),IF($AK177=4,SUM(W195:W198),IF($AK177=3,SUM(W195:W197),IF($AK177=2,SUM(W195:W196),W195))))</f>
        <v>0</v>
      </c>
      <c r="X200" s="53"/>
      <c r="Y200" s="53">
        <f>IF($AK177=5,SUM(Y195:Y199),IF($AK177=4,SUM(Y195:Y198),IF($AK177=3,SUM(Y195:Y197),IF($AK177=2,SUM(Y195:Y196),Y195))))</f>
        <v>0</v>
      </c>
      <c r="Z200" s="53">
        <f>IF($AK177=5,SUM(Z195:Z199),IF($AK177=4,SUM(Z195:Z198),IF($AK177=3,SUM(Z195:Z197),IF($AK177=2,SUM(Z195:Z196),Z195))))</f>
        <v>0</v>
      </c>
      <c r="AA200" s="53"/>
      <c r="AB200" s="53">
        <f>IF($AK177=5,SUM(AB195:AB199),IF($AK177=4,SUM(AB195:AB198),IF($AK177=3,SUM(AB195:AB197),IF($AK177=2,SUM(AB195:AB196),AB195))))</f>
        <v>0</v>
      </c>
      <c r="AC200" s="53">
        <f>IF($AK177=5,SUM(AC195:AC199),IF($AK177=4,SUM(AC195:AC198),IF($AK177=3,SUM(AC195:AC197),IF($AK177=2,SUM(AC195:AC196),AC195))))</f>
        <v>0</v>
      </c>
      <c r="AD200" s="53"/>
      <c r="AE200" s="53">
        <f>IF($AK177=5,SUM(AE195:AE199),IF($AK177=4,SUM(AE195:AE198),IF($AK177=3,SUM(AE195:AE197),IF($AK177=2,SUM(AE195:AE196),AE195))))</f>
        <v>0</v>
      </c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T200" s="55"/>
      <c r="AU200" s="55"/>
      <c r="AV200" s="55"/>
    </row>
    <row r="201" spans="1:48" s="55" customFormat="1" ht="12.75" hidden="1" customHeight="1" x14ac:dyDescent="0.2">
      <c r="A201" s="55" t="s">
        <v>81</v>
      </c>
      <c r="B201" s="56">
        <f>IF(AND(B195&gt;D195,$AK178&gt;0,ISNUMBER(B195),ISNUMBER(D195)),1,0)</f>
        <v>0</v>
      </c>
      <c r="C201" s="56"/>
      <c r="D201" s="57">
        <f>IF(AND(D195&gt;B195,$AK178&gt;0,ISNUMBER(B195),ISNUMBER(D195)),1,0)</f>
        <v>1</v>
      </c>
      <c r="E201" s="56">
        <f>IF(AND(E195&gt;G195,$AK178&gt;1,ISNUMBER(E195),ISNUMBER(G195)),1,0)</f>
        <v>0</v>
      </c>
      <c r="F201" s="56"/>
      <c r="G201" s="57">
        <f>IF(AND(G195&gt;E195,$AK178&gt;1,ISNUMBER(E195),ISNUMBER(G195)),1,0)</f>
        <v>1</v>
      </c>
      <c r="H201" s="56">
        <f>IF(AND(H195&gt;J195,$AK178&gt;2,ISNUMBER(H195),ISNUMBER(J195)),1,0)</f>
        <v>1</v>
      </c>
      <c r="I201" s="56"/>
      <c r="J201" s="57">
        <f>IF(AND(J195&gt;H195,$AK178&gt;2,ISNUMBER(H195),ISNUMBER(J195)),1,0)</f>
        <v>0</v>
      </c>
      <c r="K201" s="56">
        <f>IF(AND(K195&gt;M195,$AK178&gt;3,ISNUMBER(K195),ISNUMBER(M195)),1,0)</f>
        <v>0</v>
      </c>
      <c r="L201" s="56"/>
      <c r="M201" s="57">
        <f>IF(AND(M195&gt;K195,$AK178&gt;3,ISNUMBER(K195),ISNUMBER(M195)),1,0)</f>
        <v>0</v>
      </c>
      <c r="N201" s="56">
        <f>IF(AND(N195&gt;P195,$AK178&gt;4,ISNUMBER(N195),ISNUMBER(P195)),1,0)</f>
        <v>0</v>
      </c>
      <c r="O201" s="56"/>
      <c r="P201" s="57">
        <f>IF(AND(P195&gt;N195,$AK178&gt;4,ISNUMBER(N195),ISNUMBER(P195)),1,0)</f>
        <v>0</v>
      </c>
      <c r="Q201" s="56">
        <f>IF(AND(Q195&gt;S195,$AK178&gt;5,ISNUMBER(Q195),ISNUMBER(S195)),1,0)</f>
        <v>0</v>
      </c>
      <c r="R201" s="56"/>
      <c r="S201" s="57">
        <f>IF(AND(S195&gt;Q195,$AK178&gt;5,ISNUMBER(Q195),ISNUMBER(S195)),1,0)</f>
        <v>0</v>
      </c>
      <c r="T201" s="56">
        <f>IF(AND(T195&gt;V195,$AK178&gt;6,ISNUMBER(T195),ISNUMBER(V195)),1,0)</f>
        <v>0</v>
      </c>
      <c r="U201" s="56"/>
      <c r="V201" s="57">
        <f>IF(AND(V195&gt;T195,$AK178&gt;6,ISNUMBER(T195),ISNUMBER(V195)),1,0)</f>
        <v>0</v>
      </c>
      <c r="W201" s="56">
        <f>IF(AND(W195&gt;Y195,$AK178&gt;7,ISNUMBER(W195),ISNUMBER(Y195)),1,0)</f>
        <v>0</v>
      </c>
      <c r="X201" s="56"/>
      <c r="Y201" s="57">
        <f>IF(AND(Y195&gt;W195,$AK178&gt;7,ISNUMBER(W195),ISNUMBER(Y195)),1,0)</f>
        <v>0</v>
      </c>
      <c r="Z201" s="56">
        <f>IF(AND(Z195&gt;AB195,$AK178&gt;8,ISNUMBER(Z195),ISNUMBER(AB195)),1,0)</f>
        <v>0</v>
      </c>
      <c r="AA201" s="56"/>
      <c r="AB201" s="57">
        <f>IF(AND(AB195&gt;Z195,$AK178&gt;8,ISNUMBER(Z195),ISNUMBER(AB195)),1,0)</f>
        <v>0</v>
      </c>
      <c r="AC201" s="56">
        <f>IF(AND(AC195&gt;AE195,$AK178&gt;9,ISNUMBER(AC195),ISNUMBER(AE195)),1,0)</f>
        <v>0</v>
      </c>
      <c r="AD201" s="56"/>
      <c r="AE201" s="57">
        <f>IF(AND(AE195&gt;AC195,$AK178&gt;9,ISNUMBER(AC195),ISNUMBER(AE195)),1,0)</f>
        <v>0</v>
      </c>
    </row>
    <row r="202" spans="1:48" s="55" customFormat="1" ht="12.75" hidden="1" customHeight="1" x14ac:dyDescent="0.2">
      <c r="A202" s="55" t="s">
        <v>82</v>
      </c>
      <c r="B202" s="56">
        <f>IF(AND(B196&gt;D196,$AK178&gt;0,$AK177&gt;1,ISNUMBER(B196),ISNUMBER(D196)),1,0)</f>
        <v>0</v>
      </c>
      <c r="C202" s="56"/>
      <c r="D202" s="57">
        <f>IF(AND(D196&gt;B196,$AK178&gt;0,$AK177&gt;1,ISNUMBER(B196),ISNUMBER(D196)),1,0)</f>
        <v>0</v>
      </c>
      <c r="E202" s="56">
        <f>IF(AND(E196&gt;G196,$AK178&gt;1,$AK177&gt;1,ISNUMBER(E196),ISNUMBER(G196)),1,0)</f>
        <v>0</v>
      </c>
      <c r="F202" s="56"/>
      <c r="G202" s="57">
        <f>IF(AND(G196&gt;E196,$AK178&gt;1,$AK177&gt;1,ISNUMBER(E196),ISNUMBER(G196)),1,0)</f>
        <v>1</v>
      </c>
      <c r="H202" s="56">
        <f>IF(AND(H196&gt;J196,$AK178&gt;2,$AK177&gt;1,ISNUMBER(H196),ISNUMBER(J196)),1,0)</f>
        <v>1</v>
      </c>
      <c r="I202" s="56"/>
      <c r="J202" s="57">
        <f>IF(AND(J196&gt;H196,$AK178&gt;2,$AK177&gt;1,ISNUMBER(H196),ISNUMBER(J196)),1,0)</f>
        <v>0</v>
      </c>
      <c r="K202" s="56">
        <f>IF(AND(K196&gt;M196,$AK178&gt;3,$AK177&gt;1,ISNUMBER(K196),ISNUMBER(M196)),1,0)</f>
        <v>0</v>
      </c>
      <c r="L202" s="56"/>
      <c r="M202" s="57">
        <f>IF(AND(M196&gt;K196,$AK178&gt;3,$AK177&gt;1,ISNUMBER(K196),ISNUMBER(M196)),1,0)</f>
        <v>0</v>
      </c>
      <c r="N202" s="56">
        <f>IF(AND(N196&gt;P196,$AK178&gt;4,$AK177&gt;1,ISNUMBER(N196),ISNUMBER(P196)),1,0)</f>
        <v>0</v>
      </c>
      <c r="O202" s="56"/>
      <c r="P202" s="57">
        <f>IF(AND(P196&gt;N196,$AK178&gt;4,$AK177&gt;1,ISNUMBER(N196),ISNUMBER(P196)),1,0)</f>
        <v>0</v>
      </c>
      <c r="Q202" s="56">
        <f>IF(AND(Q196&gt;S196,$AK178&gt;5,$AK177&gt;1,ISNUMBER(Q196),ISNUMBER(S196)),1,0)</f>
        <v>0</v>
      </c>
      <c r="R202" s="56"/>
      <c r="S202" s="57">
        <f>IF(AND(S196&gt;Q196,$AK178&gt;5,$AK177&gt;1,ISNUMBER(Q196),ISNUMBER(S196)),1,0)</f>
        <v>0</v>
      </c>
      <c r="T202" s="56">
        <f>IF(AND(T196&gt;V196,$AK178&gt;6,$AK177&gt;1,ISNUMBER(T196),ISNUMBER(V196)),1,0)</f>
        <v>0</v>
      </c>
      <c r="U202" s="56"/>
      <c r="V202" s="57">
        <f>IF(AND(V196&gt;T196,$AK178&gt;6,$AK177&gt;1,ISNUMBER(T196),ISNUMBER(V196)),1,0)</f>
        <v>0</v>
      </c>
      <c r="W202" s="56">
        <f>IF(AND(W196&gt;Y196,$AK178&gt;7,$AK177&gt;1,ISNUMBER(W196),ISNUMBER(Y196)),1,0)</f>
        <v>0</v>
      </c>
      <c r="X202" s="56"/>
      <c r="Y202" s="57">
        <f>IF(AND(Y196&gt;W196,$AK178&gt;7,$AK177&gt;1,ISNUMBER(W196),ISNUMBER(Y196)),1,0)</f>
        <v>0</v>
      </c>
      <c r="Z202" s="56">
        <f>IF(AND(Z196&gt;AB196,$AK178&gt;8,$AK177&gt;1,ISNUMBER(Z196),ISNUMBER(AB196)),1,0)</f>
        <v>0</v>
      </c>
      <c r="AA202" s="56"/>
      <c r="AB202" s="57">
        <f>IF(AND(AB196&gt;Z196,$AK178&gt;8,$AK177&gt;1,ISNUMBER(Z196),ISNUMBER(AB196)),1,0)</f>
        <v>0</v>
      </c>
      <c r="AC202" s="56">
        <f>IF(AND(AC196&gt;AE196,$AK178&gt;9,$AK177&gt;1,ISNUMBER(AC196),ISNUMBER(AE196)),1,0)</f>
        <v>0</v>
      </c>
      <c r="AD202" s="56"/>
      <c r="AE202" s="57">
        <f>IF(AND(AE196&gt;AC196,$AK178&gt;9,$AK177&gt;1,ISNUMBER(AC196),ISNUMBER(AE196)),1,0)</f>
        <v>0</v>
      </c>
    </row>
    <row r="203" spans="1:48" s="55" customFormat="1" ht="12.75" hidden="1" customHeight="1" x14ac:dyDescent="0.2">
      <c r="A203" s="55" t="s">
        <v>83</v>
      </c>
      <c r="B203" s="56">
        <f>IF(AND(B197&gt;D197,$AK178&gt;0,$AK177&gt;2,ISNUMBER(B197),ISNUMBER(D197)),1,0)</f>
        <v>0</v>
      </c>
      <c r="C203" s="56"/>
      <c r="D203" s="57">
        <f>IF(AND(D197&gt;B197,$AK178&gt;0,$AK177&gt;2,ISNUMBER(B197),ISNUMBER(D197)),1,0)</f>
        <v>0</v>
      </c>
      <c r="E203" s="56">
        <f>IF(AND(E197&gt;G197,$AK178&gt;1,$AK177&gt;2,ISNUMBER(E197),ISNUMBER(G197)),1,0)</f>
        <v>0</v>
      </c>
      <c r="F203" s="56"/>
      <c r="G203" s="57">
        <f>IF(AND(G197&gt;E197,$AK178&gt;1,$AK177&gt;2,ISNUMBER(E197),ISNUMBER(G197)),1,0)</f>
        <v>0</v>
      </c>
      <c r="H203" s="56">
        <f>IF(AND(H197&gt;J197,$AK178&gt;2,$AK177&gt;2,ISNUMBER(H197),ISNUMBER(J197)),1,0)</f>
        <v>0</v>
      </c>
      <c r="I203" s="56"/>
      <c r="J203" s="57">
        <f>IF(AND(J197&gt;H197,$AK178&gt;2,$AK177&gt;2,ISNUMBER(H197),ISNUMBER(J197)),1,0)</f>
        <v>0</v>
      </c>
      <c r="K203" s="56">
        <f>IF(AND(K197&gt;M197,$AK178&gt;3,$AK177&gt;2,ISNUMBER(K197),ISNUMBER(M197)),1,0)</f>
        <v>0</v>
      </c>
      <c r="L203" s="56"/>
      <c r="M203" s="57">
        <f>IF(AND(M197&gt;K197,$AK178&gt;3,$AK177&gt;2,ISNUMBER(K197),ISNUMBER(M197)),1,0)</f>
        <v>0</v>
      </c>
      <c r="N203" s="56">
        <f>IF(AND(N197&gt;P197,$AK178&gt;4,$AK177&gt;2,ISNUMBER(N197),ISNUMBER(P197)),1,0)</f>
        <v>0</v>
      </c>
      <c r="O203" s="56"/>
      <c r="P203" s="57">
        <f>IF(AND(P197&gt;N197,$AK178&gt;4,$AK177&gt;2,ISNUMBER(N197),ISNUMBER(P197)),1,0)</f>
        <v>0</v>
      </c>
      <c r="Q203" s="56">
        <f>IF(AND(Q197&gt;S197,$AK178&gt;5,$AK177&gt;2,ISNUMBER(Q197),ISNUMBER(S197)),1,0)</f>
        <v>0</v>
      </c>
      <c r="R203" s="56"/>
      <c r="S203" s="57">
        <f>IF(AND(S197&gt;Q197,$AK178&gt;5,$AK177&gt;2,ISNUMBER(Q197),ISNUMBER(S197)),1,0)</f>
        <v>0</v>
      </c>
      <c r="T203" s="56">
        <f>IF(AND(T197&gt;V197,$AK178&gt;6,$AK177&gt;2,ISNUMBER(T197),ISNUMBER(V197)),1,0)</f>
        <v>0</v>
      </c>
      <c r="U203" s="56"/>
      <c r="V203" s="57">
        <f>IF(AND(V197&gt;T197,$AK178&gt;6,$AK177&gt;2,ISNUMBER(T197),ISNUMBER(V197)),1,0)</f>
        <v>0</v>
      </c>
      <c r="W203" s="56">
        <f>IF(AND(W197&gt;Y197,$AK178&gt;7,$AK177&gt;2,ISNUMBER(W197),ISNUMBER(Y197)),1,0)</f>
        <v>0</v>
      </c>
      <c r="X203" s="56"/>
      <c r="Y203" s="57">
        <f>IF(AND(Y197&gt;W197,$AK178&gt;7,$AK177&gt;2,ISNUMBER(W197),ISNUMBER(Y197)),1,0)</f>
        <v>0</v>
      </c>
      <c r="Z203" s="56">
        <f>IF(AND(Z197&gt;AB197,$AK178&gt;8,$AK177&gt;2,ISNUMBER(Z197),ISNUMBER(AB197)),1,0)</f>
        <v>0</v>
      </c>
      <c r="AA203" s="56"/>
      <c r="AB203" s="57">
        <f>IF(AND(AB197&gt;Z197,$AK178&gt;8,$AK177&gt;2,ISNUMBER(Z197),ISNUMBER(AB197)),1,0)</f>
        <v>0</v>
      </c>
      <c r="AC203" s="56">
        <f>IF(AND(AC197&gt;AE197,$AK178&gt;9,$AK177&gt;2,ISNUMBER(AC197),ISNUMBER(AE197)),1,0)</f>
        <v>0</v>
      </c>
      <c r="AD203" s="56"/>
      <c r="AE203" s="57">
        <f>IF(AND(AE197&gt;AC197,$AK178&gt;9,$AK177&gt;2,ISNUMBER(AC197),ISNUMBER(AE197)),1,0)</f>
        <v>0</v>
      </c>
    </row>
    <row r="204" spans="1:48" s="55" customFormat="1" ht="12.75" hidden="1" customHeight="1" x14ac:dyDescent="0.2">
      <c r="A204" s="55" t="s">
        <v>84</v>
      </c>
      <c r="B204" s="56">
        <f>IF(AND(B198&gt;D198,$AK178&gt;0,$AK177&gt;3,ISNUMBER(B198),ISNUMBER(D198)),1,0)</f>
        <v>0</v>
      </c>
      <c r="C204" s="56"/>
      <c r="D204" s="57">
        <f>IF(AND(D198&gt;B198,$AK178&gt;0,$AK177&gt;3,ISNUMBER(B198),ISNUMBER(D198)),1,0)</f>
        <v>0</v>
      </c>
      <c r="E204" s="56">
        <f>IF(AND(E198&gt;G198,$AK178&gt;1,$AK177&gt;3,ISNUMBER(E198),ISNUMBER(G198)),1,0)</f>
        <v>0</v>
      </c>
      <c r="F204" s="56"/>
      <c r="G204" s="57">
        <f>IF(AND(G198&gt;E198,$AK178&gt;1,$AK177&gt;3,ISNUMBER(E198),ISNUMBER(G198)),1,0)</f>
        <v>0</v>
      </c>
      <c r="H204" s="56">
        <f>IF(AND(H198&gt;J198,$AK178&gt;2,$AK177&gt;3,ISNUMBER(H198),ISNUMBER(J198)),1,0)</f>
        <v>0</v>
      </c>
      <c r="I204" s="56"/>
      <c r="J204" s="57">
        <f>IF(AND(J198&gt;H198,$AK178&gt;2,$AK177&gt;3,ISNUMBER(H198),ISNUMBER(J198)),1,0)</f>
        <v>0</v>
      </c>
      <c r="K204" s="56">
        <f>IF(AND(K198&gt;M198,$AK178&gt;3,$AK177&gt;3,ISNUMBER(K198),ISNUMBER(M198)),1,0)</f>
        <v>0</v>
      </c>
      <c r="L204" s="56"/>
      <c r="M204" s="57">
        <f>IF(AND(M198&gt;K198,$AK178&gt;3,$AK177&gt;3,ISNUMBER(K198),ISNUMBER(M198)),1,0)</f>
        <v>0</v>
      </c>
      <c r="N204" s="56">
        <f>IF(AND(N198&gt;P198,$AK178&gt;4,$AK177&gt;3,ISNUMBER(N198),ISNUMBER(P198)),1,0)</f>
        <v>0</v>
      </c>
      <c r="O204" s="56"/>
      <c r="P204" s="57">
        <f>IF(AND(P198&gt;N198,$AK178&gt;4,$AK177&gt;3,ISNUMBER(N198),ISNUMBER(P198)),1,0)</f>
        <v>0</v>
      </c>
      <c r="Q204" s="56">
        <f>IF(AND(Q198&gt;S198,$AK178&gt;5,$AK177&gt;3,ISNUMBER(Q198),ISNUMBER(S198)),1,0)</f>
        <v>0</v>
      </c>
      <c r="R204" s="56"/>
      <c r="S204" s="57">
        <f>IF(AND(S198&gt;Q198,$AK178&gt;5,$AK177&gt;3,ISNUMBER(Q198),ISNUMBER(S198)),1,0)</f>
        <v>0</v>
      </c>
      <c r="T204" s="56">
        <f>IF(AND(T198&gt;V198,$AK178&gt;6,$AK177&gt;3,ISNUMBER(T198),ISNUMBER(V198)),1,0)</f>
        <v>0</v>
      </c>
      <c r="U204" s="56"/>
      <c r="V204" s="57">
        <f>IF(AND(V198&gt;T198,$AK178&gt;6,$AK177&gt;3,ISNUMBER(T198),ISNUMBER(V198)),1,0)</f>
        <v>0</v>
      </c>
      <c r="W204" s="56">
        <f>IF(AND(W198&gt;Y198,$AK178&gt;7,$AK177&gt;3,ISNUMBER(W198),ISNUMBER(Y198)),1,0)</f>
        <v>0</v>
      </c>
      <c r="X204" s="56"/>
      <c r="Y204" s="57">
        <f>IF(AND(Y198&gt;W198,$AK178&gt;7,$AK177&gt;3,ISNUMBER(W198),ISNUMBER(Y198)),1,0)</f>
        <v>0</v>
      </c>
      <c r="Z204" s="56">
        <f>IF(AND(Z198&gt;AB198,$AK178&gt;8,$AK177&gt;3,ISNUMBER(Z198),ISNUMBER(AB198)),1,0)</f>
        <v>0</v>
      </c>
      <c r="AA204" s="56"/>
      <c r="AB204" s="57">
        <f>IF(AND(AB198&gt;Z198,$AK178&gt;8,$AK177&gt;3,ISNUMBER(Z198),ISNUMBER(AB198)),1,0)</f>
        <v>0</v>
      </c>
      <c r="AC204" s="56">
        <f>IF(AND(AC198&gt;AE198,$AK178&gt;9,$AK177&gt;3,ISNUMBER(AC198),ISNUMBER(AE198)),1,0)</f>
        <v>0</v>
      </c>
      <c r="AD204" s="56"/>
      <c r="AE204" s="57">
        <f>IF(AND(AE198&gt;AC198,$AK178&gt;9,$AK177&gt;3,ISNUMBER(AC198),ISNUMBER(AE198)),1,0)</f>
        <v>0</v>
      </c>
    </row>
    <row r="205" spans="1:48" s="55" customFormat="1" ht="12.75" hidden="1" customHeight="1" x14ac:dyDescent="0.2">
      <c r="A205" s="55" t="s">
        <v>85</v>
      </c>
      <c r="B205" s="56">
        <f>IF(AND(B199&gt;D199,$AK178&gt;0,$AK177&gt;4,ISNUMBER(B199),ISNUMBER(D199)),1,0)</f>
        <v>0</v>
      </c>
      <c r="C205" s="56"/>
      <c r="D205" s="57">
        <f>IF(AND(D199&gt;B199,$AK178&gt;0,$AK177&gt;4,ISNUMBER(B199),ISNUMBER(D199)),1,0)</f>
        <v>0</v>
      </c>
      <c r="E205" s="56">
        <f>IF(AND(E199&gt;G199,$AK178&gt;1,$AK177&gt;4,ISNUMBER(E199),ISNUMBER(G199)),1,0)</f>
        <v>0</v>
      </c>
      <c r="F205" s="56"/>
      <c r="G205" s="57">
        <f>IF(AND(G199&gt;E199,$AK178&gt;1,$AK177&gt;4,ISNUMBER(E199),ISNUMBER(G199)),1,0)</f>
        <v>0</v>
      </c>
      <c r="H205" s="56">
        <f>IF(AND(H199&gt;J199,$AK178&gt;2,$AK177&gt;4,ISNUMBER(H199),ISNUMBER(J199)),1,0)</f>
        <v>0</v>
      </c>
      <c r="I205" s="56"/>
      <c r="J205" s="57">
        <f>IF(AND(J199&gt;H199,$AK178&gt;2,$AK177&gt;4,ISNUMBER(H199),ISNUMBER(J199)),1,0)</f>
        <v>0</v>
      </c>
      <c r="K205" s="56">
        <f>IF(AND(K199&gt;M199,$AK178&gt;3,$AK177&gt;4,ISNUMBER(K199),ISNUMBER(M199)),1,0)</f>
        <v>0</v>
      </c>
      <c r="L205" s="56"/>
      <c r="M205" s="57">
        <f>IF(AND(M199&gt;K199,$AK178&gt;3,$AK177&gt;4,ISNUMBER(K199),ISNUMBER(M199)),1,0)</f>
        <v>0</v>
      </c>
      <c r="N205" s="56">
        <f>IF(AND(N199&gt;P199,$AK178&gt;4,$AK177&gt;4,ISNUMBER(N199),ISNUMBER(P199)),1,0)</f>
        <v>0</v>
      </c>
      <c r="O205" s="56"/>
      <c r="P205" s="57">
        <f>IF(AND(P199&gt;N199,$AK178&gt;4,$AK177&gt;4,ISNUMBER(N199),ISNUMBER(P199)),1,0)</f>
        <v>0</v>
      </c>
      <c r="Q205" s="56">
        <f>IF(AND(Q199&gt;S199,$AK178&gt;5,$AK177&gt;4,ISNUMBER(Q199),ISNUMBER(S199)),1,0)</f>
        <v>0</v>
      </c>
      <c r="R205" s="56"/>
      <c r="S205" s="57">
        <f>IF(AND(S199&gt;Q199,$AK178&gt;5,$AK177&gt;4,ISNUMBER(Q199),ISNUMBER(S199)),1,0)</f>
        <v>0</v>
      </c>
      <c r="T205" s="56">
        <f>IF(AND(T199&gt;V199,$AK178&gt;6,$AK177&gt;4,ISNUMBER(T199),ISNUMBER(V199)),1,0)</f>
        <v>0</v>
      </c>
      <c r="U205" s="56"/>
      <c r="V205" s="57">
        <f>IF(AND(V199&gt;T199,$AK178&gt;6,$AK177&gt;4,ISNUMBER(T199),ISNUMBER(V199)),1,0)</f>
        <v>0</v>
      </c>
      <c r="W205" s="56">
        <f>IF(AND(W199&gt;Y199,$AK178&gt;7,$AK177&gt;4,ISNUMBER(W199),ISNUMBER(Y199)),1,0)</f>
        <v>0</v>
      </c>
      <c r="X205" s="56"/>
      <c r="Y205" s="57">
        <f>IF(AND(Y199&gt;W199,$AK178&gt;7,$AK177&gt;4,ISNUMBER(W199),ISNUMBER(Y199)),1,0)</f>
        <v>0</v>
      </c>
      <c r="Z205" s="56">
        <f>IF(AND(Z199&gt;AB199,$AK178&gt;8,$AK177&gt;4,ISNUMBER(Z199),ISNUMBER(AB199)),1,0)</f>
        <v>0</v>
      </c>
      <c r="AA205" s="56"/>
      <c r="AB205" s="57">
        <f>IF(AND(AB199&gt;Z199,$AK178&gt;8,$AK177&gt;4,ISNUMBER(Z199),ISNUMBER(AB199)),1,0)</f>
        <v>0</v>
      </c>
      <c r="AC205" s="56">
        <f>IF(AND(AC199&gt;AE199,$AK178&gt;9,$AK177&gt;4,ISNUMBER(AC199),ISNUMBER(AE199)),1,0)</f>
        <v>0</v>
      </c>
      <c r="AD205" s="56"/>
      <c r="AE205" s="57">
        <f>IF(AND(AE199&gt;AC199,$AK178&gt;9,$AK177&gt;4,ISNUMBER(AC199),ISNUMBER(AE199)),1,0)</f>
        <v>0</v>
      </c>
    </row>
    <row r="206" spans="1:48" s="55" customFormat="1" ht="38.25" hidden="1" customHeight="1" x14ac:dyDescent="0.2">
      <c r="A206" s="59" t="s">
        <v>86</v>
      </c>
      <c r="B206" s="55">
        <f>SUM(B201:B205)</f>
        <v>0</v>
      </c>
      <c r="D206" s="60">
        <f>SUM(D201:D205)</f>
        <v>1</v>
      </c>
      <c r="E206" s="55">
        <f>SUM(E201:E205)</f>
        <v>0</v>
      </c>
      <c r="G206" s="60">
        <f>SUM(G201:G205)</f>
        <v>2</v>
      </c>
      <c r="H206" s="55">
        <f>SUM(H201:H205)</f>
        <v>2</v>
      </c>
      <c r="J206" s="60">
        <f>SUM(J201:J205)</f>
        <v>0</v>
      </c>
      <c r="K206" s="55">
        <f>SUM(K201:K205)</f>
        <v>0</v>
      </c>
      <c r="M206" s="60">
        <f>SUM(M201:M205)</f>
        <v>0</v>
      </c>
      <c r="N206" s="55">
        <f>SUM(N201:N205)</f>
        <v>0</v>
      </c>
      <c r="P206" s="60">
        <f>SUM(P201:P205)</f>
        <v>0</v>
      </c>
      <c r="Q206" s="55">
        <f>SUM(Q201:Q205)</f>
        <v>0</v>
      </c>
      <c r="S206" s="60">
        <f>SUM(S201:S205)</f>
        <v>0</v>
      </c>
      <c r="T206" s="55">
        <f>SUM(T201:T205)</f>
        <v>0</v>
      </c>
      <c r="V206" s="60">
        <f>SUM(V201:V205)</f>
        <v>0</v>
      </c>
      <c r="W206" s="55">
        <f>SUM(W201:W205)</f>
        <v>0</v>
      </c>
      <c r="Y206" s="60">
        <f>SUM(Y201:Y205)</f>
        <v>0</v>
      </c>
      <c r="Z206" s="55">
        <f>SUM(Z201:Z205)</f>
        <v>0</v>
      </c>
      <c r="AB206" s="60">
        <f>SUM(AB201:AB205)</f>
        <v>0</v>
      </c>
      <c r="AC206" s="55">
        <f>SUM(AC201:AC205)</f>
        <v>0</v>
      </c>
      <c r="AE206" s="60">
        <f>SUM(AE201:AE205)</f>
        <v>0</v>
      </c>
    </row>
    <row r="207" spans="1:48" s="55" customFormat="1" ht="25.5" hidden="1" customHeight="1" x14ac:dyDescent="0.2">
      <c r="A207" s="59" t="s">
        <v>87</v>
      </c>
      <c r="B207" s="55">
        <f>IF(B206&gt;D206,IF(C241=AK177,1,IF(C241=AK177-1,1,0)),0)</f>
        <v>0</v>
      </c>
      <c r="C207" s="55">
        <f>B207+D207</f>
        <v>1</v>
      </c>
      <c r="D207" s="60">
        <f>IF(D206&gt;B206,IF(C241=AK177,1,IF(C241=AK177-1,1,0)),0)</f>
        <v>1</v>
      </c>
      <c r="E207" s="55">
        <f>IF(E206&gt;G206,IF(F241=AK177,1,IF(F241=AK177-1,1,0)),0)</f>
        <v>0</v>
      </c>
      <c r="F207" s="55">
        <f>E207+G207</f>
        <v>1</v>
      </c>
      <c r="G207" s="60">
        <f>IF(G206&gt;E206,IF(F241=AK177,1,IF(F241=AK177-1,1,0)),0)</f>
        <v>1</v>
      </c>
      <c r="H207" s="55">
        <f>IF(H206&gt;J206,IF(I241=AK177,1,IF(I241=AK177-1,1,0)),0)</f>
        <v>1</v>
      </c>
      <c r="I207" s="55">
        <f>H207+J207</f>
        <v>1</v>
      </c>
      <c r="J207" s="60">
        <f>IF(J206&gt;H206,IF(I241=AK177,1,IF(I241=AK177-1,1,0)),0)</f>
        <v>0</v>
      </c>
      <c r="K207" s="55">
        <f>IF(K206&gt;M206,IF(L241=AK177,1,IF(L241=AK177-1,1,0)),0)</f>
        <v>0</v>
      </c>
      <c r="L207" s="55">
        <f>K207+M207</f>
        <v>0</v>
      </c>
      <c r="M207" s="60">
        <f>IF(M206&gt;K206,IF(L241=AK177,1,IF(L241=AK177-1,1,0)),0)</f>
        <v>0</v>
      </c>
      <c r="N207" s="55">
        <f>IF(N206&gt;P206,IF(O241=AK177,1,IF(O241=AK177-1,1,0)),0)</f>
        <v>0</v>
      </c>
      <c r="O207" s="55">
        <f>N207+P207</f>
        <v>0</v>
      </c>
      <c r="P207" s="60">
        <f>IF(P206&gt;N206,IF(O241=AK177,1,IF(O241=AK177-1,1,0)),0)</f>
        <v>0</v>
      </c>
      <c r="Q207" s="55">
        <f>IF(Q206&gt;S206,IF(R241=AK177,1,IF(R241=AK177-1,1,0)),0)</f>
        <v>0</v>
      </c>
      <c r="R207" s="55">
        <f>Q207+S207</f>
        <v>0</v>
      </c>
      <c r="S207" s="60">
        <f>IF(S206&gt;Q206,IF(R241=AK177,1,IF(R241=AK177-1,1,0)),0)</f>
        <v>0</v>
      </c>
      <c r="T207" s="55">
        <f>IF(T206&gt;V206,IF(U241=AK177,1,IF(U241=AK177-1,1,0)),0)</f>
        <v>0</v>
      </c>
      <c r="U207" s="55">
        <f>T207+V207</f>
        <v>0</v>
      </c>
      <c r="V207" s="60">
        <f>IF(V206&gt;T206,IF(U241=AK177,1,IF(U241=AK177-1,1,0)),0)</f>
        <v>0</v>
      </c>
      <c r="W207" s="55">
        <f>IF(W206&gt;Y206,IF(X241=AK177,1,IF(X241=AK177-1,1,0)),0)</f>
        <v>0</v>
      </c>
      <c r="X207" s="55">
        <f>W207+Y207</f>
        <v>0</v>
      </c>
      <c r="Y207" s="60">
        <f>IF(Y206&gt;W206,IF(X241=AK177,1,IF(X241=AK177-1,1,0)),0)</f>
        <v>0</v>
      </c>
      <c r="Z207" s="55">
        <f>IF(Z206&gt;AB206,IF(AA241=AK177,1,IF(AA241=AK177-1,1,0)),0)</f>
        <v>0</v>
      </c>
      <c r="AA207" s="55">
        <f>Z207+AB207</f>
        <v>0</v>
      </c>
      <c r="AB207" s="60">
        <f>IF(AB206&gt;Z206,IF(AA241=AK177,1,IF(AA241=AK177-1,1,0)),0)</f>
        <v>0</v>
      </c>
      <c r="AC207" s="55">
        <f>IF(AC206&gt;AE206,IF(AD241=AK177,1,IF(AD241=AK177-1,1,0)),0)</f>
        <v>0</v>
      </c>
      <c r="AD207" s="55">
        <f>AC207+AE207</f>
        <v>0</v>
      </c>
      <c r="AE207" s="60">
        <f>IF(AE206&gt;AC206,IF(AD241=AK177,1,IF(AD241=AK177-1,1,0)),0)</f>
        <v>0</v>
      </c>
    </row>
    <row r="208" spans="1:48" s="55" customFormat="1" ht="25.5" hidden="1" customHeight="1" x14ac:dyDescent="0.2">
      <c r="A208" s="59"/>
      <c r="D208" s="60"/>
      <c r="G208" s="60"/>
      <c r="J208" s="60"/>
      <c r="M208" s="60"/>
      <c r="P208" s="60"/>
      <c r="S208" s="60"/>
      <c r="V208" s="60"/>
      <c r="Y208" s="60"/>
      <c r="AB208" s="60"/>
      <c r="AE208" s="60"/>
    </row>
    <row r="209" spans="1:33" s="55" customFormat="1" ht="12.75" hidden="1" customHeight="1" x14ac:dyDescent="0.2">
      <c r="A209" s="55" t="s">
        <v>88</v>
      </c>
      <c r="B209" s="55">
        <f>IF(B201=1,B195,0)</f>
        <v>0</v>
      </c>
      <c r="D209" s="60">
        <f t="shared" ref="D209:E213" si="20">IF(D201=1,D195,0)</f>
        <v>26</v>
      </c>
      <c r="E209" s="55">
        <f t="shared" si="20"/>
        <v>0</v>
      </c>
      <c r="G209" s="60">
        <f t="shared" ref="G209:H213" si="21">IF(G201=1,G195,0)</f>
        <v>26</v>
      </c>
      <c r="H209" s="55">
        <f t="shared" si="21"/>
        <v>24</v>
      </c>
      <c r="J209" s="60">
        <f t="shared" ref="J209:K213" si="22">IF(J201=1,J195,0)</f>
        <v>0</v>
      </c>
      <c r="K209" s="55">
        <f t="shared" si="22"/>
        <v>0</v>
      </c>
      <c r="M209" s="60">
        <f t="shared" ref="M209:N213" si="23">IF(M201=1,M195,0)</f>
        <v>0</v>
      </c>
      <c r="N209" s="55">
        <f t="shared" si="23"/>
        <v>0</v>
      </c>
      <c r="P209" s="60">
        <f t="shared" ref="P209:Q213" si="24">IF(P201=1,P195,0)</f>
        <v>0</v>
      </c>
      <c r="Q209" s="55">
        <f t="shared" si="24"/>
        <v>0</v>
      </c>
      <c r="S209" s="60">
        <f t="shared" ref="S209:T213" si="25">IF(S201=1,S195,0)</f>
        <v>0</v>
      </c>
      <c r="T209" s="55">
        <f t="shared" si="25"/>
        <v>0</v>
      </c>
      <c r="V209" s="60">
        <f t="shared" ref="V209:W213" si="26">IF(V201=1,V195,0)</f>
        <v>0</v>
      </c>
      <c r="W209" s="55">
        <f t="shared" si="26"/>
        <v>0</v>
      </c>
      <c r="Y209" s="60">
        <f t="shared" ref="Y209:Z213" si="27">IF(Y201=1,Y195,0)</f>
        <v>0</v>
      </c>
      <c r="Z209" s="55">
        <f t="shared" si="27"/>
        <v>0</v>
      </c>
      <c r="AB209" s="60">
        <f t="shared" ref="AB209:AC213" si="28">IF(AB201=1,AB195,0)</f>
        <v>0</v>
      </c>
      <c r="AC209" s="55">
        <f t="shared" si="28"/>
        <v>0</v>
      </c>
      <c r="AE209" s="60">
        <f>IF(AE201=1,AE195,0)</f>
        <v>0</v>
      </c>
    </row>
    <row r="210" spans="1:33" s="55" customFormat="1" ht="12.75" hidden="1" customHeight="1" x14ac:dyDescent="0.2">
      <c r="A210" s="55" t="s">
        <v>89</v>
      </c>
      <c r="B210" s="55">
        <f>IF(B202=1,B196,0)</f>
        <v>0</v>
      </c>
      <c r="D210" s="60">
        <f t="shared" si="20"/>
        <v>0</v>
      </c>
      <c r="E210" s="55">
        <f t="shared" si="20"/>
        <v>0</v>
      </c>
      <c r="G210" s="60">
        <f t="shared" si="21"/>
        <v>26</v>
      </c>
      <c r="H210" s="55">
        <f t="shared" si="21"/>
        <v>30</v>
      </c>
      <c r="J210" s="60">
        <f t="shared" si="22"/>
        <v>0</v>
      </c>
      <c r="K210" s="55">
        <f t="shared" si="22"/>
        <v>0</v>
      </c>
      <c r="M210" s="60">
        <f t="shared" si="23"/>
        <v>0</v>
      </c>
      <c r="N210" s="55">
        <f t="shared" si="23"/>
        <v>0</v>
      </c>
      <c r="P210" s="60">
        <f t="shared" si="24"/>
        <v>0</v>
      </c>
      <c r="Q210" s="55">
        <f t="shared" si="24"/>
        <v>0</v>
      </c>
      <c r="S210" s="60">
        <f t="shared" si="25"/>
        <v>0</v>
      </c>
      <c r="T210" s="55">
        <f t="shared" si="25"/>
        <v>0</v>
      </c>
      <c r="V210" s="60">
        <f t="shared" si="26"/>
        <v>0</v>
      </c>
      <c r="W210" s="55">
        <f t="shared" si="26"/>
        <v>0</v>
      </c>
      <c r="Y210" s="60">
        <f t="shared" si="27"/>
        <v>0</v>
      </c>
      <c r="Z210" s="55">
        <f t="shared" si="27"/>
        <v>0</v>
      </c>
      <c r="AB210" s="60">
        <f t="shared" si="28"/>
        <v>0</v>
      </c>
      <c r="AC210" s="55">
        <f t="shared" si="28"/>
        <v>0</v>
      </c>
      <c r="AE210" s="60">
        <f>IF(AE202=1,AE196,0)</f>
        <v>0</v>
      </c>
    </row>
    <row r="211" spans="1:33" s="55" customFormat="1" ht="12.75" hidden="1" customHeight="1" x14ac:dyDescent="0.2">
      <c r="A211" s="55" t="s">
        <v>90</v>
      </c>
      <c r="B211" s="55">
        <f>IF(B203=1,B197,0)</f>
        <v>0</v>
      </c>
      <c r="D211" s="60">
        <f t="shared" si="20"/>
        <v>0</v>
      </c>
      <c r="E211" s="55">
        <f t="shared" si="20"/>
        <v>0</v>
      </c>
      <c r="G211" s="60">
        <f t="shared" si="21"/>
        <v>0</v>
      </c>
      <c r="H211" s="55">
        <f t="shared" si="21"/>
        <v>0</v>
      </c>
      <c r="J211" s="60">
        <f t="shared" si="22"/>
        <v>0</v>
      </c>
      <c r="K211" s="55">
        <f t="shared" si="22"/>
        <v>0</v>
      </c>
      <c r="M211" s="60">
        <f t="shared" si="23"/>
        <v>0</v>
      </c>
      <c r="N211" s="55">
        <f t="shared" si="23"/>
        <v>0</v>
      </c>
      <c r="P211" s="60">
        <f t="shared" si="24"/>
        <v>0</v>
      </c>
      <c r="Q211" s="55">
        <f t="shared" si="24"/>
        <v>0</v>
      </c>
      <c r="S211" s="60">
        <f t="shared" si="25"/>
        <v>0</v>
      </c>
      <c r="T211" s="55">
        <f t="shared" si="25"/>
        <v>0</v>
      </c>
      <c r="V211" s="60">
        <f t="shared" si="26"/>
        <v>0</v>
      </c>
      <c r="W211" s="55">
        <f t="shared" si="26"/>
        <v>0</v>
      </c>
      <c r="Y211" s="60">
        <f t="shared" si="27"/>
        <v>0</v>
      </c>
      <c r="Z211" s="55">
        <f t="shared" si="27"/>
        <v>0</v>
      </c>
      <c r="AB211" s="60">
        <f t="shared" si="28"/>
        <v>0</v>
      </c>
      <c r="AC211" s="55">
        <f t="shared" si="28"/>
        <v>0</v>
      </c>
      <c r="AE211" s="60">
        <f>IF(AE203=1,AE197,0)</f>
        <v>0</v>
      </c>
    </row>
    <row r="212" spans="1:33" s="55" customFormat="1" ht="12.75" hidden="1" customHeight="1" x14ac:dyDescent="0.2">
      <c r="A212" s="55" t="s">
        <v>91</v>
      </c>
      <c r="B212" s="55">
        <f>IF(B204=1,B198,0)</f>
        <v>0</v>
      </c>
      <c r="D212" s="60">
        <f t="shared" si="20"/>
        <v>0</v>
      </c>
      <c r="E212" s="55">
        <f t="shared" si="20"/>
        <v>0</v>
      </c>
      <c r="G212" s="60">
        <f t="shared" si="21"/>
        <v>0</v>
      </c>
      <c r="H212" s="55">
        <f t="shared" si="21"/>
        <v>0</v>
      </c>
      <c r="J212" s="60">
        <f t="shared" si="22"/>
        <v>0</v>
      </c>
      <c r="K212" s="55">
        <f t="shared" si="22"/>
        <v>0</v>
      </c>
      <c r="M212" s="60">
        <f t="shared" si="23"/>
        <v>0</v>
      </c>
      <c r="N212" s="55">
        <f t="shared" si="23"/>
        <v>0</v>
      </c>
      <c r="P212" s="60">
        <f t="shared" si="24"/>
        <v>0</v>
      </c>
      <c r="Q212" s="55">
        <f t="shared" si="24"/>
        <v>0</v>
      </c>
      <c r="S212" s="60">
        <f t="shared" si="25"/>
        <v>0</v>
      </c>
      <c r="T212" s="55">
        <f t="shared" si="25"/>
        <v>0</v>
      </c>
      <c r="V212" s="60">
        <f t="shared" si="26"/>
        <v>0</v>
      </c>
      <c r="W212" s="55">
        <f t="shared" si="26"/>
        <v>0</v>
      </c>
      <c r="Y212" s="60">
        <f t="shared" si="27"/>
        <v>0</v>
      </c>
      <c r="Z212" s="55">
        <f t="shared" si="27"/>
        <v>0</v>
      </c>
      <c r="AB212" s="60">
        <f t="shared" si="28"/>
        <v>0</v>
      </c>
      <c r="AC212" s="55">
        <f t="shared" si="28"/>
        <v>0</v>
      </c>
      <c r="AE212" s="60">
        <f>IF(AE204=1,AE198,0)</f>
        <v>0</v>
      </c>
    </row>
    <row r="213" spans="1:33" s="55" customFormat="1" ht="12.75" hidden="1" customHeight="1" x14ac:dyDescent="0.2">
      <c r="A213" s="55" t="s">
        <v>92</v>
      </c>
      <c r="B213" s="55">
        <f>IF(B205=1,B199,0)</f>
        <v>0</v>
      </c>
      <c r="D213" s="60">
        <f t="shared" si="20"/>
        <v>0</v>
      </c>
      <c r="E213" s="55">
        <f t="shared" si="20"/>
        <v>0</v>
      </c>
      <c r="G213" s="60">
        <f t="shared" si="21"/>
        <v>0</v>
      </c>
      <c r="H213" s="55">
        <f t="shared" si="21"/>
        <v>0</v>
      </c>
      <c r="J213" s="60">
        <f t="shared" si="22"/>
        <v>0</v>
      </c>
      <c r="K213" s="55">
        <f t="shared" si="22"/>
        <v>0</v>
      </c>
      <c r="M213" s="60">
        <f t="shared" si="23"/>
        <v>0</v>
      </c>
      <c r="N213" s="55">
        <f t="shared" si="23"/>
        <v>0</v>
      </c>
      <c r="P213" s="60">
        <f t="shared" si="24"/>
        <v>0</v>
      </c>
      <c r="Q213" s="55">
        <f t="shared" si="24"/>
        <v>0</v>
      </c>
      <c r="S213" s="60">
        <f t="shared" si="25"/>
        <v>0</v>
      </c>
      <c r="T213" s="55">
        <f t="shared" si="25"/>
        <v>0</v>
      </c>
      <c r="V213" s="60">
        <f t="shared" si="26"/>
        <v>0</v>
      </c>
      <c r="W213" s="55">
        <f t="shared" si="26"/>
        <v>0</v>
      </c>
      <c r="Y213" s="60">
        <f t="shared" si="27"/>
        <v>0</v>
      </c>
      <c r="Z213" s="55">
        <f t="shared" si="27"/>
        <v>0</v>
      </c>
      <c r="AB213" s="60">
        <f t="shared" si="28"/>
        <v>0</v>
      </c>
      <c r="AC213" s="55">
        <f t="shared" si="28"/>
        <v>0</v>
      </c>
      <c r="AE213" s="60">
        <f>IF(AE205=1,AE199,0)</f>
        <v>0</v>
      </c>
    </row>
    <row r="214" spans="1:33" s="55" customFormat="1" ht="38.25" hidden="1" customHeight="1" x14ac:dyDescent="0.2">
      <c r="A214" s="59" t="s">
        <v>93</v>
      </c>
      <c r="B214" s="55">
        <f>SUM(B209:D213)</f>
        <v>26</v>
      </c>
      <c r="D214" s="60"/>
      <c r="E214" s="55">
        <f>SUM(E209:G213)</f>
        <v>52</v>
      </c>
      <c r="G214" s="60"/>
      <c r="H214" s="55">
        <f>SUM(H209:J213)</f>
        <v>54</v>
      </c>
      <c r="J214" s="60"/>
      <c r="K214" s="55">
        <f>SUM(K209:M213)</f>
        <v>0</v>
      </c>
      <c r="M214" s="60"/>
      <c r="N214" s="55">
        <f>SUM(N209:P213)</f>
        <v>0</v>
      </c>
      <c r="P214" s="60"/>
      <c r="Q214" s="55">
        <f>SUM(Q209:S213)</f>
        <v>0</v>
      </c>
      <c r="S214" s="60"/>
      <c r="T214" s="55">
        <f>SUM(T209:V213)</f>
        <v>0</v>
      </c>
      <c r="V214" s="60"/>
      <c r="W214" s="55">
        <f>SUM(W209:Y213)</f>
        <v>0</v>
      </c>
      <c r="Y214" s="60"/>
      <c r="Z214" s="55">
        <f>SUM(Z209:AB213)</f>
        <v>0</v>
      </c>
      <c r="AB214" s="60"/>
      <c r="AC214" s="55">
        <f>SUM(AC209:AE213)</f>
        <v>0</v>
      </c>
      <c r="AE214" s="60"/>
    </row>
    <row r="215" spans="1:33" s="55" customFormat="1" ht="38.25" hidden="1" customHeight="1" x14ac:dyDescent="0.2">
      <c r="A215" s="55" t="s">
        <v>94</v>
      </c>
      <c r="D215" s="60"/>
      <c r="G215" s="60"/>
      <c r="J215" s="60"/>
      <c r="M215" s="60"/>
      <c r="P215" s="60"/>
      <c r="S215" s="60"/>
      <c r="V215" s="60"/>
      <c r="Y215" s="60"/>
      <c r="AB215" s="60"/>
      <c r="AE215" s="60"/>
      <c r="AF215" s="59" t="s">
        <v>95</v>
      </c>
      <c r="AG215" s="55" t="s">
        <v>96</v>
      </c>
    </row>
    <row r="216" spans="1:33" s="55" customFormat="1" ht="12.75" hidden="1" customHeight="1" x14ac:dyDescent="0.2">
      <c r="A216" s="55" t="s">
        <v>97</v>
      </c>
      <c r="B216" s="55">
        <f>IF(B194=1,IF(B207=1,1,0),0)</f>
        <v>0</v>
      </c>
      <c r="D216" s="60">
        <f>IF(D194=1,IF(D207=1,1,0),0)</f>
        <v>0</v>
      </c>
      <c r="E216" s="55">
        <f>IF(E194=1,IF(E207=1,1,0),0)</f>
        <v>0</v>
      </c>
      <c r="G216" s="60">
        <f>IF(G194=1,IF(G207=1,1,0),0)</f>
        <v>0</v>
      </c>
      <c r="H216" s="55">
        <f>IF(H194=1,IF(H207=1,1,0),0)</f>
        <v>1</v>
      </c>
      <c r="J216" s="60">
        <f>IF(J194=1,IF(J207=1,1,0),0)</f>
        <v>0</v>
      </c>
      <c r="K216" s="55">
        <f>IF(K194=1,IF(K207=1,1,0),0)</f>
        <v>0</v>
      </c>
      <c r="M216" s="60">
        <f>IF(M194=1,IF(M207=1,1,0),0)</f>
        <v>0</v>
      </c>
      <c r="N216" s="55">
        <f>IF(N194=1,IF(N207=1,1,0),0)</f>
        <v>0</v>
      </c>
      <c r="P216" s="60">
        <f>IF(P194=1,IF(P207=1,1,0),0)</f>
        <v>0</v>
      </c>
      <c r="Q216" s="55">
        <f>IF(Q194=1,IF(Q207=1,1,0),0)</f>
        <v>0</v>
      </c>
      <c r="S216" s="60">
        <f>IF(S194=1,IF(S207=1,1,0),0)</f>
        <v>0</v>
      </c>
      <c r="T216" s="55">
        <f>IF(T194=1,IF(T207=1,1,0),0)</f>
        <v>0</v>
      </c>
      <c r="V216" s="60">
        <f>IF(V194=1,IF(V207=1,1,0),0)</f>
        <v>0</v>
      </c>
      <c r="W216" s="55">
        <f>IF(W194=1,IF(W207=1,1,0),0)</f>
        <v>0</v>
      </c>
      <c r="Y216" s="60">
        <f>IF(Y194=1,IF(Y207=1,1,0),0)</f>
        <v>0</v>
      </c>
      <c r="Z216" s="55">
        <f>IF(Z194=1,IF(Z207=1,1,0),0)</f>
        <v>0</v>
      </c>
      <c r="AB216" s="60">
        <f>IF(AB194=1,IF(AB207=1,1,0),0)</f>
        <v>0</v>
      </c>
      <c r="AC216" s="55">
        <f>IF(AC194=1,IF(AC207=1,1,0),0)</f>
        <v>0</v>
      </c>
      <c r="AE216" s="60">
        <f>IF(AE194=1,IF(AE207=1,1,0),0)</f>
        <v>0</v>
      </c>
      <c r="AF216" s="55">
        <f>SUM(B216:AE216)</f>
        <v>1</v>
      </c>
      <c r="AG216" s="55">
        <f>AF222-AF216</f>
        <v>1</v>
      </c>
    </row>
    <row r="217" spans="1:33" s="55" customFormat="1" ht="12.75" hidden="1" customHeight="1" x14ac:dyDescent="0.2">
      <c r="A217" s="55" t="s">
        <v>98</v>
      </c>
      <c r="B217" s="55">
        <f>IF(B194=2,IF(B207=1,1,0),0)</f>
        <v>0</v>
      </c>
      <c r="D217" s="60">
        <f>IF(D194=2,IF(D207=1,1,0),0)</f>
        <v>0</v>
      </c>
      <c r="E217" s="55">
        <f>IF(E194=2,IF(E207=1,1,0),0)</f>
        <v>0</v>
      </c>
      <c r="G217" s="60">
        <f>IF(G194=2,IF(G207=1,1,0),0)</f>
        <v>0</v>
      </c>
      <c r="H217" s="55">
        <f>IF(H194=2,IF(H207=1,1,0),0)</f>
        <v>0</v>
      </c>
      <c r="J217" s="60">
        <f>IF(J194=2,IF(J207=1,1,0),0)</f>
        <v>0</v>
      </c>
      <c r="K217" s="55">
        <f>IF(K194=2,IF(K207=1,1,0),0)</f>
        <v>0</v>
      </c>
      <c r="M217" s="60">
        <f>IF(M194=2,IF(M207=1,1,0),0)</f>
        <v>0</v>
      </c>
      <c r="N217" s="55">
        <f>IF(N194=2,IF(N207=1,1,0),0)</f>
        <v>0</v>
      </c>
      <c r="P217" s="60">
        <f>IF(P194=2,IF(P207=1,1,0),0)</f>
        <v>0</v>
      </c>
      <c r="Q217" s="55">
        <f>IF(Q194=2,IF(Q207=1,1,0),0)</f>
        <v>0</v>
      </c>
      <c r="S217" s="60">
        <f>IF(S194=2,IF(S207=1,1,0),0)</f>
        <v>0</v>
      </c>
      <c r="T217" s="55">
        <f>IF(T194=2,IF(T207=1,1,0),0)</f>
        <v>0</v>
      </c>
      <c r="V217" s="60">
        <f>IF(V194=2,IF(V207=1,1,0),0)</f>
        <v>0</v>
      </c>
      <c r="W217" s="55">
        <f>IF(W194=2,IF(W207=1,1,0),0)</f>
        <v>0</v>
      </c>
      <c r="Y217" s="60">
        <f>IF(Y194=2,IF(Y207=1,1,0),0)</f>
        <v>0</v>
      </c>
      <c r="Z217" s="55">
        <f>IF(Z194=2,IF(Z207=1,1,0),0)</f>
        <v>0</v>
      </c>
      <c r="AB217" s="60">
        <f>IF(AB194=2,IF(AB207=1,1,0),0)</f>
        <v>0</v>
      </c>
      <c r="AC217" s="55">
        <f>IF(AC194=2,IF(AC207=1,1,0),0)</f>
        <v>0</v>
      </c>
      <c r="AE217" s="60">
        <f>IF(AE194=2,IF(AE207=1,1,0),0)</f>
        <v>0</v>
      </c>
      <c r="AF217" s="55">
        <f>SUM(B217:AE217)</f>
        <v>0</v>
      </c>
      <c r="AG217" s="55">
        <f>AF223-AF217</f>
        <v>2</v>
      </c>
    </row>
    <row r="218" spans="1:33" s="55" customFormat="1" ht="12.75" hidden="1" customHeight="1" x14ac:dyDescent="0.2">
      <c r="A218" s="55" t="s">
        <v>99</v>
      </c>
      <c r="B218" s="55">
        <f>IF(B194=3,IF(B207=1,1,0),0)</f>
        <v>0</v>
      </c>
      <c r="D218" s="60">
        <f>IF(D194=3,IF(D207=1,1,0),0)</f>
        <v>1</v>
      </c>
      <c r="E218" s="55">
        <f>IF(E194=3,IF(E207=1,1,0),0)</f>
        <v>0</v>
      </c>
      <c r="G218" s="60">
        <f>IF(G194=3,IF(G207=1,1,0),0)</f>
        <v>1</v>
      </c>
      <c r="H218" s="55">
        <f>IF(H194=3,IF(H207=1,1,0),0)</f>
        <v>0</v>
      </c>
      <c r="J218" s="60">
        <f>IF(J194=3,IF(J207=1,1,0),0)</f>
        <v>0</v>
      </c>
      <c r="K218" s="55">
        <f>IF(K194=3,IF(K207=1,1,0),0)</f>
        <v>0</v>
      </c>
      <c r="M218" s="60">
        <f>IF(M194=3,IF(M207=1,1,0),0)</f>
        <v>0</v>
      </c>
      <c r="N218" s="55">
        <f>IF(N194=3,IF(N207=1,1,0),0)</f>
        <v>0</v>
      </c>
      <c r="P218" s="60">
        <f>IF(P194=3,IF(P207=1,1,0),0)</f>
        <v>0</v>
      </c>
      <c r="Q218" s="55">
        <f>IF(Q194=3,IF(Q207=1,1,0),0)</f>
        <v>0</v>
      </c>
      <c r="S218" s="60">
        <f>IF(S194=3,IF(S207=1,1,0),0)</f>
        <v>0</v>
      </c>
      <c r="T218" s="55">
        <f>IF(T194=3,IF(T207=1,1,0),0)</f>
        <v>0</v>
      </c>
      <c r="V218" s="60">
        <f>IF(V194=3,IF(V207=1,1,0),0)</f>
        <v>0</v>
      </c>
      <c r="W218" s="55">
        <f>IF(W194=3,IF(W207=1,1,0),0)</f>
        <v>0</v>
      </c>
      <c r="Y218" s="60">
        <f>IF(Y194=3,IF(Y207=1,1,0),0)</f>
        <v>0</v>
      </c>
      <c r="Z218" s="55">
        <f>IF(Z194=3,IF(Z207=1,1,0),0)</f>
        <v>0</v>
      </c>
      <c r="AB218" s="60">
        <f>IF(AB194=3,IF(AB207=1,1,0),0)</f>
        <v>0</v>
      </c>
      <c r="AC218" s="55">
        <f>IF(AC194=3,IF(AC207=1,1,0),0)</f>
        <v>0</v>
      </c>
      <c r="AE218" s="60">
        <f>IF(AE194=3,IF(AE207=1,1,0),0)</f>
        <v>0</v>
      </c>
      <c r="AF218" s="55">
        <f>SUM(B218:AE218)</f>
        <v>2</v>
      </c>
      <c r="AG218" s="55">
        <f>AF224-AF218</f>
        <v>0</v>
      </c>
    </row>
    <row r="219" spans="1:33" s="55" customFormat="1" ht="12.75" hidden="1" customHeight="1" x14ac:dyDescent="0.2">
      <c r="A219" s="55" t="s">
        <v>100</v>
      </c>
      <c r="B219" s="55">
        <f>IF(B194=4,IF(B207=1,1,0),0)</f>
        <v>0</v>
      </c>
      <c r="D219" s="60">
        <f>IF(D194=4,IF(D207=1,1,0),0)</f>
        <v>0</v>
      </c>
      <c r="E219" s="55">
        <f>IF(E194=4,IF(E207=1,1,0),0)</f>
        <v>0</v>
      </c>
      <c r="G219" s="60">
        <f>IF(G194=4,IF(G207=1,1,0),0)</f>
        <v>0</v>
      </c>
      <c r="H219" s="55">
        <f>IF(H194=4,IF(H207=1,1,0),0)</f>
        <v>0</v>
      </c>
      <c r="J219" s="60">
        <f>IF(J194=4,IF(J207=1,1,0),0)</f>
        <v>0</v>
      </c>
      <c r="K219" s="55">
        <f>IF(K194=4,IF(K207=1,1,0),0)</f>
        <v>0</v>
      </c>
      <c r="M219" s="60">
        <f>IF(M194=4,IF(M207=1,1,0),0)</f>
        <v>0</v>
      </c>
      <c r="N219" s="55">
        <f>IF(N194=4,IF(N207=1,1,0),0)</f>
        <v>0</v>
      </c>
      <c r="P219" s="60">
        <f>IF(P194=4,IF(P207=1,1,0),0)</f>
        <v>0</v>
      </c>
      <c r="Q219" s="55">
        <f>IF(Q194=4,IF(Q207=1,1,0),0)</f>
        <v>0</v>
      </c>
      <c r="S219" s="60">
        <f>IF(S194=4,IF(S207=1,1,0),0)</f>
        <v>0</v>
      </c>
      <c r="T219" s="55">
        <f>IF(T194=4,IF(T207=1,1,0),0)</f>
        <v>0</v>
      </c>
      <c r="V219" s="60">
        <f>IF(V194=4,IF(V207=1,1,0),0)</f>
        <v>0</v>
      </c>
      <c r="W219" s="55">
        <f>IF(W194=4,IF(W207=1,1,0),0)</f>
        <v>0</v>
      </c>
      <c r="Y219" s="60">
        <f>IF(Y194=4,IF(Y207=1,1,0),0)</f>
        <v>0</v>
      </c>
      <c r="Z219" s="55">
        <f>IF(Z194=4,IF(Z207=1,1,0),0)</f>
        <v>0</v>
      </c>
      <c r="AB219" s="60">
        <f>IF(AB194=4,IF(AB207=1,1,0),0)</f>
        <v>0</v>
      </c>
      <c r="AC219" s="55">
        <f>IF(AC194=4,IF(AC207=1,1,0),0)</f>
        <v>0</v>
      </c>
      <c r="AE219" s="60">
        <f>IF(AE194=4,IF(AE207=1,1,0),0)</f>
        <v>0</v>
      </c>
      <c r="AF219" s="55">
        <f>SUM(B219:AE219)</f>
        <v>0</v>
      </c>
      <c r="AG219" s="55">
        <f>AF225-AF219</f>
        <v>0</v>
      </c>
    </row>
    <row r="220" spans="1:33" s="55" customFormat="1" ht="12.75" hidden="1" customHeight="1" x14ac:dyDescent="0.2">
      <c r="A220" s="55" t="s">
        <v>101</v>
      </c>
      <c r="B220" s="55">
        <f>IF(B194=5,IF(B207=1,1,0),0)</f>
        <v>0</v>
      </c>
      <c r="D220" s="60">
        <f>IF(D194=5,IF(D207=1,1,0),0)</f>
        <v>0</v>
      </c>
      <c r="E220" s="55">
        <f>IF(E194=5,IF(E207=1,1,0),0)</f>
        <v>0</v>
      </c>
      <c r="G220" s="60">
        <f>IF(G194=5,IF(G207=1,1,0),0)</f>
        <v>0</v>
      </c>
      <c r="H220" s="55">
        <f>IF(H194=5,IF(H207=1,1,0),0)</f>
        <v>0</v>
      </c>
      <c r="J220" s="60">
        <f>IF(J194=5,IF(J207=1,1,0),0)</f>
        <v>0</v>
      </c>
      <c r="K220" s="55">
        <f>IF(K194=5,IF(K207=1,1,0),0)</f>
        <v>0</v>
      </c>
      <c r="M220" s="60">
        <f>IF(M194=5,IF(M207=1,1,0),0)</f>
        <v>0</v>
      </c>
      <c r="N220" s="55">
        <f>IF(N194=5,IF(N207=1,1,0),0)</f>
        <v>0</v>
      </c>
      <c r="P220" s="60">
        <f>IF(P194=5,IF(P207=1,1,0),0)</f>
        <v>0</v>
      </c>
      <c r="Q220" s="55">
        <f>IF(Q194=5,IF(Q207=1,1,0),0)</f>
        <v>0</v>
      </c>
      <c r="S220" s="60">
        <f>IF(S194=5,IF(S207=1,1,0),0)</f>
        <v>0</v>
      </c>
      <c r="T220" s="55">
        <f>IF(T194=5,IF(T207=1,1,0),0)</f>
        <v>0</v>
      </c>
      <c r="V220" s="60">
        <f>IF(V194=5,IF(V207=1,1,0),0)</f>
        <v>0</v>
      </c>
      <c r="W220" s="55">
        <f>IF(W194=5,IF(W207=1,1,0),0)</f>
        <v>0</v>
      </c>
      <c r="Y220" s="60">
        <f>IF(Y194=5,IF(Y207=1,1,0),0)</f>
        <v>0</v>
      </c>
      <c r="Z220" s="55">
        <f>IF(Z194=5,IF(Z207=1,1,0),0)</f>
        <v>0</v>
      </c>
      <c r="AB220" s="60">
        <f>IF(AB194=5,IF(AB207=1,1,0),0)</f>
        <v>0</v>
      </c>
      <c r="AC220" s="55">
        <f>IF(AC194=5,IF(AC207=1,1,0),0)</f>
        <v>0</v>
      </c>
      <c r="AE220" s="60">
        <f>IF(AE194=5,IF(AE207=1,1,0),0)</f>
        <v>0</v>
      </c>
      <c r="AF220" s="55">
        <f>SUM(B220:AE220)</f>
        <v>0</v>
      </c>
      <c r="AG220" s="55">
        <f>AF226-AF220</f>
        <v>0</v>
      </c>
    </row>
    <row r="221" spans="1:33" s="55" customFormat="1" ht="38.25" hidden="1" customHeight="1" x14ac:dyDescent="0.2">
      <c r="A221" s="59"/>
      <c r="D221" s="60"/>
      <c r="G221" s="60"/>
      <c r="J221" s="60"/>
      <c r="M221" s="60"/>
      <c r="P221" s="60"/>
      <c r="S221" s="60"/>
      <c r="V221" s="60"/>
      <c r="Y221" s="60"/>
      <c r="AB221" s="60"/>
      <c r="AE221" s="60"/>
      <c r="AF221" s="59" t="s">
        <v>102</v>
      </c>
    </row>
    <row r="222" spans="1:33" s="55" customFormat="1" ht="12.75" hidden="1" customHeight="1" x14ac:dyDescent="0.2">
      <c r="A222" s="55" t="s">
        <v>103</v>
      </c>
      <c r="B222" s="55">
        <f>IF(B194=1,IF(C207=1,1,0),0)</f>
        <v>1</v>
      </c>
      <c r="D222" s="60">
        <f>IF(D194=1,IF(C207=1,1,0),0)</f>
        <v>0</v>
      </c>
      <c r="E222" s="55">
        <f>IF(E194=1,IF(F207=1,1,0),0)</f>
        <v>0</v>
      </c>
      <c r="G222" s="60">
        <f>IF(G194=1,IF(F207=1,1,0),0)</f>
        <v>0</v>
      </c>
      <c r="H222" s="55">
        <f>IF(H194=1,IF(I207=1,1,0),0)</f>
        <v>1</v>
      </c>
      <c r="J222" s="60">
        <f>IF(J194=1,IF(I207=1,1,0),0)</f>
        <v>0</v>
      </c>
      <c r="K222" s="55">
        <f>IF(K194=1,IF(L207=1,1,0),0)</f>
        <v>0</v>
      </c>
      <c r="M222" s="60">
        <f>IF(M194=1,IF(L207=1,1,0),0)</f>
        <v>0</v>
      </c>
      <c r="N222" s="55">
        <f>IF(N194=1,IF(O207=1,1,0),0)</f>
        <v>0</v>
      </c>
      <c r="P222" s="60">
        <f>IF(P194=1,IF(O207=1,1,0),0)</f>
        <v>0</v>
      </c>
      <c r="Q222" s="55">
        <f>IF(Q194=1,IF(R207=1,1,0),0)</f>
        <v>0</v>
      </c>
      <c r="S222" s="60">
        <f>IF(S194=1,IF(R207=1,1,0),0)</f>
        <v>0</v>
      </c>
      <c r="T222" s="55">
        <f>IF(T194=1,IF(U207=1,1,0),0)</f>
        <v>0</v>
      </c>
      <c r="V222" s="60">
        <f>IF(V194=1,IF(U207=1,1,0),0)</f>
        <v>0</v>
      </c>
      <c r="W222" s="55">
        <f>IF(W194=1,IF(X207=1,1,0),0)</f>
        <v>0</v>
      </c>
      <c r="Y222" s="60">
        <f>IF(Y194=1,IF(X207=1,1,0),0)</f>
        <v>0</v>
      </c>
      <c r="Z222" s="55">
        <f>IF(Z194=1,IF(AA207=1,1,0),0)</f>
        <v>0</v>
      </c>
      <c r="AB222" s="60">
        <f>IF(AB194=1,IF(AA207=1,1,0),0)</f>
        <v>0</v>
      </c>
      <c r="AC222" s="55">
        <f>IF(AC194=1,IF(AD207=1,1,0),0)</f>
        <v>0</v>
      </c>
      <c r="AE222" s="60">
        <f>IF(AE194=1,IF(AD207=1,1,0),0)</f>
        <v>0</v>
      </c>
      <c r="AF222" s="55">
        <f>SUM(B222:AE222)</f>
        <v>2</v>
      </c>
    </row>
    <row r="223" spans="1:33" s="55" customFormat="1" ht="12.75" hidden="1" customHeight="1" x14ac:dyDescent="0.2">
      <c r="A223" s="55" t="s">
        <v>104</v>
      </c>
      <c r="B223" s="55">
        <f>IF(B194=2,IF(C207=1,1,0),0)</f>
        <v>0</v>
      </c>
      <c r="D223" s="60">
        <f>IF(D194=2,IF(C207=1,1,0),0)</f>
        <v>0</v>
      </c>
      <c r="E223" s="55">
        <f>IF(E194=2,IF(F207=1,1,0),0)</f>
        <v>1</v>
      </c>
      <c r="G223" s="60">
        <f>IF(G194=2,IF(F207=1,1,0),0)</f>
        <v>0</v>
      </c>
      <c r="H223" s="55">
        <f>IF(H194=2,IF(I207=1,1,0),0)</f>
        <v>0</v>
      </c>
      <c r="J223" s="60">
        <f>IF(J194=2,IF(I207=1,1,0),0)</f>
        <v>1</v>
      </c>
      <c r="K223" s="55">
        <f>IF(K194=2,IF(L207=1,1,0),0)</f>
        <v>0</v>
      </c>
      <c r="M223" s="60">
        <f>IF(M194=2,IF(L207=1,1,0),0)</f>
        <v>0</v>
      </c>
      <c r="N223" s="55">
        <f>IF(N194=2,IF(O207=1,1,0),0)</f>
        <v>0</v>
      </c>
      <c r="P223" s="60">
        <f>IF(P194=2,IF(O207=1,1,0),0)</f>
        <v>0</v>
      </c>
      <c r="Q223" s="55">
        <f>IF(Q194=2,IF(R207=1,1,0),0)</f>
        <v>0</v>
      </c>
      <c r="S223" s="60">
        <f>IF(S194=2,IF(R207=1,1,0),0)</f>
        <v>0</v>
      </c>
      <c r="T223" s="55">
        <f>IF(T194=2,IF(U207=1,1,0),0)</f>
        <v>0</v>
      </c>
      <c r="V223" s="60">
        <f>IF(V194=2,IF(U207=1,1,0),0)</f>
        <v>0</v>
      </c>
      <c r="W223" s="55">
        <f>IF(W194=2,IF(X207=1,1,0),0)</f>
        <v>0</v>
      </c>
      <c r="Y223" s="60">
        <f>IF(Y194=2,IF(X207=1,1,0),0)</f>
        <v>0</v>
      </c>
      <c r="Z223" s="55">
        <f>IF(Z194=2,IF(AA207=1,1,0),0)</f>
        <v>0</v>
      </c>
      <c r="AB223" s="60">
        <f>IF(AB194=2,IF(AA207=1,1,0),0)</f>
        <v>0</v>
      </c>
      <c r="AC223" s="55">
        <f>IF(AC194=2,IF(AD207=1,1,0),0)</f>
        <v>0</v>
      </c>
      <c r="AE223" s="60">
        <f>IF(AE194=2,IF(AD207=1,1,0),0)</f>
        <v>0</v>
      </c>
      <c r="AF223" s="55">
        <f>SUM(B223:AE223)</f>
        <v>2</v>
      </c>
    </row>
    <row r="224" spans="1:33" s="55" customFormat="1" ht="12.75" hidden="1" customHeight="1" x14ac:dyDescent="0.2">
      <c r="A224" s="55" t="s">
        <v>105</v>
      </c>
      <c r="B224" s="55">
        <f>IF(B194=3,IF(C207=1,1,0),0)</f>
        <v>0</v>
      </c>
      <c r="D224" s="60">
        <f>IF(D194=3,IF(C207=1,1,0),0)</f>
        <v>1</v>
      </c>
      <c r="E224" s="55">
        <f>IF(E194=3,IF(F207=1,1,0),0)</f>
        <v>0</v>
      </c>
      <c r="G224" s="60">
        <f>IF(G194=3,IF(F207=1,1,0),0)</f>
        <v>1</v>
      </c>
      <c r="H224" s="55">
        <f>IF(H194=3,IF(I207=1,1,0),0)</f>
        <v>0</v>
      </c>
      <c r="J224" s="60">
        <f>IF(J194=3,IF(I207=1,1,0),0)</f>
        <v>0</v>
      </c>
      <c r="K224" s="55">
        <f>IF(K194=3,IF(L207=1,1,0),0)</f>
        <v>0</v>
      </c>
      <c r="M224" s="60">
        <f>IF(M194=3,IF(L207=1,1,0),0)</f>
        <v>0</v>
      </c>
      <c r="N224" s="55">
        <f>IF(N194=3,IF(O207=1,1,0),0)</f>
        <v>0</v>
      </c>
      <c r="P224" s="60">
        <f>IF(P194=3,IF(O207=1,1,0),0)</f>
        <v>0</v>
      </c>
      <c r="Q224" s="55">
        <f>IF(Q194=3,IF(R207=1,1,0),0)</f>
        <v>0</v>
      </c>
      <c r="S224" s="60">
        <f>IF(S194=3,IF(R207=1,1,0),0)</f>
        <v>0</v>
      </c>
      <c r="T224" s="55">
        <f>IF(T194=3,IF(U207=1,1,0),0)</f>
        <v>0</v>
      </c>
      <c r="V224" s="60">
        <f>IF(V194=3,IF(U207=1,1,0),0)</f>
        <v>0</v>
      </c>
      <c r="W224" s="55">
        <f>IF(W194=3,IF(X207=1,1,0),0)</f>
        <v>0</v>
      </c>
      <c r="Y224" s="60">
        <f>IF(Y194=3,IF(X207=1,1,0),0)</f>
        <v>0</v>
      </c>
      <c r="Z224" s="55">
        <f>IF(Z194=3,IF(AA207=1,1,0),0)</f>
        <v>0</v>
      </c>
      <c r="AB224" s="60">
        <f>IF(AB194=3,IF(AA207=1,1,0),0)</f>
        <v>0</v>
      </c>
      <c r="AC224" s="55">
        <f>IF(AC194=3,IF(AD207=1,1,0),0)</f>
        <v>0</v>
      </c>
      <c r="AE224" s="60">
        <f>IF(AE194=3,IF(AD207=1,1,0),0)</f>
        <v>0</v>
      </c>
      <c r="AF224" s="55">
        <f>SUM(B224:AE224)</f>
        <v>2</v>
      </c>
    </row>
    <row r="225" spans="1:37" s="55" customFormat="1" ht="12.75" hidden="1" customHeight="1" x14ac:dyDescent="0.2">
      <c r="A225" s="55" t="s">
        <v>106</v>
      </c>
      <c r="B225" s="55">
        <f>IF(B194=4,IF(C207=1,1,0),0)</f>
        <v>0</v>
      </c>
      <c r="D225" s="60">
        <f>IF(D194=4,IF(C207=1,1,0),0)</f>
        <v>0</v>
      </c>
      <c r="E225" s="55">
        <f>IF(E194=4,IF(F207=1,1,0),0)</f>
        <v>0</v>
      </c>
      <c r="G225" s="60">
        <f>IF(G194=4,IF(F207=1,1,0),0)</f>
        <v>0</v>
      </c>
      <c r="H225" s="55">
        <f>IF(H194=4,IF(I207=1,1,0),0)</f>
        <v>0</v>
      </c>
      <c r="J225" s="60">
        <f>IF(J194=4,IF(I207=1,1,0),0)</f>
        <v>0</v>
      </c>
      <c r="K225" s="55">
        <f>IF(K194=4,IF(L207=1,1,0),0)</f>
        <v>0</v>
      </c>
      <c r="M225" s="60">
        <f>IF(M194=4,IF(L207=1,1,0),0)</f>
        <v>0</v>
      </c>
      <c r="N225" s="55">
        <f>IF(N194=4,IF(O207=1,1,0),0)</f>
        <v>0</v>
      </c>
      <c r="P225" s="60">
        <f>IF(P194=4,IF(O207=1,1,0),0)</f>
        <v>0</v>
      </c>
      <c r="Q225" s="55">
        <f>IF(Q194=4,IF(R207=1,1,0),0)</f>
        <v>0</v>
      </c>
      <c r="S225" s="60">
        <f>IF(S194=4,IF(R207=1,1,0),0)</f>
        <v>0</v>
      </c>
      <c r="T225" s="55">
        <f>IF(T194=4,IF(U207=1,1,0),0)</f>
        <v>0</v>
      </c>
      <c r="V225" s="60">
        <f>IF(V194=4,IF(U207=1,1,0),0)</f>
        <v>0</v>
      </c>
      <c r="W225" s="55">
        <f>IF(W194=4,IF(X207=1,1,0),0)</f>
        <v>0</v>
      </c>
      <c r="Y225" s="60">
        <f>IF(Y194=4,IF(X207=1,1,0),0)</f>
        <v>0</v>
      </c>
      <c r="Z225" s="55">
        <f>IF(Z194=4,IF(AA207=1,1,0),0)</f>
        <v>0</v>
      </c>
      <c r="AB225" s="60">
        <f>IF(AB194=4,IF(AA207=1,1,0),0)</f>
        <v>0</v>
      </c>
      <c r="AC225" s="55">
        <f>IF(AC194=4,IF(AD207=1,1,0),0)</f>
        <v>0</v>
      </c>
      <c r="AE225" s="60">
        <f>IF(AE194=4,IF(AD207=1,1,0),0)</f>
        <v>0</v>
      </c>
      <c r="AF225" s="55">
        <f>SUM(B225:AE225)</f>
        <v>0</v>
      </c>
    </row>
    <row r="226" spans="1:37" s="55" customFormat="1" ht="12.75" hidden="1" customHeight="1" x14ac:dyDescent="0.2">
      <c r="A226" s="55" t="s">
        <v>107</v>
      </c>
      <c r="B226" s="55">
        <f>IF(B194=5,IF(C207=1,1,0),0)</f>
        <v>0</v>
      </c>
      <c r="D226" s="60">
        <f>IF(D194=5,IF(C207=1,1,0),0)</f>
        <v>0</v>
      </c>
      <c r="E226" s="55">
        <f>IF(E194=5,IF(F207=1,1,0),0)</f>
        <v>0</v>
      </c>
      <c r="G226" s="60">
        <f>IF(G194=5,IF(F207=1,1,0),0)</f>
        <v>0</v>
      </c>
      <c r="H226" s="55">
        <f>IF(H194=5,IF(I207=1,1,0),0)</f>
        <v>0</v>
      </c>
      <c r="J226" s="60">
        <f>IF(J194=5,IF(I207=1,1,0),0)</f>
        <v>0</v>
      </c>
      <c r="K226" s="55">
        <f>IF(K194=5,IF(L207=1,1,0),0)</f>
        <v>0</v>
      </c>
      <c r="M226" s="60">
        <f>IF(M194=5,IF(L207=1,1,0),0)</f>
        <v>0</v>
      </c>
      <c r="N226" s="55">
        <f>IF(N194=5,IF(O207=1,1,0),0)</f>
        <v>0</v>
      </c>
      <c r="P226" s="60">
        <f>IF(P194=5,IF(O207=1,1,0),0)</f>
        <v>0</v>
      </c>
      <c r="Q226" s="55">
        <f>IF(Q194=5,IF(R207=1,1,0),0)</f>
        <v>0</v>
      </c>
      <c r="S226" s="60">
        <f>IF(S194=5,IF(R207=1,1,0),0)</f>
        <v>0</v>
      </c>
      <c r="T226" s="55">
        <f>IF(T194=5,IF(U207=1,1,0),0)</f>
        <v>0</v>
      </c>
      <c r="V226" s="60">
        <f>IF(V194=5,IF(U207=1,1,0),0)</f>
        <v>0</v>
      </c>
      <c r="W226" s="55">
        <f>IF(W194=5,IF(X207=1,1,0),0)</f>
        <v>0</v>
      </c>
      <c r="Y226" s="60">
        <f>IF(Y194=5,IF(X207=1,1,0),0)</f>
        <v>0</v>
      </c>
      <c r="Z226" s="55">
        <f>IF(Z194=5,IF(AA207=1,1,0),0)</f>
        <v>0</v>
      </c>
      <c r="AB226" s="60">
        <f>IF(AB194=5,IF(AA207=1,1,0),0)</f>
        <v>0</v>
      </c>
      <c r="AC226" s="55">
        <f>IF(AC194=5,IF(AD207=1,1,0),0)</f>
        <v>0</v>
      </c>
      <c r="AE226" s="60">
        <f>IF(AE194=5,IF(AD207=1,1,0),0)</f>
        <v>0</v>
      </c>
      <c r="AF226" s="55">
        <f>SUM(B226:AE226)</f>
        <v>0</v>
      </c>
    </row>
    <row r="227" spans="1:37" s="55" customFormat="1" ht="38.25" hidden="1" customHeight="1" x14ac:dyDescent="0.2">
      <c r="A227" s="59"/>
      <c r="D227" s="60"/>
      <c r="G227" s="60"/>
      <c r="J227" s="60"/>
      <c r="M227" s="60"/>
      <c r="P227" s="60"/>
      <c r="S227" s="60"/>
      <c r="V227" s="60"/>
      <c r="Y227" s="60"/>
      <c r="AB227" s="60"/>
      <c r="AE227" s="60"/>
      <c r="AF227" s="59" t="s">
        <v>108</v>
      </c>
      <c r="AG227" s="328"/>
      <c r="AH227" s="328"/>
      <c r="AI227" s="328"/>
      <c r="AJ227" s="328"/>
      <c r="AK227" s="328"/>
    </row>
    <row r="228" spans="1:37" s="55" customFormat="1" ht="12.75" hidden="1" customHeight="1" x14ac:dyDescent="0.2">
      <c r="A228" s="55" t="s">
        <v>103</v>
      </c>
      <c r="B228" s="55">
        <f>IF(B194=1,B214,0)</f>
        <v>26</v>
      </c>
      <c r="D228" s="60">
        <f>IF(D194=1,B214,0)</f>
        <v>0</v>
      </c>
      <c r="E228" s="55">
        <f>IF(E194=1,E214,0)</f>
        <v>0</v>
      </c>
      <c r="G228" s="60">
        <f>IF(G194=1,E214,0)</f>
        <v>0</v>
      </c>
      <c r="H228" s="55">
        <f>IF(H194=1,H214,0)</f>
        <v>54</v>
      </c>
      <c r="J228" s="60">
        <f>IF(J194=1,H214,0)</f>
        <v>0</v>
      </c>
      <c r="K228" s="55">
        <f>IF(K194=1,K214,0)</f>
        <v>0</v>
      </c>
      <c r="M228" s="60">
        <f>IF(M194=1,K214,0)</f>
        <v>0</v>
      </c>
      <c r="N228" s="55">
        <f>IF(N194=1,N214,0)</f>
        <v>0</v>
      </c>
      <c r="P228" s="60">
        <f>IF(P194=1,N214,0)</f>
        <v>0</v>
      </c>
      <c r="Q228" s="55">
        <f>IF(Q194=1,Q214,0)</f>
        <v>0</v>
      </c>
      <c r="S228" s="60">
        <f>IF(S194=1,Q214,0)</f>
        <v>0</v>
      </c>
      <c r="T228" s="55">
        <f>IF(T194=1,T214,0)</f>
        <v>0</v>
      </c>
      <c r="V228" s="60">
        <f>IF(V194=1,T214,0)</f>
        <v>0</v>
      </c>
      <c r="W228" s="55">
        <f>IF(W194=1,W214,0)</f>
        <v>0</v>
      </c>
      <c r="Y228" s="60">
        <f>IF(Y194=1,W214,0)</f>
        <v>0</v>
      </c>
      <c r="Z228" s="55">
        <f>IF(Z194=1,Z214,0)</f>
        <v>0</v>
      </c>
      <c r="AB228" s="60">
        <f>IF(AB194=1,Z214,0)</f>
        <v>0</v>
      </c>
      <c r="AC228" s="55">
        <f>IF(AC194=1,AC214,0)</f>
        <v>0</v>
      </c>
      <c r="AE228" s="60">
        <f>IF(AE194=1,AC214,0)</f>
        <v>0</v>
      </c>
      <c r="AF228" s="55">
        <f>SUM(B228:AE228)</f>
        <v>80</v>
      </c>
    </row>
    <row r="229" spans="1:37" s="55" customFormat="1" ht="12.75" hidden="1" customHeight="1" x14ac:dyDescent="0.2">
      <c r="A229" s="55" t="s">
        <v>104</v>
      </c>
      <c r="B229" s="55">
        <f>IF(B194=2,B214,0)</f>
        <v>0</v>
      </c>
      <c r="D229" s="60">
        <f>IF(D194=2,B214,0)</f>
        <v>0</v>
      </c>
      <c r="E229" s="55">
        <f>IF(E194=2,E214,0)</f>
        <v>52</v>
      </c>
      <c r="G229" s="60">
        <f>IF(G194=2,E214,0)</f>
        <v>0</v>
      </c>
      <c r="H229" s="55">
        <f>IF(H194=2,H214,0)</f>
        <v>0</v>
      </c>
      <c r="J229" s="60">
        <f>IF(J194=2,H214,0)</f>
        <v>54</v>
      </c>
      <c r="K229" s="55">
        <f>IF(K194=2,K214,0)</f>
        <v>0</v>
      </c>
      <c r="M229" s="60">
        <f>IF(M194=2,K214,0)</f>
        <v>0</v>
      </c>
      <c r="N229" s="55">
        <f>IF(N194=2,N214,0)</f>
        <v>0</v>
      </c>
      <c r="P229" s="60">
        <f>IF(P194=2,N214,0)</f>
        <v>0</v>
      </c>
      <c r="Q229" s="55">
        <f>IF(Q194=2,Q214,0)</f>
        <v>0</v>
      </c>
      <c r="S229" s="60">
        <f>IF(S194=2,Q214,0)</f>
        <v>0</v>
      </c>
      <c r="T229" s="55">
        <f>IF(T194=2,T214,0)</f>
        <v>0</v>
      </c>
      <c r="V229" s="60">
        <f>IF(V194=2,T214,0)</f>
        <v>0</v>
      </c>
      <c r="W229" s="55">
        <f>IF(W194=2,W214,0)</f>
        <v>0</v>
      </c>
      <c r="Y229" s="60">
        <f>IF(Y194=2,W214,0)</f>
        <v>0</v>
      </c>
      <c r="Z229" s="55">
        <f>IF(Z194=2,Z214,0)</f>
        <v>0</v>
      </c>
      <c r="AB229" s="60">
        <f>IF(AB194=2,Z214,0)</f>
        <v>0</v>
      </c>
      <c r="AC229" s="55">
        <f>IF(AC194=2,AC214,0)</f>
        <v>0</v>
      </c>
      <c r="AE229" s="60">
        <f>IF(AE194=2,AC214,0)</f>
        <v>0</v>
      </c>
      <c r="AF229" s="55">
        <f>SUM(B229:AE229)</f>
        <v>106</v>
      </c>
    </row>
    <row r="230" spans="1:37" s="55" customFormat="1" ht="12.75" hidden="1" customHeight="1" x14ac:dyDescent="0.2">
      <c r="A230" s="55" t="s">
        <v>105</v>
      </c>
      <c r="B230" s="55">
        <f>IF(B194=3,B214,0)</f>
        <v>0</v>
      </c>
      <c r="D230" s="60">
        <f>IF(D194=3,B214,0)</f>
        <v>26</v>
      </c>
      <c r="E230" s="55">
        <f>IF(E194=3,E214,0)</f>
        <v>0</v>
      </c>
      <c r="G230" s="60">
        <f>IF(G194=3,E214,0)</f>
        <v>52</v>
      </c>
      <c r="H230" s="55">
        <f>IF(H194=3,H214,0)</f>
        <v>0</v>
      </c>
      <c r="J230" s="60">
        <f>IF(J194=3,H214,0)</f>
        <v>0</v>
      </c>
      <c r="K230" s="55">
        <f>IF(K194=3,K214,0)</f>
        <v>0</v>
      </c>
      <c r="M230" s="60">
        <f>IF(M194=3,K214,0)</f>
        <v>0</v>
      </c>
      <c r="N230" s="55">
        <f>IF(N194=3,N214,0)</f>
        <v>0</v>
      </c>
      <c r="P230" s="60">
        <f>IF(P194=3,N214,0)</f>
        <v>0</v>
      </c>
      <c r="Q230" s="55">
        <f>IF(Q194=3,Q214,0)</f>
        <v>0</v>
      </c>
      <c r="S230" s="60">
        <f>IF(S194=3,Q214,0)</f>
        <v>0</v>
      </c>
      <c r="T230" s="55">
        <f>IF(T194=3,T214,0)</f>
        <v>0</v>
      </c>
      <c r="V230" s="60">
        <f>IF(V194=3,T214,0)</f>
        <v>0</v>
      </c>
      <c r="W230" s="55">
        <f>IF(W194=3,W214,0)</f>
        <v>0</v>
      </c>
      <c r="Y230" s="60">
        <f>IF(Y194=3,W214,0)</f>
        <v>0</v>
      </c>
      <c r="Z230" s="55">
        <f>IF(Z194=3,Z214,0)</f>
        <v>0</v>
      </c>
      <c r="AB230" s="60">
        <f>IF(AB194=3,Z214,0)</f>
        <v>0</v>
      </c>
      <c r="AC230" s="55">
        <f>IF(AC194=3,AC214,0)</f>
        <v>0</v>
      </c>
      <c r="AE230" s="60">
        <f>IF(AE194=3,AC214,0)</f>
        <v>0</v>
      </c>
      <c r="AF230" s="55">
        <f>SUM(B230:AE230)</f>
        <v>78</v>
      </c>
    </row>
    <row r="231" spans="1:37" s="55" customFormat="1" ht="12.75" hidden="1" customHeight="1" x14ac:dyDescent="0.2">
      <c r="A231" s="55" t="s">
        <v>106</v>
      </c>
      <c r="B231" s="55">
        <f>IF(B194=4,B214,0)</f>
        <v>0</v>
      </c>
      <c r="D231" s="60">
        <f>IF(D194=4,B214,0)</f>
        <v>0</v>
      </c>
      <c r="E231" s="55">
        <f>IF(E194=4,E214,0)</f>
        <v>0</v>
      </c>
      <c r="G231" s="60">
        <f>IF(G194=4,E214,0)</f>
        <v>0</v>
      </c>
      <c r="H231" s="55">
        <f>IF(H194=4,H214,0)</f>
        <v>0</v>
      </c>
      <c r="J231" s="60">
        <f>IF(J194=4,H214,0)</f>
        <v>0</v>
      </c>
      <c r="K231" s="55">
        <f>IF(K194=4,K214,0)</f>
        <v>0</v>
      </c>
      <c r="M231" s="60">
        <f>IF(M194=4,K214,0)</f>
        <v>0</v>
      </c>
      <c r="N231" s="55">
        <f>IF(N194=4,N214,0)</f>
        <v>0</v>
      </c>
      <c r="P231" s="60">
        <f>IF(P194=4,N214,0)</f>
        <v>0</v>
      </c>
      <c r="Q231" s="55">
        <f>IF(Q194=4,Q214,0)</f>
        <v>0</v>
      </c>
      <c r="S231" s="60">
        <f>IF(S194=4,Q214,0)</f>
        <v>0</v>
      </c>
      <c r="T231" s="55">
        <f>IF(T194=4,T214,0)</f>
        <v>0</v>
      </c>
      <c r="V231" s="60">
        <f>IF(V194=4,T214,0)</f>
        <v>0</v>
      </c>
      <c r="W231" s="55">
        <f>IF(W194=4,W214,0)</f>
        <v>0</v>
      </c>
      <c r="Y231" s="60">
        <f>IF(Y194=4,W214,0)</f>
        <v>0</v>
      </c>
      <c r="Z231" s="55">
        <f>IF(Z194=4,Z214,0)</f>
        <v>0</v>
      </c>
      <c r="AB231" s="60">
        <f>IF(AB194=4,Z214,0)</f>
        <v>0</v>
      </c>
      <c r="AC231" s="55">
        <f>IF(AC194=4,AC214,0)</f>
        <v>0</v>
      </c>
      <c r="AE231" s="60">
        <f>IF(AE194=4,AC214,0)</f>
        <v>0</v>
      </c>
      <c r="AF231" s="55">
        <f>SUM(B231:AE231)</f>
        <v>0</v>
      </c>
    </row>
    <row r="232" spans="1:37" s="55" customFormat="1" ht="12.75" hidden="1" customHeight="1" x14ac:dyDescent="0.2">
      <c r="A232" s="55" t="s">
        <v>107</v>
      </c>
      <c r="B232" s="55">
        <f>IF(B194=5,B214,0)</f>
        <v>0</v>
      </c>
      <c r="D232" s="60">
        <f>IF(D194=5,B214,0)</f>
        <v>0</v>
      </c>
      <c r="E232" s="55">
        <f>IF(E194=5,E214,0)</f>
        <v>0</v>
      </c>
      <c r="G232" s="60">
        <f>IF(G194=5,E214,0)</f>
        <v>0</v>
      </c>
      <c r="H232" s="55">
        <f>IF(H194=5,H214,0)</f>
        <v>0</v>
      </c>
      <c r="J232" s="60">
        <f>IF(J194=5,H214,0)</f>
        <v>0</v>
      </c>
      <c r="K232" s="55">
        <f>IF(K194=5,K214,0)</f>
        <v>0</v>
      </c>
      <c r="M232" s="60">
        <f>IF(M194=5,K214,0)</f>
        <v>0</v>
      </c>
      <c r="N232" s="55">
        <f>IF(N194=5,N214,0)</f>
        <v>0</v>
      </c>
      <c r="P232" s="60">
        <f>IF(P194=5,N214,0)</f>
        <v>0</v>
      </c>
      <c r="Q232" s="55">
        <f>IF(Q194=5,Q214,0)</f>
        <v>0</v>
      </c>
      <c r="S232" s="60">
        <f>IF(S194=5,Q214,0)</f>
        <v>0</v>
      </c>
      <c r="T232" s="55">
        <f>IF(T194=5,T214,0)</f>
        <v>0</v>
      </c>
      <c r="V232" s="60">
        <f>IF(V194=5,T214,0)</f>
        <v>0</v>
      </c>
      <c r="W232" s="55">
        <f>IF(W194=5,W214,0)</f>
        <v>0</v>
      </c>
      <c r="Y232" s="60">
        <f>IF(Y194=5,W214,0)</f>
        <v>0</v>
      </c>
      <c r="Z232" s="55">
        <f>IF(Z194=5,Z214,0)</f>
        <v>0</v>
      </c>
      <c r="AB232" s="60">
        <f>IF(AB194=5,Z214,0)</f>
        <v>0</v>
      </c>
      <c r="AC232" s="55">
        <f>IF(AC194=5,AC214,0)</f>
        <v>0</v>
      </c>
      <c r="AE232" s="60">
        <f>IF(AE194=5,AC214,0)</f>
        <v>0</v>
      </c>
      <c r="AF232" s="55">
        <f>SUM(B232:AE232)</f>
        <v>0</v>
      </c>
    </row>
    <row r="233" spans="1:37" s="55" customFormat="1" ht="38.25" hidden="1" customHeight="1" x14ac:dyDescent="0.2">
      <c r="A233" s="55" t="s">
        <v>109</v>
      </c>
      <c r="D233" s="60"/>
      <c r="G233" s="60"/>
      <c r="J233" s="60"/>
      <c r="M233" s="60"/>
      <c r="P233" s="60"/>
      <c r="S233" s="60"/>
      <c r="V233" s="60"/>
      <c r="Y233" s="60"/>
      <c r="AB233" s="60"/>
      <c r="AE233" s="60"/>
      <c r="AF233" s="59" t="s">
        <v>110</v>
      </c>
      <c r="AG233" s="55" t="s">
        <v>111</v>
      </c>
    </row>
    <row r="234" spans="1:37" s="55" customFormat="1" ht="12.75" hidden="1" customHeight="1" x14ac:dyDescent="0.2">
      <c r="A234" s="55" t="s">
        <v>97</v>
      </c>
      <c r="B234" s="55">
        <f>IF(B194=1,SUMIF(B201:B205,"&gt;0"),0)</f>
        <v>0</v>
      </c>
      <c r="D234" s="60">
        <f>IF(D194=1,SUMIF(D201:D205,"&gt;0"),0)</f>
        <v>0</v>
      </c>
      <c r="E234" s="55">
        <f>IF(E194=1,SUMIF(E201:E205,"&gt;0"),0)</f>
        <v>0</v>
      </c>
      <c r="G234" s="60">
        <f>IF(G194=1,SUMIF(G201:G205,"&gt;0"),0)</f>
        <v>0</v>
      </c>
      <c r="H234" s="55">
        <f>IF(H194=1,SUMIF(H201:H205,"&gt;0"),0)</f>
        <v>2</v>
      </c>
      <c r="J234" s="60">
        <f>IF(J194=1,SUMIF(J201:J205,"&gt;0"),0)</f>
        <v>0</v>
      </c>
      <c r="K234" s="55">
        <f>IF(K194=1,SUMIF(K201:K205,"&gt;0"),0)</f>
        <v>0</v>
      </c>
      <c r="M234" s="60">
        <f>IF(M194=1,SUMIF(M201:M205,"&gt;0"),0)</f>
        <v>0</v>
      </c>
      <c r="N234" s="55">
        <f>IF(N194=1,SUMIF(N201:N205,"&gt;0"),0)</f>
        <v>0</v>
      </c>
      <c r="P234" s="60">
        <f>IF(P194=1,SUMIF(P201:P205,"&gt;0"),0)</f>
        <v>0</v>
      </c>
      <c r="Q234" s="55">
        <f>IF(Q194=1,SUMIF(Q201:Q205,"&gt;0"),0)</f>
        <v>0</v>
      </c>
      <c r="S234" s="60">
        <f>IF(S194=1,SUMIF(S201:S205,"&gt;0"),0)</f>
        <v>0</v>
      </c>
      <c r="T234" s="55">
        <f>IF(T194=1,SUMIF(T201:T205,"&gt;0"),0)</f>
        <v>0</v>
      </c>
      <c r="V234" s="60">
        <f>IF(V194=1,SUMIF(V201:V205,"&gt;0"),0)</f>
        <v>0</v>
      </c>
      <c r="W234" s="55">
        <f>IF(W194=1,SUMIF(W201:W205,"&gt;0"),0)</f>
        <v>0</v>
      </c>
      <c r="Y234" s="60">
        <f>IF(Y194=1,SUMIF(Y201:Y205,"&gt;0"),0)</f>
        <v>0</v>
      </c>
      <c r="Z234" s="55">
        <f>IF(Z194=1,SUMIF(Z201:Z205,"&gt;0"),0)</f>
        <v>0</v>
      </c>
      <c r="AB234" s="60">
        <f>IF(AB194=1,SUMIF(AB201:AB205,"&gt;0"),0)</f>
        <v>0</v>
      </c>
      <c r="AC234" s="55">
        <f>IF(AC194=1,SUMIF(AC201:AC205,"&gt;0"),0)</f>
        <v>0</v>
      </c>
      <c r="AE234" s="60">
        <f>IF(AE194=1,SUMIF(AE201:AE205,"&gt;0"),0)</f>
        <v>0</v>
      </c>
      <c r="AF234" s="55">
        <f>SUM(B234:AE234)</f>
        <v>2</v>
      </c>
      <c r="AG234" s="55">
        <f>AF242-AF234</f>
        <v>1</v>
      </c>
    </row>
    <row r="235" spans="1:37" s="55" customFormat="1" ht="12.75" hidden="1" customHeight="1" x14ac:dyDescent="0.2">
      <c r="A235" s="55" t="s">
        <v>98</v>
      </c>
      <c r="B235" s="55">
        <f>IF(B194=2,SUMIF(B201:B205,"&gt;0"),0)</f>
        <v>0</v>
      </c>
      <c r="D235" s="60">
        <f>IF(D194=2,SUMIF(D201:D205,"&gt;0"),0)</f>
        <v>0</v>
      </c>
      <c r="E235" s="55">
        <f>IF(E194=2,SUMIF(E201:E205,"&gt;0"),0)</f>
        <v>0</v>
      </c>
      <c r="G235" s="60">
        <f>IF(G194=2,SUMIF(G201:G205,"&gt;0"),0)</f>
        <v>0</v>
      </c>
      <c r="H235" s="55">
        <f>IF(H194=2,SUMIF(H201:H205,"&gt;0"),0)</f>
        <v>0</v>
      </c>
      <c r="J235" s="60">
        <f>IF(J194=2,SUMIF(J201:J205,"&gt;0"),0)</f>
        <v>0</v>
      </c>
      <c r="K235" s="55">
        <f>IF(K194=2,SUMIF(K201:K205,"&gt;0"),0)</f>
        <v>0</v>
      </c>
      <c r="M235" s="60">
        <f>IF(M194=2,SUMIF(M201:M205,"&gt;0"),0)</f>
        <v>0</v>
      </c>
      <c r="N235" s="55">
        <f>IF(N194=2,SUMIF(N201:N205,"&gt;0"),0)</f>
        <v>0</v>
      </c>
      <c r="P235" s="60">
        <f>IF(P194=2,SUMIF(P201:P205,"&gt;0"),0)</f>
        <v>0</v>
      </c>
      <c r="Q235" s="55">
        <f>IF(Q194=2,SUMIF(Q201:Q205,"&gt;0"),0)</f>
        <v>0</v>
      </c>
      <c r="S235" s="60">
        <f>IF(S194=2,SUMIF(S201:S205,"&gt;0"),0)</f>
        <v>0</v>
      </c>
      <c r="T235" s="55">
        <f>IF(T194=2,SUMIF(T201:T205,"&gt;0"),0)</f>
        <v>0</v>
      </c>
      <c r="V235" s="60">
        <f>IF(V194=2,SUMIF(V201:V205,"&gt;0"),0)</f>
        <v>0</v>
      </c>
      <c r="W235" s="55">
        <f>IF(W194=2,SUMIF(W201:W205,"&gt;0"),0)</f>
        <v>0</v>
      </c>
      <c r="Y235" s="60">
        <f>IF(Y194=2,SUMIF(Y201:Y205,"&gt;0"),0)</f>
        <v>0</v>
      </c>
      <c r="Z235" s="55">
        <f>IF(Z194=2,SUMIF(Z201:Z205,"&gt;0"),0)</f>
        <v>0</v>
      </c>
      <c r="AB235" s="60">
        <f>IF(AB194=2,SUMIF(AB201:AB205,"&gt;0"),0)</f>
        <v>0</v>
      </c>
      <c r="AC235" s="55">
        <f>IF(AC194=2,SUMIF(AC201:AC205,"&gt;0"),0)</f>
        <v>0</v>
      </c>
      <c r="AE235" s="60">
        <f>IF(AE194=2,SUMIF(AE201:AE205,"&gt;0"),0)</f>
        <v>0</v>
      </c>
      <c r="AF235" s="55">
        <f>SUM(B235:AE235)</f>
        <v>0</v>
      </c>
      <c r="AG235" s="55">
        <f>AF243-AF235</f>
        <v>4</v>
      </c>
    </row>
    <row r="236" spans="1:37" s="55" customFormat="1" ht="12.75" hidden="1" customHeight="1" x14ac:dyDescent="0.2">
      <c r="A236" s="55" t="s">
        <v>99</v>
      </c>
      <c r="B236" s="55">
        <f>IF(B194=3,SUMIF(B201:B205,"&gt;0"),0)</f>
        <v>0</v>
      </c>
      <c r="D236" s="60">
        <f>IF(D194=3,SUMIF(D201:D205,"&gt;0"),0)</f>
        <v>1</v>
      </c>
      <c r="E236" s="55">
        <f>IF(E194=3,SUMIF(E201:E205,"&gt;0"),0)</f>
        <v>0</v>
      </c>
      <c r="G236" s="60">
        <f>IF(G194=3,SUMIF(G201:G205,"&gt;0"),0)</f>
        <v>2</v>
      </c>
      <c r="H236" s="55">
        <f>IF(H194=3,SUMIF(H201:H205,"&gt;0"),0)</f>
        <v>0</v>
      </c>
      <c r="J236" s="60">
        <f>IF(J194=3,SUMIF(J201:J205,"&gt;0"),0)</f>
        <v>0</v>
      </c>
      <c r="K236" s="55">
        <f>IF(K194=3,SUMIF(K201:K205,"&gt;0"),0)</f>
        <v>0</v>
      </c>
      <c r="M236" s="60">
        <f>IF(M194=3,SUMIF(M201:M205,"&gt;0"),0)</f>
        <v>0</v>
      </c>
      <c r="N236" s="55">
        <f>IF(N194=3,SUMIF(N201:N205,"&gt;0"),0)</f>
        <v>0</v>
      </c>
      <c r="P236" s="60">
        <f>IF(P194=3,SUMIF(P201:P205,"&gt;0"),0)</f>
        <v>0</v>
      </c>
      <c r="Q236" s="55">
        <f>IF(Q194=3,SUMIF(Q201:Q205,"&gt;0"),0)</f>
        <v>0</v>
      </c>
      <c r="S236" s="60">
        <f>IF(S194=3,SUMIF(S201:S205,"&gt;0"),0)</f>
        <v>0</v>
      </c>
      <c r="T236" s="55">
        <f>IF(T194=3,SUMIF(T201:T205,"&gt;0"),0)</f>
        <v>0</v>
      </c>
      <c r="V236" s="60">
        <f>IF(V194=3,SUMIF(V201:V205,"&gt;0"),0)</f>
        <v>0</v>
      </c>
      <c r="W236" s="55">
        <f>IF(W194=3,SUMIF(W201:W205,"&gt;0"),0)</f>
        <v>0</v>
      </c>
      <c r="Y236" s="60">
        <f>IF(Y194=3,SUMIF(Y201:Y205,"&gt;0"),0)</f>
        <v>0</v>
      </c>
      <c r="Z236" s="55">
        <f>IF(Z194=3,SUMIF(Z201:Z205,"&gt;0"),0)</f>
        <v>0</v>
      </c>
      <c r="AB236" s="60">
        <f>IF(AB194=3,SUMIF(AB201:AB205,"&gt;0"),0)</f>
        <v>0</v>
      </c>
      <c r="AC236" s="55">
        <f>IF(AC194=3,SUMIF(AC201:AC205,"&gt;0"),0)</f>
        <v>0</v>
      </c>
      <c r="AE236" s="60">
        <f>IF(AE194=3,SUMIF(AE201:AE205,"&gt;0"),0)</f>
        <v>0</v>
      </c>
      <c r="AF236" s="55">
        <f>SUM(B236:AE236)</f>
        <v>3</v>
      </c>
      <c r="AG236" s="55">
        <f>AF244-AF236</f>
        <v>0</v>
      </c>
    </row>
    <row r="237" spans="1:37" s="55" customFormat="1" ht="12.75" hidden="1" customHeight="1" x14ac:dyDescent="0.2">
      <c r="A237" s="55" t="s">
        <v>100</v>
      </c>
      <c r="B237" s="55">
        <f>IF(B194=4,SUMIF(B201:B205,"&gt;0"),0)</f>
        <v>0</v>
      </c>
      <c r="D237" s="60">
        <f>IF(D194=4,SUMIF(D201:D205,"&gt;0"),0)</f>
        <v>0</v>
      </c>
      <c r="E237" s="55">
        <f>IF(E194=4,SUMIF(E201:E205,"&gt;0"),0)</f>
        <v>0</v>
      </c>
      <c r="G237" s="60">
        <f>IF(G194=4,SUMIF(G201:G205,"&gt;0"),0)</f>
        <v>0</v>
      </c>
      <c r="H237" s="55">
        <f>IF(H194=4,SUMIF(H201:H205,"&gt;0"),0)</f>
        <v>0</v>
      </c>
      <c r="J237" s="60">
        <f>IF(J194=4,SUMIF(J201:J205,"&gt;0"),0)</f>
        <v>0</v>
      </c>
      <c r="K237" s="55">
        <f>IF(K194=4,SUMIF(K201:K205,"&gt;0"),0)</f>
        <v>0</v>
      </c>
      <c r="M237" s="60">
        <f>IF(M194=4,SUMIF(M201:M205,"&gt;0"),0)</f>
        <v>0</v>
      </c>
      <c r="N237" s="55">
        <f>IF(N194=4,SUMIF(N201:N205,"&gt;0"),0)</f>
        <v>0</v>
      </c>
      <c r="P237" s="60">
        <f>IF(P194=4,SUMIF(P201:P205,"&gt;0"),0)</f>
        <v>0</v>
      </c>
      <c r="Q237" s="55">
        <f>IF(Q194=4,SUMIF(Q201:Q205,"&gt;0"),0)</f>
        <v>0</v>
      </c>
      <c r="S237" s="60">
        <f>IF(S194=4,SUMIF(S201:S205,"&gt;0"),0)</f>
        <v>0</v>
      </c>
      <c r="T237" s="55">
        <f>IF(T194=4,SUMIF(T201:T205,"&gt;0"),0)</f>
        <v>0</v>
      </c>
      <c r="V237" s="60">
        <f>IF(V194=4,SUMIF(V201:V205,"&gt;0"),0)</f>
        <v>0</v>
      </c>
      <c r="W237" s="55">
        <f>IF(W194=4,SUMIF(W201:W205,"&gt;0"),0)</f>
        <v>0</v>
      </c>
      <c r="Y237" s="60">
        <f>IF(Y194=4,SUMIF(Y201:Y205,"&gt;0"),0)</f>
        <v>0</v>
      </c>
      <c r="Z237" s="55">
        <f>IF(Z194=4,SUMIF(Z201:Z205,"&gt;0"),0)</f>
        <v>0</v>
      </c>
      <c r="AB237" s="60">
        <f>IF(AB194=4,SUMIF(AB201:AB205,"&gt;0"),0)</f>
        <v>0</v>
      </c>
      <c r="AC237" s="55">
        <f>IF(AC194=4,SUMIF(AC201:AC205,"&gt;0"),0)</f>
        <v>0</v>
      </c>
      <c r="AE237" s="60">
        <f>IF(AE194=4,SUMIF(AE201:AE205,"&gt;0"),0)</f>
        <v>0</v>
      </c>
      <c r="AF237" s="55">
        <f>SUM(B237:AE237)</f>
        <v>0</v>
      </c>
      <c r="AG237" s="55">
        <f>AF245-AF237</f>
        <v>0</v>
      </c>
    </row>
    <row r="238" spans="1:37" s="55" customFormat="1" ht="12.75" hidden="1" customHeight="1" x14ac:dyDescent="0.2">
      <c r="A238" s="55" t="s">
        <v>101</v>
      </c>
      <c r="B238" s="55">
        <f>IF(B194=5,SUMIF(B201:B205,"&gt;0"),0)</f>
        <v>0</v>
      </c>
      <c r="D238" s="60">
        <f>IF(D194=5,SUMIF(D201:D205,"&gt;0"),0)</f>
        <v>0</v>
      </c>
      <c r="E238" s="55">
        <f>IF(E194=5,SUMIF(E201:E205,"&gt;0"),0)</f>
        <v>0</v>
      </c>
      <c r="G238" s="60">
        <f>IF(G194=5,SUMIF(G201:G205,"&gt;0"),0)</f>
        <v>0</v>
      </c>
      <c r="H238" s="55">
        <f>IF(H194=5,SUMIF(H201:H205,"&gt;0"),0)</f>
        <v>0</v>
      </c>
      <c r="J238" s="60">
        <f>IF(J194=5,SUMIF(J201:J205,"&gt;0"),0)</f>
        <v>0</v>
      </c>
      <c r="K238" s="55">
        <f>IF(K194=5,SUMIF(K201:K205,"&gt;0"),0)</f>
        <v>0</v>
      </c>
      <c r="M238" s="60">
        <f>IF(M194=5,SUMIF(M201:M205,"&gt;0"),0)</f>
        <v>0</v>
      </c>
      <c r="N238" s="55">
        <f>IF(N194=5,SUMIF(N201:N205,"&gt;0"),0)</f>
        <v>0</v>
      </c>
      <c r="P238" s="60">
        <f>IF(P194=5,SUMIF(P201:P205,"&gt;0"),0)</f>
        <v>0</v>
      </c>
      <c r="Q238" s="55">
        <f>IF(Q194=5,SUMIF(Q201:Q205,"&gt;0"),0)</f>
        <v>0</v>
      </c>
      <c r="S238" s="60">
        <f>IF(S194=5,SUMIF(S201:S205,"&gt;0"),0)</f>
        <v>0</v>
      </c>
      <c r="T238" s="55">
        <f>IF(T194=5,SUMIF(T201:T205,"&gt;0"),0)</f>
        <v>0</v>
      </c>
      <c r="V238" s="60">
        <f>IF(V194=5,SUMIF(V201:V205,"&gt;0"),0)</f>
        <v>0</v>
      </c>
      <c r="W238" s="55">
        <f>IF(W194=5,SUMIF(W201:W205,"&gt;0"),0)</f>
        <v>0</v>
      </c>
      <c r="Y238" s="60">
        <f>IF(Y194=5,SUMIF(Y201:Y205,"&gt;0"),0)</f>
        <v>0</v>
      </c>
      <c r="Z238" s="55">
        <f>IF(Z194=5,SUMIF(Z201:Z205,"&gt;0"),0)</f>
        <v>0</v>
      </c>
      <c r="AB238" s="60">
        <f>IF(AB194=5,SUMIF(AB201:AB205,"&gt;0"),0)</f>
        <v>0</v>
      </c>
      <c r="AC238" s="55">
        <f>IF(AC194=5,SUMIF(AC201:AC205,"&gt;0"),0)</f>
        <v>0</v>
      </c>
      <c r="AE238" s="60">
        <f>IF(AE194=5,SUMIF(AE201:AE205,"&gt;0"),0)</f>
        <v>0</v>
      </c>
      <c r="AF238" s="55">
        <f>SUM(B238:AE238)</f>
        <v>0</v>
      </c>
      <c r="AG238" s="55">
        <f>AF246-AF238</f>
        <v>0</v>
      </c>
    </row>
    <row r="239" spans="1:37" s="55" customFormat="1" ht="12.75" hidden="1" customHeight="1" x14ac:dyDescent="0.2">
      <c r="D239" s="60"/>
      <c r="G239" s="60"/>
      <c r="J239" s="60"/>
      <c r="M239" s="60"/>
      <c r="P239" s="60"/>
      <c r="S239" s="60"/>
      <c r="V239" s="60"/>
      <c r="Y239" s="60"/>
      <c r="AB239" s="60"/>
      <c r="AE239" s="60"/>
    </row>
    <row r="240" spans="1:37" s="55" customFormat="1" ht="12.75" hidden="1" customHeight="1" x14ac:dyDescent="0.2">
      <c r="D240" s="60"/>
      <c r="G240" s="60"/>
      <c r="J240" s="60"/>
      <c r="M240" s="60"/>
      <c r="P240" s="60"/>
      <c r="S240" s="60"/>
      <c r="V240" s="60"/>
      <c r="Y240" s="60"/>
      <c r="AB240" s="60"/>
      <c r="AE240" s="60"/>
    </row>
    <row r="241" spans="1:49" s="55" customFormat="1" ht="51" hidden="1" customHeight="1" x14ac:dyDescent="0.2">
      <c r="A241" s="59" t="s">
        <v>112</v>
      </c>
      <c r="C241" s="55">
        <f>SUMIF(B234:D238,"&gt;0")</f>
        <v>1</v>
      </c>
      <c r="D241" s="60"/>
      <c r="F241" s="55">
        <f>SUMIF(E234:G238,"&gt;0")</f>
        <v>2</v>
      </c>
      <c r="G241" s="60"/>
      <c r="I241" s="55">
        <f>SUMIF(H234:J238,"&gt;0")</f>
        <v>2</v>
      </c>
      <c r="J241" s="60"/>
      <c r="L241" s="55">
        <f>SUMIF(K234:M238,"&gt;0")</f>
        <v>0</v>
      </c>
      <c r="M241" s="60"/>
      <c r="O241" s="55">
        <f>SUMIF(N234:P238,"&gt;0")</f>
        <v>0</v>
      </c>
      <c r="P241" s="60"/>
      <c r="R241" s="55">
        <f>SUMIF(Q234:S238,"&gt;0")</f>
        <v>0</v>
      </c>
      <c r="S241" s="60"/>
      <c r="U241" s="55">
        <f>SUMIF(T234:V238,"&gt;0")</f>
        <v>0</v>
      </c>
      <c r="V241" s="60"/>
      <c r="X241" s="55">
        <f>SUMIF(W234:Y238,"&gt;0")</f>
        <v>0</v>
      </c>
      <c r="Y241" s="60"/>
      <c r="AA241" s="55">
        <f>SUMIF(Z234:AB238,"&gt;0")</f>
        <v>0</v>
      </c>
      <c r="AB241" s="60"/>
      <c r="AD241" s="55">
        <f>SUMIF(AC234:AE238,"&gt;0")</f>
        <v>0</v>
      </c>
      <c r="AE241" s="60"/>
      <c r="AF241" s="59" t="s">
        <v>113</v>
      </c>
    </row>
    <row r="242" spans="1:49" s="55" customFormat="1" ht="12.75" hidden="1" customHeight="1" x14ac:dyDescent="0.2">
      <c r="A242" s="55" t="s">
        <v>103</v>
      </c>
      <c r="B242" s="55">
        <f>IF(B194=1,C241,0)</f>
        <v>1</v>
      </c>
      <c r="D242" s="60">
        <f>IF(D194=1,C241,0)</f>
        <v>0</v>
      </c>
      <c r="E242" s="55">
        <f>IF(E194=1,F241,0)</f>
        <v>0</v>
      </c>
      <c r="G242" s="60">
        <f>IF(G194=1,F241,0)</f>
        <v>0</v>
      </c>
      <c r="H242" s="55">
        <f>IF(H194=1,I241,0)</f>
        <v>2</v>
      </c>
      <c r="J242" s="60">
        <f>IF(J194=1,I241,0)</f>
        <v>0</v>
      </c>
      <c r="K242" s="55">
        <f>IF(K194=1,L241,0)</f>
        <v>0</v>
      </c>
      <c r="M242" s="60">
        <f>IF(M194=1,L241,0)</f>
        <v>0</v>
      </c>
      <c r="N242" s="55">
        <f>IF(N194=1,O241,0)</f>
        <v>0</v>
      </c>
      <c r="P242" s="60">
        <f>IF(P194=1,O241,0)</f>
        <v>0</v>
      </c>
      <c r="Q242" s="55">
        <f>IF(Q194=1,R241,0)</f>
        <v>0</v>
      </c>
      <c r="S242" s="60">
        <f>IF(S194=1,R241,0)</f>
        <v>0</v>
      </c>
      <c r="T242" s="55">
        <f>IF(T194=1,U241,0)</f>
        <v>0</v>
      </c>
      <c r="V242" s="60">
        <f>IF(V194=1,U241,0)</f>
        <v>0</v>
      </c>
      <c r="W242" s="55">
        <f>IF(W194=1,X241,0)</f>
        <v>0</v>
      </c>
      <c r="Y242" s="60">
        <f>IF(Y194=1,X241,0)</f>
        <v>0</v>
      </c>
      <c r="Z242" s="55">
        <f>IF(Z194=1,AA241,0)</f>
        <v>0</v>
      </c>
      <c r="AB242" s="60">
        <f>IF(AB194=1,AA241,0)</f>
        <v>0</v>
      </c>
      <c r="AC242" s="55">
        <f>IF(AC194=1,AD241,0)</f>
        <v>0</v>
      </c>
      <c r="AE242" s="60">
        <f>IF(AE194=1,AD241,0)</f>
        <v>0</v>
      </c>
      <c r="AF242" s="55">
        <f>SUM(B242:AE242)</f>
        <v>3</v>
      </c>
    </row>
    <row r="243" spans="1:49" s="55" customFormat="1" ht="12.75" hidden="1" customHeight="1" x14ac:dyDescent="0.2">
      <c r="A243" s="55" t="s">
        <v>104</v>
      </c>
      <c r="B243" s="55">
        <f>IF(B194=2,C241,0)</f>
        <v>0</v>
      </c>
      <c r="D243" s="60">
        <f>IF(D194=2,C241,0)</f>
        <v>0</v>
      </c>
      <c r="E243" s="55">
        <f>IF(E194=2,F241,0)</f>
        <v>2</v>
      </c>
      <c r="G243" s="60">
        <f>IF(G194=2,F241,0)</f>
        <v>0</v>
      </c>
      <c r="H243" s="55">
        <f>IF(H194=2,I241,0)</f>
        <v>0</v>
      </c>
      <c r="J243" s="60">
        <f>IF(J194=2,I241,0)</f>
        <v>2</v>
      </c>
      <c r="K243" s="55">
        <f>IF(K194=2,L241,0)</f>
        <v>0</v>
      </c>
      <c r="M243" s="60">
        <f>IF(M194=2,L241,0)</f>
        <v>0</v>
      </c>
      <c r="N243" s="55">
        <f>IF(N194=2,O241,0)</f>
        <v>0</v>
      </c>
      <c r="P243" s="60">
        <f>IF(P194=2,O241,0)</f>
        <v>0</v>
      </c>
      <c r="Q243" s="55">
        <f>IF(Q194=2,R241,0)</f>
        <v>0</v>
      </c>
      <c r="S243" s="60">
        <f>IF(S194=2,R241,0)</f>
        <v>0</v>
      </c>
      <c r="T243" s="55">
        <f>IF(T194=2,U241,0)</f>
        <v>0</v>
      </c>
      <c r="V243" s="60">
        <f>IF(V194=2,U241,0)</f>
        <v>0</v>
      </c>
      <c r="W243" s="55">
        <f>IF(W194=2,X241,0)</f>
        <v>0</v>
      </c>
      <c r="Y243" s="60">
        <f>IF(Y194=2,X241,0)</f>
        <v>0</v>
      </c>
      <c r="Z243" s="55">
        <f>IF(Z194=2,AA241,0)</f>
        <v>0</v>
      </c>
      <c r="AB243" s="60">
        <f>IF(AB194=2,AA241,0)</f>
        <v>0</v>
      </c>
      <c r="AC243" s="55">
        <f>IF(AC194=2,AD241,0)</f>
        <v>0</v>
      </c>
      <c r="AE243" s="60">
        <f>IF(AE194=2,AD241,0)</f>
        <v>0</v>
      </c>
      <c r="AF243" s="55">
        <f>SUM(B243:AE243)</f>
        <v>4</v>
      </c>
    </row>
    <row r="244" spans="1:49" s="55" customFormat="1" ht="12.75" hidden="1" customHeight="1" x14ac:dyDescent="0.2">
      <c r="A244" s="55" t="s">
        <v>105</v>
      </c>
      <c r="B244" s="55">
        <f>IF(B194=3,C241,0)</f>
        <v>0</v>
      </c>
      <c r="D244" s="60">
        <f>IF(D194=3,C241,0)</f>
        <v>1</v>
      </c>
      <c r="E244" s="55">
        <f>IF(E194=3,F241,0)</f>
        <v>0</v>
      </c>
      <c r="G244" s="60">
        <f>IF(G194=3,F241,0)</f>
        <v>2</v>
      </c>
      <c r="H244" s="55">
        <f>IF(H194=3,I241,0)</f>
        <v>0</v>
      </c>
      <c r="J244" s="60">
        <f>IF(J194=3,I241,0)</f>
        <v>0</v>
      </c>
      <c r="K244" s="55">
        <f>IF(K194=3,L241,0)</f>
        <v>0</v>
      </c>
      <c r="M244" s="60">
        <f>IF(M194=3,L241,0)</f>
        <v>0</v>
      </c>
      <c r="N244" s="55">
        <f>IF(N194=3,O241,0)</f>
        <v>0</v>
      </c>
      <c r="P244" s="60">
        <f>IF(P194=3,O241,0)</f>
        <v>0</v>
      </c>
      <c r="Q244" s="55">
        <f>IF(Q194=3,R241,0)</f>
        <v>0</v>
      </c>
      <c r="S244" s="60">
        <f>IF(S194=3,R241,0)</f>
        <v>0</v>
      </c>
      <c r="T244" s="55">
        <f>IF(T194=3,U241,0)</f>
        <v>0</v>
      </c>
      <c r="V244" s="60">
        <f>IF(V194=3,U241,0)</f>
        <v>0</v>
      </c>
      <c r="W244" s="55">
        <f>IF(W194=3,X241,0)</f>
        <v>0</v>
      </c>
      <c r="Y244" s="60">
        <f>IF(Y194=3,X241,0)</f>
        <v>0</v>
      </c>
      <c r="Z244" s="55">
        <f>IF(Z194=3,AA241,0)</f>
        <v>0</v>
      </c>
      <c r="AB244" s="60">
        <f>IF(AB194=3,AA241,0)</f>
        <v>0</v>
      </c>
      <c r="AC244" s="55">
        <f>IF(AC194=3,AD241,0)</f>
        <v>0</v>
      </c>
      <c r="AE244" s="60">
        <f>IF(AE194=3,AD241,0)</f>
        <v>0</v>
      </c>
      <c r="AF244" s="55">
        <f>SUM(B244:AE244)</f>
        <v>3</v>
      </c>
    </row>
    <row r="245" spans="1:49" s="55" customFormat="1" ht="12.75" hidden="1" customHeight="1" x14ac:dyDescent="0.2">
      <c r="A245" s="55" t="s">
        <v>106</v>
      </c>
      <c r="B245" s="55">
        <f>IF(B194=4,C241,0)</f>
        <v>0</v>
      </c>
      <c r="D245" s="60">
        <f>IF(D194=4,C241,0)</f>
        <v>0</v>
      </c>
      <c r="E245" s="55">
        <f>IF(E194=4,F241,0)</f>
        <v>0</v>
      </c>
      <c r="G245" s="60">
        <f>IF(G194=4,F241,0)</f>
        <v>0</v>
      </c>
      <c r="H245" s="55">
        <f>IF(H194=4,I241,0)</f>
        <v>0</v>
      </c>
      <c r="J245" s="60">
        <f>IF(J194=4,I241,0)</f>
        <v>0</v>
      </c>
      <c r="K245" s="55">
        <f>IF(K194=4,L241,0)</f>
        <v>0</v>
      </c>
      <c r="M245" s="60">
        <f>IF(M194=4,L241,0)</f>
        <v>0</v>
      </c>
      <c r="N245" s="55">
        <f>IF(N194=4,O241,0)</f>
        <v>0</v>
      </c>
      <c r="P245" s="60">
        <f>IF(P194=4,O241,0)</f>
        <v>0</v>
      </c>
      <c r="Q245" s="55">
        <f>IF(Q194=4,R241,0)</f>
        <v>0</v>
      </c>
      <c r="S245" s="60">
        <f>IF(S194=4,R241,0)</f>
        <v>0</v>
      </c>
      <c r="T245" s="55">
        <f>IF(T194=4,U241,0)</f>
        <v>0</v>
      </c>
      <c r="V245" s="60">
        <f>IF(V194=4,U241,0)</f>
        <v>0</v>
      </c>
      <c r="W245" s="55">
        <f>IF(W194=4,X241,0)</f>
        <v>0</v>
      </c>
      <c r="Y245" s="60">
        <f>IF(Y194=4,X241,0)</f>
        <v>0</v>
      </c>
      <c r="Z245" s="55">
        <f>IF(Z194=4,AA241,0)</f>
        <v>0</v>
      </c>
      <c r="AB245" s="60">
        <f>IF(AB194=4,AA241,0)</f>
        <v>0</v>
      </c>
      <c r="AC245" s="55">
        <f>IF(AC194=4,AD241,0)</f>
        <v>0</v>
      </c>
      <c r="AE245" s="60">
        <f>IF(AE194=4,AD241,0)</f>
        <v>0</v>
      </c>
      <c r="AF245" s="55">
        <f>SUM(B245:AE245)</f>
        <v>0</v>
      </c>
    </row>
    <row r="246" spans="1:49" s="55" customFormat="1" ht="12.75" hidden="1" customHeight="1" x14ac:dyDescent="0.2">
      <c r="A246" s="55" t="s">
        <v>107</v>
      </c>
      <c r="B246" s="55">
        <f>IF(B194=5,C241,0)</f>
        <v>0</v>
      </c>
      <c r="D246" s="60">
        <f>IF(D194=5,C241,0)</f>
        <v>0</v>
      </c>
      <c r="E246" s="55">
        <f>IF(E194=5,F241,0)</f>
        <v>0</v>
      </c>
      <c r="G246" s="60">
        <f>IF(G194=5,F241,0)</f>
        <v>0</v>
      </c>
      <c r="H246" s="55">
        <f>IF(H194=5,I241,0)</f>
        <v>0</v>
      </c>
      <c r="J246" s="60">
        <f>IF(J194=5,I241,0)</f>
        <v>0</v>
      </c>
      <c r="K246" s="55">
        <f>IF(K194=5,L241,0)</f>
        <v>0</v>
      </c>
      <c r="M246" s="60">
        <f>IF(M194=5,L241,0)</f>
        <v>0</v>
      </c>
      <c r="N246" s="55">
        <f>IF(N194=5,O241,0)</f>
        <v>0</v>
      </c>
      <c r="P246" s="60">
        <f>IF(P194=5,O241,0)</f>
        <v>0</v>
      </c>
      <c r="Q246" s="55">
        <f>IF(Q194=5,R241,0)</f>
        <v>0</v>
      </c>
      <c r="S246" s="60">
        <f>IF(S194=5,R241,0)</f>
        <v>0</v>
      </c>
      <c r="T246" s="55">
        <f>IF(T194=5,U241,0)</f>
        <v>0</v>
      </c>
      <c r="V246" s="60">
        <f>IF(V194=5,U241,0)</f>
        <v>0</v>
      </c>
      <c r="W246" s="55">
        <f>IF(W194=5,X241,0)</f>
        <v>0</v>
      </c>
      <c r="Y246" s="60">
        <f>IF(Y194=5,X241,0)</f>
        <v>0</v>
      </c>
      <c r="Z246" s="55">
        <f>IF(Z194=5,AA241,0)</f>
        <v>0</v>
      </c>
      <c r="AB246" s="60">
        <f>IF(AB194=5,AA241,0)</f>
        <v>0</v>
      </c>
      <c r="AC246" s="55">
        <f>IF(AC194=5,AD241,0)</f>
        <v>0</v>
      </c>
      <c r="AE246" s="60">
        <f>IF(AE194=5,AD241,0)</f>
        <v>0</v>
      </c>
      <c r="AF246" s="55">
        <f>SUM(B246:AE246)</f>
        <v>0</v>
      </c>
      <c r="AT246" s="63"/>
      <c r="AU246" s="63"/>
      <c r="AV246" s="63"/>
    </row>
    <row r="247" spans="1:49" hidden="1" x14ac:dyDescent="0.2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1"/>
      <c r="AO247" s="81"/>
      <c r="AP247" s="81"/>
      <c r="AQ247" s="81"/>
      <c r="AR247" s="63"/>
      <c r="AS247" s="63"/>
      <c r="AT247" s="63"/>
      <c r="AU247" s="63"/>
      <c r="AV247" s="63"/>
      <c r="AW247" s="130"/>
    </row>
    <row r="248" spans="1:49" s="63" customFormat="1" hidden="1" x14ac:dyDescent="0.2">
      <c r="A248" s="64"/>
      <c r="B248" s="64"/>
      <c r="C248" s="64" t="s">
        <v>114</v>
      </c>
      <c r="D248" s="64">
        <v>1</v>
      </c>
      <c r="E248" s="64"/>
      <c r="F248" s="64"/>
      <c r="G248" s="64">
        <v>2</v>
      </c>
      <c r="H248" s="64"/>
      <c r="I248" s="64"/>
      <c r="J248" s="64">
        <v>3</v>
      </c>
      <c r="K248" s="64"/>
      <c r="L248" s="64"/>
      <c r="M248" s="64">
        <v>4</v>
      </c>
      <c r="N248" s="64"/>
      <c r="O248" s="64"/>
      <c r="P248" s="64">
        <v>5</v>
      </c>
      <c r="Q248" s="64"/>
      <c r="R248" s="64"/>
      <c r="S248" s="64">
        <v>6</v>
      </c>
      <c r="T248" s="64"/>
      <c r="U248" s="64"/>
      <c r="V248" s="64">
        <v>7</v>
      </c>
      <c r="W248" s="64"/>
      <c r="X248" s="64"/>
      <c r="Y248" s="64">
        <v>8</v>
      </c>
      <c r="Z248" s="64"/>
      <c r="AA248" s="64"/>
      <c r="AB248" s="64">
        <v>9</v>
      </c>
      <c r="AC248" s="64"/>
      <c r="AD248" s="64"/>
      <c r="AE248" s="64">
        <v>10</v>
      </c>
      <c r="AF248" s="4"/>
      <c r="AG248" s="64"/>
      <c r="AI248" s="65"/>
      <c r="AJ248" s="4"/>
      <c r="AK248" s="4"/>
      <c r="AL248" s="4"/>
      <c r="AM248" s="4"/>
      <c r="AN248" s="4"/>
      <c r="AO248" s="4"/>
      <c r="AT248" s="65" t="s">
        <v>115</v>
      </c>
      <c r="AW248" s="66"/>
    </row>
    <row r="249" spans="1:49" s="63" customFormat="1" hidden="1" x14ac:dyDescent="0.2">
      <c r="A249" s="67">
        <v>1</v>
      </c>
      <c r="B249" s="67" t="str">
        <f>E178</f>
        <v>columbia sc starlings 13</v>
      </c>
      <c r="C249" s="67">
        <f>VLOOKUP(B249,AU$3:AW$33,3,FALSE)</f>
        <v>1200</v>
      </c>
      <c r="D249" s="67" t="e">
        <f>IF(B242,B257,IF(D242,D257,C249))</f>
        <v>#N/A</v>
      </c>
      <c r="E249" s="67"/>
      <c r="F249" s="67"/>
      <c r="G249" s="67" t="e">
        <f>IF(E242,E257,IF(G242,G257,D249))</f>
        <v>#N/A</v>
      </c>
      <c r="H249" s="67"/>
      <c r="I249" s="67"/>
      <c r="J249" s="67" t="e">
        <f>IF(H242,H257,IF(J242,J257,G249))</f>
        <v>#N/A</v>
      </c>
      <c r="K249" s="67"/>
      <c r="L249" s="67"/>
      <c r="M249" s="67" t="e">
        <f>IF(K242,K257,IF(M242,M257,J249))</f>
        <v>#N/A</v>
      </c>
      <c r="N249" s="67"/>
      <c r="O249" s="67"/>
      <c r="P249" s="67" t="e">
        <f>IF(N242,N257,IF(P242,P257,M249))</f>
        <v>#N/A</v>
      </c>
      <c r="Q249" s="67"/>
      <c r="R249" s="67"/>
      <c r="S249" s="67" t="e">
        <f>IF(Q242,Q257,IF(S242,S257,P249))</f>
        <v>#N/A</v>
      </c>
      <c r="T249" s="67"/>
      <c r="U249" s="67"/>
      <c r="V249" s="67" t="e">
        <f>IF(T242,T257,IF(V242,V257,S249))</f>
        <v>#N/A</v>
      </c>
      <c r="W249" s="67"/>
      <c r="X249" s="67"/>
      <c r="Y249" s="67" t="e">
        <f>IF(W242,W257,IF(Y242,Y257,V249))</f>
        <v>#N/A</v>
      </c>
      <c r="Z249" s="67"/>
      <c r="AA249" s="67"/>
      <c r="AB249" s="67" t="e">
        <f>IF(Z242,Z257,IF(AB242,AB257,Y249))</f>
        <v>#N/A</v>
      </c>
      <c r="AC249" s="67"/>
      <c r="AD249" s="67"/>
      <c r="AE249" s="67" t="e">
        <f>IF(AC242,AC257,IF(AE242,AE257,AB249))</f>
        <v>#N/A</v>
      </c>
      <c r="AF249" s="4"/>
      <c r="AG249" s="4"/>
      <c r="AJ249" s="4"/>
      <c r="AK249" s="4"/>
      <c r="AL249" s="4"/>
      <c r="AM249" s="4"/>
      <c r="AN249" s="4"/>
      <c r="AO249" s="4"/>
      <c r="AT249" s="63" t="str">
        <f>B249</f>
        <v>columbia sc starlings 13</v>
      </c>
      <c r="AU249" s="63" t="e">
        <f>AE249</f>
        <v>#N/A</v>
      </c>
      <c r="AW249" s="66"/>
    </row>
    <row r="250" spans="1:49" s="63" customFormat="1" hidden="1" x14ac:dyDescent="0.2">
      <c r="A250" s="67">
        <v>2</v>
      </c>
      <c r="B250" s="67" t="str">
        <f>E180</f>
        <v>Foothills 13 Caitlin</v>
      </c>
      <c r="C250" s="67">
        <f>VLOOKUP(B250,AU$3:AW$33,3,FALSE)</f>
        <v>1251.7655011857189</v>
      </c>
      <c r="D250" s="67">
        <f>IF(B243,B257,IF(D243,D257,C250))</f>
        <v>1251.7655011857189</v>
      </c>
      <c r="E250" s="67"/>
      <c r="F250" s="67"/>
      <c r="G250" s="67" t="e">
        <f>IF(E243,E257,IF(G243,G257,D250))</f>
        <v>#N/A</v>
      </c>
      <c r="H250" s="67"/>
      <c r="I250" s="67"/>
      <c r="J250" s="67" t="e">
        <f>IF(H243,H257,IF(J243,J257,G250))</f>
        <v>#N/A</v>
      </c>
      <c r="K250" s="67"/>
      <c r="L250" s="67"/>
      <c r="M250" s="67" t="e">
        <f>IF(K243,K257,IF(M243,M257,J250))</f>
        <v>#N/A</v>
      </c>
      <c r="N250" s="67"/>
      <c r="O250" s="67"/>
      <c r="P250" s="67" t="e">
        <f>IF(N243,N257,IF(P243,P257,M250))</f>
        <v>#N/A</v>
      </c>
      <c r="Q250" s="67"/>
      <c r="R250" s="67"/>
      <c r="S250" s="67" t="e">
        <f>IF(Q243,Q257,IF(S243,S257,P250))</f>
        <v>#N/A</v>
      </c>
      <c r="T250" s="67"/>
      <c r="U250" s="67"/>
      <c r="V250" s="67" t="e">
        <f>IF(T243,T257,IF(V243,V257,S250))</f>
        <v>#N/A</v>
      </c>
      <c r="W250" s="67"/>
      <c r="X250" s="67"/>
      <c r="Y250" s="67" t="e">
        <f>IF(W243,W257,IF(Y243,Y257,V250))</f>
        <v>#N/A</v>
      </c>
      <c r="Z250" s="67"/>
      <c r="AA250" s="67"/>
      <c r="AB250" s="67" t="e">
        <f>IF(Z243,Z257,IF(AB243,AB257,Y250))</f>
        <v>#N/A</v>
      </c>
      <c r="AC250" s="67"/>
      <c r="AD250" s="67"/>
      <c r="AE250" s="67" t="e">
        <f>IF(AC243,AC257,IF(AE243,AE257,AB250))</f>
        <v>#N/A</v>
      </c>
      <c r="AF250" s="4"/>
      <c r="AG250" s="4"/>
      <c r="AJ250" s="4"/>
      <c r="AL250" s="4"/>
      <c r="AM250" s="4"/>
      <c r="AN250" s="4"/>
      <c r="AO250" s="4"/>
      <c r="AT250" s="63" t="str">
        <f>B250</f>
        <v>Foothills 13 Caitlin</v>
      </c>
      <c r="AU250" s="63" t="e">
        <f>AE250</f>
        <v>#N/A</v>
      </c>
      <c r="AW250" s="66"/>
    </row>
    <row r="251" spans="1:49" s="63" customFormat="1" hidden="1" x14ac:dyDescent="0.2">
      <c r="A251" s="67">
        <v>3</v>
      </c>
      <c r="B251" s="67">
        <f>E182</f>
        <v>0</v>
      </c>
      <c r="C251" s="67" t="e">
        <f>VLOOKUP(B251,AU$3:AW$33,3,FALSE)</f>
        <v>#N/A</v>
      </c>
      <c r="D251" s="67" t="e">
        <f>IF(B244,B257,IF(D244,D257,C251))</f>
        <v>#N/A</v>
      </c>
      <c r="E251" s="67"/>
      <c r="F251" s="67"/>
      <c r="G251" s="67" t="e">
        <f>IF(E244,E257,IF(G244,G257,D251))</f>
        <v>#N/A</v>
      </c>
      <c r="H251" s="67"/>
      <c r="I251" s="67"/>
      <c r="J251" s="67" t="e">
        <f>IF(H244,H257,IF(J244,J257,G251))</f>
        <v>#N/A</v>
      </c>
      <c r="K251" s="67"/>
      <c r="L251" s="67"/>
      <c r="M251" s="67" t="e">
        <f>IF(K244,K257,IF(M244,M257,J251))</f>
        <v>#N/A</v>
      </c>
      <c r="N251" s="67"/>
      <c r="O251" s="67"/>
      <c r="P251" s="67" t="e">
        <f>IF(N244,N257,IF(P244,P257,M251))</f>
        <v>#N/A</v>
      </c>
      <c r="Q251" s="67"/>
      <c r="R251" s="67"/>
      <c r="S251" s="67" t="e">
        <f>IF(Q244,Q257,IF(S244,S257,P251))</f>
        <v>#N/A</v>
      </c>
      <c r="T251" s="67"/>
      <c r="U251" s="67"/>
      <c r="V251" s="67" t="e">
        <f>IF(T244,T257,IF(V244,V257,S251))</f>
        <v>#N/A</v>
      </c>
      <c r="W251" s="67"/>
      <c r="X251" s="67"/>
      <c r="Y251" s="67" t="e">
        <f>IF(W244,W257,IF(Y244,Y257,V251))</f>
        <v>#N/A</v>
      </c>
      <c r="Z251" s="67"/>
      <c r="AA251" s="67"/>
      <c r="AB251" s="67" t="e">
        <f>IF(Z244,Z257,IF(AB244,AB257,Y251))</f>
        <v>#N/A</v>
      </c>
      <c r="AC251" s="67"/>
      <c r="AD251" s="67"/>
      <c r="AE251" s="67" t="e">
        <f>IF(AC244,AC257,IF(AE244,AE257,AB251))</f>
        <v>#N/A</v>
      </c>
      <c r="AF251" s="4"/>
      <c r="AG251" s="4"/>
      <c r="AJ251" s="4"/>
      <c r="AL251" s="4"/>
      <c r="AM251" s="4"/>
      <c r="AN251" s="4"/>
      <c r="AO251" s="4"/>
      <c r="AT251" s="63">
        <f>B251</f>
        <v>0</v>
      </c>
      <c r="AU251" s="63" t="e">
        <f>AE251</f>
        <v>#N/A</v>
      </c>
      <c r="AW251" s="66"/>
    </row>
    <row r="252" spans="1:49" s="63" customFormat="1" hidden="1" x14ac:dyDescent="0.2">
      <c r="A252" s="67">
        <v>4</v>
      </c>
      <c r="B252" s="67" t="str">
        <f>E184</f>
        <v>Team 10</v>
      </c>
      <c r="C252" s="67">
        <f>VLOOKUP(B252,AU$3:AW$33,3,FALSE)</f>
        <v>0</v>
      </c>
      <c r="D252" s="67">
        <f>IF(B245,B257,IF(D245,D257,C252))</f>
        <v>0</v>
      </c>
      <c r="E252" s="67"/>
      <c r="F252" s="67"/>
      <c r="G252" s="67">
        <f>IF(E245,E257,IF(G245,G257,D252))</f>
        <v>0</v>
      </c>
      <c r="H252" s="67"/>
      <c r="I252" s="67"/>
      <c r="J252" s="67">
        <f>IF(H245,H257,IF(J245,J257,G252))</f>
        <v>0</v>
      </c>
      <c r="K252" s="67"/>
      <c r="L252" s="67"/>
      <c r="M252" s="67">
        <f>IF(K245,K257,IF(M245,M257,J252))</f>
        <v>0</v>
      </c>
      <c r="N252" s="67"/>
      <c r="O252" s="67"/>
      <c r="P252" s="67">
        <f>IF(N245,N257,IF(P245,P257,M252))</f>
        <v>0</v>
      </c>
      <c r="Q252" s="67"/>
      <c r="R252" s="67"/>
      <c r="S252" s="67">
        <f>IF(Q245,Q257,IF(S245,S257,P252))</f>
        <v>0</v>
      </c>
      <c r="T252" s="67"/>
      <c r="U252" s="67"/>
      <c r="V252" s="67">
        <f>IF(T245,T257,IF(V245,V257,S252))</f>
        <v>0</v>
      </c>
      <c r="W252" s="67"/>
      <c r="X252" s="67"/>
      <c r="Y252" s="67">
        <f>IF(W245,W257,IF(Y245,Y257,V252))</f>
        <v>0</v>
      </c>
      <c r="Z252" s="67"/>
      <c r="AA252" s="67"/>
      <c r="AB252" s="67">
        <f>IF(Z245,Z257,IF(AB245,AB257,Y252))</f>
        <v>0</v>
      </c>
      <c r="AC252" s="67"/>
      <c r="AD252" s="67"/>
      <c r="AE252" s="67">
        <f>IF(AC245,AC257,IF(AE245,AE257,AB252))</f>
        <v>0</v>
      </c>
      <c r="AF252" s="4"/>
      <c r="AG252" s="4"/>
      <c r="AJ252" s="4"/>
      <c r="AL252" s="4"/>
      <c r="AM252" s="4"/>
      <c r="AN252" s="4"/>
      <c r="AO252" s="4"/>
      <c r="AT252" s="63" t="str">
        <f>B252</f>
        <v>Team 10</v>
      </c>
      <c r="AU252" s="63">
        <f>AE252</f>
        <v>0</v>
      </c>
      <c r="AW252" s="66"/>
    </row>
    <row r="253" spans="1:49" s="63" customFormat="1" hidden="1" x14ac:dyDescent="0.2">
      <c r="A253" s="67">
        <v>5</v>
      </c>
      <c r="B253" s="67">
        <f>E186</f>
        <v>0</v>
      </c>
      <c r="C253" s="67" t="e">
        <f>VLOOKUP(B253,AU$3:AW$33,3,FALSE)</f>
        <v>#N/A</v>
      </c>
      <c r="D253" s="67" t="e">
        <f>IF(B246,B257,IF(D246,D257,C253))</f>
        <v>#N/A</v>
      </c>
      <c r="E253" s="67"/>
      <c r="F253" s="67"/>
      <c r="G253" s="67" t="e">
        <f>IF(E246,E257,IF(G246,G257,D253))</f>
        <v>#N/A</v>
      </c>
      <c r="H253" s="67"/>
      <c r="I253" s="67"/>
      <c r="J253" s="67" t="e">
        <f>IF(H246,H257,IF(J246,J257,G253))</f>
        <v>#N/A</v>
      </c>
      <c r="K253" s="67"/>
      <c r="L253" s="67"/>
      <c r="M253" s="67" t="e">
        <f>IF(K246,K257,IF(M246,M257,J253))</f>
        <v>#N/A</v>
      </c>
      <c r="N253" s="67"/>
      <c r="O253" s="67"/>
      <c r="P253" s="67" t="e">
        <f>IF(N246,N257,IF(P246,P257,M253))</f>
        <v>#N/A</v>
      </c>
      <c r="Q253" s="67"/>
      <c r="R253" s="67"/>
      <c r="S253" s="67" t="e">
        <f>IF(Q246,Q257,IF(S246,S257,P253))</f>
        <v>#N/A</v>
      </c>
      <c r="T253" s="67"/>
      <c r="U253" s="67"/>
      <c r="V253" s="67" t="e">
        <f>IF(T246,T257,IF(V246,V257,S253))</f>
        <v>#N/A</v>
      </c>
      <c r="W253" s="67"/>
      <c r="X253" s="67"/>
      <c r="Y253" s="67" t="e">
        <f>IF(W246,W257,IF(Y246,Y257,V253))</f>
        <v>#N/A</v>
      </c>
      <c r="Z253" s="67"/>
      <c r="AA253" s="67"/>
      <c r="AB253" s="67" t="e">
        <f>IF(Z246,Z257,IF(AB246,AB257,Y253))</f>
        <v>#N/A</v>
      </c>
      <c r="AC253" s="67"/>
      <c r="AD253" s="67"/>
      <c r="AE253" s="67" t="e">
        <f>IF(AC246,AC257,IF(AE246,AE257,AB253))</f>
        <v>#N/A</v>
      </c>
      <c r="AF253" s="4"/>
      <c r="AG253" s="4"/>
      <c r="AJ253" s="4"/>
      <c r="AL253" s="4"/>
      <c r="AM253" s="4"/>
      <c r="AN253" s="4"/>
      <c r="AO253" s="4"/>
      <c r="AT253" s="63">
        <f>B253</f>
        <v>0</v>
      </c>
      <c r="AU253" s="63" t="e">
        <f>AE253</f>
        <v>#N/A</v>
      </c>
      <c r="AW253" s="66"/>
    </row>
    <row r="254" spans="1:49" s="63" customFormat="1" hidden="1" x14ac:dyDescent="0.2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4"/>
      <c r="AG254" s="4"/>
      <c r="AJ254" s="4"/>
      <c r="AL254" s="4"/>
      <c r="AM254" s="4"/>
      <c r="AN254" s="4"/>
      <c r="AO254" s="4"/>
      <c r="AW254" s="66"/>
    </row>
    <row r="255" spans="1:49" s="63" customFormat="1" hidden="1" x14ac:dyDescent="0.2">
      <c r="A255" s="67" t="s">
        <v>116</v>
      </c>
      <c r="B255" s="67">
        <f>VLOOKUP(B194,$A249:$AE253,3,FALSE)</f>
        <v>1200</v>
      </c>
      <c r="C255" s="67">
        <v>1</v>
      </c>
      <c r="D255" s="67" t="e">
        <f>VLOOKUP(D194,$A249:$AE253,3,FALSE)</f>
        <v>#N/A</v>
      </c>
      <c r="E255" s="67">
        <f>VLOOKUP(E194,$A249:$AE253,4,FALSE)</f>
        <v>1251.7655011857189</v>
      </c>
      <c r="F255" s="67">
        <v>2</v>
      </c>
      <c r="G255" s="67" t="e">
        <f>VLOOKUP(G194,$A249:$AE253,4,FALSE)</f>
        <v>#N/A</v>
      </c>
      <c r="H255" s="67" t="e">
        <f>VLOOKUP(H194,$A249:$AE253,7,FALSE)</f>
        <v>#N/A</v>
      </c>
      <c r="I255" s="67">
        <v>3</v>
      </c>
      <c r="J255" s="67" t="e">
        <f>VLOOKUP(J194,$A249:$AE253,7,FALSE)</f>
        <v>#N/A</v>
      </c>
      <c r="K255" s="67" t="e">
        <f>VLOOKUP(K194,$A249:$AE253,10,FALSE)</f>
        <v>#N/A</v>
      </c>
      <c r="L255" s="67">
        <v>4</v>
      </c>
      <c r="M255" s="67" t="e">
        <f>VLOOKUP(M194,$A249:$AE253,10,FALSE)</f>
        <v>#N/A</v>
      </c>
      <c r="N255" s="67" t="e">
        <f>VLOOKUP(N194,$A249:$AE253,13,FALSE)</f>
        <v>#N/A</v>
      </c>
      <c r="O255" s="67">
        <v>5</v>
      </c>
      <c r="P255" s="67">
        <f>VLOOKUP(P194,$A249:$AE253,13,FALSE)</f>
        <v>0</v>
      </c>
      <c r="Q255" s="67" t="e">
        <f>VLOOKUP(Q194,$A249:$AE253,16,FALSE)</f>
        <v>#N/A</v>
      </c>
      <c r="R255" s="67">
        <v>6</v>
      </c>
      <c r="S255" s="67" t="e">
        <f>VLOOKUP(S194,$A249:$AE253,16,FALSE)</f>
        <v>#N/A</v>
      </c>
      <c r="T255" s="67" t="e">
        <f>VLOOKUP(T194,$A249:$AE253,19,FALSE)</f>
        <v>#N/A</v>
      </c>
      <c r="U255" s="67">
        <v>7</v>
      </c>
      <c r="V255" s="67" t="e">
        <f>VLOOKUP(V194,$A249:$AE253,19,FALSE)</f>
        <v>#N/A</v>
      </c>
      <c r="W255" s="67" t="e">
        <f>VLOOKUP(W194,$A249:$AE253,22,FALSE)</f>
        <v>#N/A</v>
      </c>
      <c r="X255" s="67">
        <v>8</v>
      </c>
      <c r="Y255" s="67" t="e">
        <f>VLOOKUP(Y194,$A249:$AE253,22,FALSE)</f>
        <v>#N/A</v>
      </c>
      <c r="Z255" s="67" t="e">
        <f>VLOOKUP(Z194,$A249:$AE253,25,FALSE)</f>
        <v>#N/A</v>
      </c>
      <c r="AA255" s="67">
        <v>9</v>
      </c>
      <c r="AB255" s="67" t="e">
        <f>VLOOKUP(AB194,$A249:$AE253,25,FALSE)</f>
        <v>#N/A</v>
      </c>
      <c r="AC255" s="67" t="e">
        <f>VLOOKUP(AC194,$A249:$AE253,28,FALSE)</f>
        <v>#N/A</v>
      </c>
      <c r="AD255" s="67">
        <v>10</v>
      </c>
      <c r="AE255" s="67" t="e">
        <f>VLOOKUP(AE194,$A249:$AE253,28,FALSE)</f>
        <v>#N/A</v>
      </c>
      <c r="AF255" s="4"/>
      <c r="AG255" s="80"/>
      <c r="AH255" s="80"/>
      <c r="AI255" s="80"/>
      <c r="AJ255" s="80"/>
      <c r="AK255" s="80"/>
      <c r="AL255" s="80"/>
      <c r="AM255" s="80"/>
      <c r="AN255" s="81"/>
      <c r="AO255" s="81"/>
      <c r="AP255" s="81"/>
      <c r="AQ255" s="81"/>
      <c r="AW255" s="66"/>
    </row>
    <row r="256" spans="1:49" s="72" customFormat="1" hidden="1" x14ac:dyDescent="0.2">
      <c r="A256" s="68" t="s">
        <v>117</v>
      </c>
      <c r="B256" s="68" t="e">
        <f>1/(1+(10^-((B255-D255)/400)))*(B206+D206)</f>
        <v>#N/A</v>
      </c>
      <c r="C256" s="68"/>
      <c r="D256" s="68" t="e">
        <f>1/(1+(10^-((D255-B255)/400)))*(B206+D206)</f>
        <v>#N/A</v>
      </c>
      <c r="E256" s="68" t="e">
        <f>1/(1+(10^-((E255-G255)/400)))*(E206+G206)</f>
        <v>#N/A</v>
      </c>
      <c r="F256" s="68"/>
      <c r="G256" s="68" t="e">
        <f>1/(1+(10^-((G255-E255)/400)))*(E206+G206)</f>
        <v>#N/A</v>
      </c>
      <c r="H256" s="68" t="e">
        <f>1/(1+(10^-((H255-J255)/400)))*(H206+J206)</f>
        <v>#N/A</v>
      </c>
      <c r="I256" s="68"/>
      <c r="J256" s="68" t="e">
        <f>1/(1+(10^-((J255-H255)/400)))*(H206+J206)</f>
        <v>#N/A</v>
      </c>
      <c r="K256" s="68" t="e">
        <f>1/(1+(10^-((K255-M255)/400)))*(K206+M206)</f>
        <v>#N/A</v>
      </c>
      <c r="L256" s="68"/>
      <c r="M256" s="68" t="e">
        <f>1/(1+(10^-((M255-K255)/400)))*(K206+M206)</f>
        <v>#N/A</v>
      </c>
      <c r="N256" s="68" t="e">
        <f>1/(1+(10^-((N255-P255)/400)))*(N206+P206)</f>
        <v>#N/A</v>
      </c>
      <c r="O256" s="68"/>
      <c r="P256" s="68" t="e">
        <f>1/(1+(10^-((P255-N255)/400)))*(N206+P206)</f>
        <v>#N/A</v>
      </c>
      <c r="Q256" s="68" t="e">
        <f>1/(1+(10^-((Q255-S255)/400)))*(Q206+S206)</f>
        <v>#N/A</v>
      </c>
      <c r="R256" s="68"/>
      <c r="S256" s="68" t="e">
        <f>1/(1+(10^-((S255-Q255)/400)))*(Q206+S206)</f>
        <v>#N/A</v>
      </c>
      <c r="T256" s="68" t="e">
        <f>1/(1+(10^-((T255-V255)/400)))*(T206+V206)</f>
        <v>#N/A</v>
      </c>
      <c r="U256" s="68"/>
      <c r="V256" s="68" t="e">
        <f>1/(1+(10^-((V255-T255)/400)))*(T206+V206)</f>
        <v>#N/A</v>
      </c>
      <c r="W256" s="68" t="e">
        <f>1/(1+(10^-((W255-Y255)/400)))*(W206+Y206)</f>
        <v>#N/A</v>
      </c>
      <c r="X256" s="68"/>
      <c r="Y256" s="68" t="e">
        <f>1/(1+(10^-((Y255-W255)/400)))*(W206+Y206)</f>
        <v>#N/A</v>
      </c>
      <c r="Z256" s="68" t="e">
        <f>1/(1+(10^-((Z255-AB255)/400)))*(Z206+AB206)</f>
        <v>#N/A</v>
      </c>
      <c r="AA256" s="68"/>
      <c r="AB256" s="68" t="e">
        <f>1/(1+(10^-((AB255-Z255)/400)))*(Z206+AB206)</f>
        <v>#N/A</v>
      </c>
      <c r="AC256" s="68" t="e">
        <f>1/(1+(10^-((AC255-AE255)/400)))*(AC206+AE206)</f>
        <v>#N/A</v>
      </c>
      <c r="AD256" s="68"/>
      <c r="AE256" s="68" t="e">
        <f>1/(1+(10^-((AE255-AC255)/400)))*(AC206+AE206)</f>
        <v>#N/A</v>
      </c>
      <c r="AF256" s="69"/>
      <c r="AG256" s="70"/>
      <c r="AH256" s="70"/>
      <c r="AI256" s="70"/>
      <c r="AJ256" s="70"/>
      <c r="AK256" s="70"/>
      <c r="AL256" s="70"/>
      <c r="AM256" s="70"/>
      <c r="AN256" s="71"/>
      <c r="AO256" s="71"/>
      <c r="AP256" s="71"/>
      <c r="AQ256" s="71"/>
      <c r="AW256" s="73"/>
    </row>
    <row r="257" spans="1:49" s="78" customFormat="1" hidden="1" x14ac:dyDescent="0.2">
      <c r="A257" s="74" t="s">
        <v>118</v>
      </c>
      <c r="B257" s="74" t="e">
        <f>B255+(B206-B256)*$BA$1</f>
        <v>#N/A</v>
      </c>
      <c r="C257" s="74"/>
      <c r="D257" s="74" t="e">
        <f>D255+(D206-D256)*$BA$1</f>
        <v>#N/A</v>
      </c>
      <c r="E257" s="74" t="e">
        <f>E255+(E206-E256)*$BA$1</f>
        <v>#N/A</v>
      </c>
      <c r="F257" s="74"/>
      <c r="G257" s="74" t="e">
        <f>G255+(G206-G256)*$BA$1</f>
        <v>#N/A</v>
      </c>
      <c r="H257" s="74" t="e">
        <f>H255+(H206-H256)*$BA$1</f>
        <v>#N/A</v>
      </c>
      <c r="I257" s="74"/>
      <c r="J257" s="74" t="e">
        <f>J255+(J206-J256)*$BA$1</f>
        <v>#N/A</v>
      </c>
      <c r="K257" s="74" t="e">
        <f>K255+(K206-K256)*$BA$1</f>
        <v>#N/A</v>
      </c>
      <c r="L257" s="74"/>
      <c r="M257" s="74" t="e">
        <f>M255+(M206-M256)*$BA$1</f>
        <v>#N/A</v>
      </c>
      <c r="N257" s="74" t="e">
        <f>N255+(N206-N256)*$BA$1</f>
        <v>#N/A</v>
      </c>
      <c r="O257" s="74"/>
      <c r="P257" s="74" t="e">
        <f>P255+(P206-P256)*$BA$1</f>
        <v>#N/A</v>
      </c>
      <c r="Q257" s="74" t="e">
        <f>Q255+(Q206-Q256)*$BA$1</f>
        <v>#N/A</v>
      </c>
      <c r="R257" s="74"/>
      <c r="S257" s="74" t="e">
        <f>S255+(S206-S256)*$BA$1</f>
        <v>#N/A</v>
      </c>
      <c r="T257" s="74" t="e">
        <f>T255+(T206-T256)*$BA$1</f>
        <v>#N/A</v>
      </c>
      <c r="U257" s="74"/>
      <c r="V257" s="74" t="e">
        <f>V255+(V206-V256)*$BA$1</f>
        <v>#N/A</v>
      </c>
      <c r="W257" s="74" t="e">
        <f>W255+(W206-W256)*$BA$1</f>
        <v>#N/A</v>
      </c>
      <c r="X257" s="74"/>
      <c r="Y257" s="74" t="e">
        <f>Y255+(Y206-Y256)*$BA$1</f>
        <v>#N/A</v>
      </c>
      <c r="Z257" s="74" t="e">
        <f>Z255+(Z206-Z256)*$BA$1</f>
        <v>#N/A</v>
      </c>
      <c r="AA257" s="74"/>
      <c r="AB257" s="74" t="e">
        <f>AB255+(AB206-AB256)*$BA$1</f>
        <v>#N/A</v>
      </c>
      <c r="AC257" s="74" t="e">
        <f>AC255+(AC206-AC256)*$BA$1</f>
        <v>#N/A</v>
      </c>
      <c r="AD257" s="74"/>
      <c r="AE257" s="74" t="e">
        <f>AE255+(AE206-AE256)*$BA$1</f>
        <v>#N/A</v>
      </c>
      <c r="AF257" s="75"/>
      <c r="AG257" s="76"/>
      <c r="AH257" s="76"/>
      <c r="AI257" s="76"/>
      <c r="AJ257" s="76"/>
      <c r="AK257" s="76"/>
      <c r="AL257" s="76"/>
      <c r="AM257" s="76"/>
      <c r="AN257" s="77"/>
      <c r="AO257" s="77"/>
      <c r="AP257" s="77"/>
      <c r="AQ257" s="77"/>
      <c r="AW257" s="79"/>
    </row>
    <row r="258" spans="1:49" s="78" customFormat="1" hidden="1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5"/>
      <c r="AG258" s="76"/>
      <c r="AH258" s="76"/>
      <c r="AI258" s="76"/>
      <c r="AJ258" s="76"/>
      <c r="AK258" s="76"/>
      <c r="AL258" s="76"/>
      <c r="AM258" s="76"/>
      <c r="AN258" s="77"/>
      <c r="AO258" s="77"/>
      <c r="AP258" s="77"/>
      <c r="AQ258" s="77"/>
      <c r="AW258" s="79"/>
    </row>
    <row r="259" spans="1:49" s="63" customFormat="1" x14ac:dyDescent="0.2">
      <c r="A259" s="329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329"/>
      <c r="Q259" s="329"/>
      <c r="R259" s="329"/>
      <c r="S259" s="329"/>
      <c r="T259" s="329"/>
      <c r="U259" s="329"/>
      <c r="V259" s="329"/>
      <c r="W259" s="329"/>
      <c r="X259" s="329"/>
      <c r="Y259" s="329"/>
      <c r="Z259" s="329"/>
      <c r="AA259" s="329"/>
      <c r="AB259" s="329"/>
      <c r="AC259" s="329"/>
      <c r="AD259" s="329"/>
      <c r="AE259" s="329"/>
      <c r="AF259" s="329"/>
      <c r="AG259" s="329"/>
      <c r="AH259" s="329"/>
      <c r="AI259" s="329"/>
      <c r="AJ259" s="329"/>
      <c r="AK259" s="329"/>
      <c r="AL259" s="329"/>
      <c r="AM259" s="329"/>
      <c r="AN259" s="330"/>
      <c r="AO259" s="330"/>
      <c r="AP259" s="330"/>
      <c r="AQ259" s="330"/>
    </row>
    <row r="260" spans="1:49" s="63" customFormat="1" x14ac:dyDescent="0.2">
      <c r="A260" s="331"/>
      <c r="B260" s="331"/>
      <c r="C260" s="331"/>
      <c r="D260" s="331"/>
      <c r="E260" s="331"/>
      <c r="F260" s="331"/>
      <c r="G260" s="331"/>
      <c r="H260" s="331"/>
      <c r="I260" s="331"/>
      <c r="J260" s="331"/>
      <c r="K260" s="331"/>
      <c r="L260" s="331"/>
      <c r="M260" s="331"/>
      <c r="N260" s="331"/>
      <c r="O260" s="331"/>
      <c r="P260" s="331"/>
      <c r="Q260" s="331"/>
      <c r="R260" s="331"/>
      <c r="S260" s="331"/>
      <c r="T260" s="331"/>
      <c r="U260" s="331"/>
      <c r="V260" s="331"/>
      <c r="W260" s="331"/>
      <c r="X260" s="331"/>
      <c r="Y260" s="331"/>
      <c r="Z260" s="331"/>
      <c r="AA260" s="331"/>
      <c r="AB260" s="331"/>
      <c r="AC260" s="331"/>
      <c r="AD260" s="331"/>
      <c r="AE260" s="331"/>
      <c r="AF260" s="331"/>
      <c r="AG260" s="331"/>
      <c r="AH260" s="331"/>
      <c r="AI260" s="331"/>
      <c r="AJ260" s="331"/>
      <c r="AK260" s="331"/>
      <c r="AL260" s="331"/>
      <c r="AM260" s="331"/>
      <c r="AN260" s="331"/>
      <c r="AO260" s="331"/>
      <c r="AP260" s="331"/>
      <c r="AQ260" s="331"/>
      <c r="AT260" s="4"/>
      <c r="AU260" s="4"/>
      <c r="AV260" s="4"/>
    </row>
    <row r="261" spans="1:49" ht="21" thickBot="1" x14ac:dyDescent="0.35">
      <c r="A261" s="345" t="s">
        <v>120</v>
      </c>
      <c r="B261" s="345"/>
      <c r="C261" s="345"/>
      <c r="D261" s="345"/>
      <c r="E261" s="345"/>
      <c r="F261" s="345"/>
      <c r="G261" s="345"/>
      <c r="H261" s="345"/>
      <c r="I261" s="345"/>
      <c r="J261" s="345"/>
      <c r="K261" s="345"/>
      <c r="L261" s="345"/>
      <c r="M261" s="345"/>
      <c r="N261" s="345"/>
      <c r="O261" s="345"/>
      <c r="P261" s="345"/>
      <c r="Q261" s="345"/>
      <c r="R261" s="345"/>
      <c r="S261" s="345"/>
      <c r="T261" s="345"/>
      <c r="U261" s="345"/>
      <c r="V261" s="345"/>
      <c r="W261" s="345"/>
      <c r="X261" s="345"/>
      <c r="Y261" s="345"/>
      <c r="Z261" s="345"/>
      <c r="AA261" s="345"/>
      <c r="AB261" s="345"/>
      <c r="AC261" s="345"/>
      <c r="AD261" s="345"/>
      <c r="AE261" s="345"/>
      <c r="AF261" s="345"/>
      <c r="AG261" s="345"/>
      <c r="AH261" s="345"/>
      <c r="AI261" s="345"/>
      <c r="AJ261" s="345"/>
      <c r="AK261" s="345"/>
      <c r="AL261" s="345"/>
      <c r="AM261" s="345"/>
      <c r="AN261" s="345"/>
      <c r="AO261" s="345"/>
      <c r="AP261" s="345"/>
      <c r="AQ261" s="345"/>
    </row>
    <row r="262" spans="1:49" ht="13.5" thickBot="1" x14ac:dyDescent="0.25">
      <c r="A262" s="346" t="s">
        <v>121</v>
      </c>
      <c r="B262" s="348" t="s">
        <v>122</v>
      </c>
      <c r="C262" s="349"/>
      <c r="D262" s="349"/>
      <c r="E262" s="349"/>
      <c r="F262" s="349"/>
      <c r="G262" s="349"/>
      <c r="H262" s="349"/>
      <c r="I262" s="349"/>
      <c r="J262" s="349"/>
      <c r="K262" s="350"/>
      <c r="L262" s="348" t="s">
        <v>123</v>
      </c>
      <c r="M262" s="349"/>
      <c r="N262" s="349"/>
      <c r="O262" s="349"/>
      <c r="P262" s="349"/>
      <c r="Q262" s="349"/>
      <c r="R262" s="349"/>
      <c r="S262" s="349"/>
      <c r="T262" s="349"/>
      <c r="U262" s="350"/>
      <c r="V262" s="348" t="s">
        <v>124</v>
      </c>
      <c r="W262" s="349"/>
      <c r="X262" s="349"/>
      <c r="Y262" s="349"/>
      <c r="Z262" s="349"/>
      <c r="AA262" s="349"/>
      <c r="AB262" s="349"/>
      <c r="AC262" s="349"/>
      <c r="AD262" s="349"/>
      <c r="AE262" s="350"/>
      <c r="AF262" s="351" t="s">
        <v>125</v>
      </c>
      <c r="AG262" s="352"/>
      <c r="AH262" s="352"/>
      <c r="AI262" s="352"/>
      <c r="AJ262" s="352"/>
      <c r="AK262" s="352"/>
      <c r="AL262" s="352"/>
      <c r="AM262" s="352"/>
      <c r="AN262" s="352"/>
      <c r="AO262" s="353"/>
    </row>
    <row r="263" spans="1:49" ht="13.5" thickBot="1" x14ac:dyDescent="0.25">
      <c r="A263" s="347"/>
      <c r="B263" s="354" t="s">
        <v>10</v>
      </c>
      <c r="C263" s="355"/>
      <c r="D263" s="355"/>
      <c r="E263" s="355"/>
      <c r="F263" s="355"/>
      <c r="G263" s="356"/>
      <c r="H263" s="354" t="s">
        <v>126</v>
      </c>
      <c r="I263" s="355"/>
      <c r="J263" s="355"/>
      <c r="K263" s="356"/>
      <c r="L263" s="354" t="s">
        <v>10</v>
      </c>
      <c r="M263" s="355"/>
      <c r="N263" s="355"/>
      <c r="O263" s="355"/>
      <c r="P263" s="355"/>
      <c r="Q263" s="356"/>
      <c r="R263" s="354" t="s">
        <v>126</v>
      </c>
      <c r="S263" s="355"/>
      <c r="T263" s="355"/>
      <c r="U263" s="356"/>
      <c r="V263" s="354" t="s">
        <v>10</v>
      </c>
      <c r="W263" s="355"/>
      <c r="X263" s="355"/>
      <c r="Y263" s="355"/>
      <c r="Z263" s="355"/>
      <c r="AA263" s="356"/>
      <c r="AB263" s="354" t="s">
        <v>126</v>
      </c>
      <c r="AC263" s="355"/>
      <c r="AD263" s="355"/>
      <c r="AE263" s="356"/>
      <c r="AF263" s="351" t="s">
        <v>10</v>
      </c>
      <c r="AG263" s="352"/>
      <c r="AH263" s="352"/>
      <c r="AI263" s="352"/>
      <c r="AJ263" s="352"/>
      <c r="AK263" s="353"/>
      <c r="AL263" s="351" t="s">
        <v>126</v>
      </c>
      <c r="AM263" s="352"/>
      <c r="AN263" s="352"/>
      <c r="AO263" s="353"/>
    </row>
    <row r="264" spans="1:49" x14ac:dyDescent="0.2">
      <c r="A264" s="82" t="s">
        <v>127</v>
      </c>
      <c r="B264" s="357" t="str">
        <f>IF($AF$8=1,$E$8,IF($AF$10=1,$E$10,IF($AF$12=1,$E$12,IF($AF$14=1,$E$14,IF($AF$16=1,$E$16,"1st Place "&amp;$A264)))))</f>
        <v>Foothills 13 Caitlin</v>
      </c>
      <c r="C264" s="358"/>
      <c r="D264" s="358"/>
      <c r="E264" s="358"/>
      <c r="F264" s="358"/>
      <c r="G264" s="358"/>
      <c r="H264" s="359" t="str">
        <f>IF($AF$8=1,$E$9,IF($AF$10=1,$E$11,IF($AF$12=1,$E$13,IF($AF$14=1,$E$15,IF($AF$16=1,$E$17,"1st Place "&amp;$A264)))))</f>
        <v>fj3footh2pm</v>
      </c>
      <c r="I264" s="359"/>
      <c r="J264" s="359"/>
      <c r="K264" s="360"/>
      <c r="L264" s="361" t="str">
        <f>IF($AF$8=2,$E$8,IF($AF$10=2,$E$10,IF($AF$12=2,$E$12,IF($AF$14=2,$E$14,IF($AF$16=2,$E$16,"2nd Place "&amp;$A264)))))</f>
        <v>Excell Dev. 11 2017</v>
      </c>
      <c r="M264" s="362"/>
      <c r="N264" s="362"/>
      <c r="O264" s="362"/>
      <c r="P264" s="362"/>
      <c r="Q264" s="362"/>
      <c r="R264" s="363" t="str">
        <f>IF($AF$8=2,$E$9,IF($AF$10=2,$E$11,IF($AF$12=2,$E$13,IF($AF$14=2,$E$15,IF($AF$16=2,$E$17,"2nd Place "&amp;$A264)))))</f>
        <v>fj1excel3pm</v>
      </c>
      <c r="S264" s="363"/>
      <c r="T264" s="363"/>
      <c r="U264" s="364"/>
      <c r="V264" s="365" t="str">
        <f>IF($AF$8=3,$E$8,IF($AF$10=3,$E$10,IF($AF$12=3,$E$12,IF($AF$14=3,$E$14,IF($AF$16=3,$E$16,"3rd Place "&amp;$A264)))))</f>
        <v>CSNS 12-1</v>
      </c>
      <c r="W264" s="366"/>
      <c r="X264" s="366"/>
      <c r="Y264" s="366"/>
      <c r="Z264" s="366"/>
      <c r="AA264" s="366"/>
      <c r="AB264" s="367" t="str">
        <f>IF($AF$8=3,$E$9,IF($AF$10=3,$E$11,IF($AF$12=3,$E$13,IF($AF$14=3,$E$15,IF($AF$16=3,$E$17,"3rd Place "&amp;$A264)))))</f>
        <v>fj2csout1pm</v>
      </c>
      <c r="AC264" s="367"/>
      <c r="AD264" s="367"/>
      <c r="AE264" s="368"/>
      <c r="AF264" s="385" t="str">
        <f>IF($AF$8=4,$E$8,IF($AF$10=4,$E$10,IF($AF$12=4,$E$12,IF($AF$14=4,$E$14,IF($AF$16=4,$E$16,"4th Place "&amp;$A264)))))</f>
        <v>4th Place Court 1</v>
      </c>
      <c r="AG264" s="386"/>
      <c r="AH264" s="386"/>
      <c r="AI264" s="386"/>
      <c r="AJ264" s="386"/>
      <c r="AK264" s="386"/>
      <c r="AL264" s="387" t="str">
        <f>IF($AF$8=4,$E$9,IF($AF$10=4,$E$11,IF($AF$12=4,$E$13,IF($AF$14=4,$E$15,IF($AF$16=4,$E$17,"4th Place "&amp;$A264)))))</f>
        <v>4th Place Court 1</v>
      </c>
      <c r="AM264" s="387"/>
      <c r="AN264" s="387"/>
      <c r="AO264" s="388"/>
    </row>
    <row r="265" spans="1:49" x14ac:dyDescent="0.2">
      <c r="A265" s="82" t="s">
        <v>128</v>
      </c>
      <c r="B265" s="389" t="str">
        <f>IF($AF$93=1,$E$93,IF($AF$95=1,$E$95,IF($AF$97=1,$E$97,IF($AF$99=1,$E$99,IF($AF$101=1,$E$101,"1st Place "&amp;$A265)))))</f>
        <v>Kidz Power Intense col</v>
      </c>
      <c r="C265" s="390"/>
      <c r="D265" s="390"/>
      <c r="E265" s="390"/>
      <c r="F265" s="390"/>
      <c r="G265" s="390"/>
      <c r="H265" s="391" t="str">
        <f>IF($AF$93=1,$E$94,IF($AF$95=1,$E$96,IF($AF$97=1,$E$98,IF($AF$99=1,$E$100,IF($AF$101=1,$E$102,"1st Place "&amp;$A265)))))</f>
        <v>fj2inten4pm</v>
      </c>
      <c r="I265" s="391"/>
      <c r="J265" s="391"/>
      <c r="K265" s="392"/>
      <c r="L265" s="393" t="str">
        <f>IF($AF$93=2,$E$93,IF($AF$95=2,$E$95,IF($AF$97=2,$E$97,IF($AF$99=2,$E$99,IF($AF$101=2,$E$101,"2nd Place "&amp;$A265)))))</f>
        <v>Foothills 12 Rachel</v>
      </c>
      <c r="M265" s="394"/>
      <c r="N265" s="394"/>
      <c r="O265" s="394"/>
      <c r="P265" s="394"/>
      <c r="Q265" s="394"/>
      <c r="R265" s="395" t="str">
        <f>IF($AF$93=2,$E$94,IF($AF$95=2,$E$96,IF($AF$97=2,$E$98,IF($AF$99=2,$E$100,IF($AF$101=2,$E$102,"2nd Place "&amp;$A265)))))</f>
        <v>fj2footh5pm</v>
      </c>
      <c r="S265" s="395"/>
      <c r="T265" s="395"/>
      <c r="U265" s="396"/>
      <c r="V265" s="397" t="str">
        <f>IF($AF$93=3,$E$93,IF($AF$95=3,$E$95,IF($AF$97=3,$E$97,IF($AF$99=3,$E$99,IF($AF$101=3,$E$101,"3rd Place "&amp;$A265)))))</f>
        <v>columbia sc starlings 13</v>
      </c>
      <c r="W265" s="398"/>
      <c r="X265" s="398"/>
      <c r="Y265" s="398"/>
      <c r="Z265" s="398"/>
      <c r="AA265" s="398"/>
      <c r="AB265" s="399" t="str">
        <f>IF($AF$93=3,$E$94,IF($AF$95=3,$E$96,IF($AF$97=3,$E$98,IF($AF$99=3,$E$100,IF($AF$101=3,$E$102,"3rd Place "&amp;$A265)))))</f>
        <v>fj3starl1pm</v>
      </c>
      <c r="AC265" s="399"/>
      <c r="AD265" s="399"/>
      <c r="AE265" s="400"/>
      <c r="AF265" s="401" t="str">
        <f>IF($AF$93=4,$E$93,IF($AF$95=4,$E$95,IF($AF$97=4,$E$97,IF($AF$99=4,$E$99,IF($AF$101=4,$E$101,"4th Place "&amp;$A265)))))</f>
        <v>4th Place Court 2</v>
      </c>
      <c r="AG265" s="402"/>
      <c r="AH265" s="402"/>
      <c r="AI265" s="402"/>
      <c r="AJ265" s="402"/>
      <c r="AK265" s="402"/>
      <c r="AL265" s="403" t="str">
        <f>IF($AF$93=4,$E$94,IF($AF$95=4,$E$96,IF($AF$97=4,$E$98,IF($AF$99=4,$E$100,IF($AF$101=4,$E$102,"4th Place "&amp;$A265)))))</f>
        <v>4th Place Court 2</v>
      </c>
      <c r="AM265" s="403"/>
      <c r="AN265" s="403"/>
      <c r="AO265" s="404"/>
    </row>
    <row r="266" spans="1:49" ht="13.5" thickBot="1" x14ac:dyDescent="0.25">
      <c r="A266" s="83" t="s">
        <v>1026</v>
      </c>
      <c r="B266" s="373">
        <f>IF($AF$178=1,$E$178,IF($AF$180=1,$E$180,IF($AF$182=1,$E$182,IF($AF$184=1,$E$184,IF($AF$186=1,$E$186,"1st Place "&amp;$A266)))))</f>
        <v>0</v>
      </c>
      <c r="C266" s="374"/>
      <c r="D266" s="374"/>
      <c r="E266" s="374"/>
      <c r="F266" s="374"/>
      <c r="G266" s="374"/>
      <c r="H266" s="375">
        <f>IF($AF$178=1,$E$179,IF($AF$180=1,$E$181,IF($AF$182=1,$E$183,IF($AF$184=1,$E$185,IF($AF$186=1,$E$187,"1st Place "&amp;$A266)))))</f>
        <v>0</v>
      </c>
      <c r="I266" s="375"/>
      <c r="J266" s="375"/>
      <c r="K266" s="376"/>
      <c r="L266" s="377" t="str">
        <f>IF($AF$178=2,$E$178,IF($AF$180=2,$E$180,IF($AF$182=2,$E$182,IF($AF$184=2,$E$184,IF($AF$186=2,$E$186,"2nd Place "&amp;$A266)))))</f>
        <v>columbia sc starlings 13</v>
      </c>
      <c r="M266" s="378"/>
      <c r="N266" s="378"/>
      <c r="O266" s="378"/>
      <c r="P266" s="378"/>
      <c r="Q266" s="378"/>
      <c r="R266" s="379" t="str">
        <f>IF($AF$178=2,$E$179,IF($AF$180=2,$E$181,IF($AF$182=2,$E$183,IF($AF$184=2,$E$185,IF($AF$186=2,$E$187,"2nd Place "&amp;$A266)))))</f>
        <v>fj3starl1pm</v>
      </c>
      <c r="S266" s="379"/>
      <c r="T266" s="379"/>
      <c r="U266" s="380"/>
      <c r="V266" s="381" t="str">
        <f>IF($AF$178=3,$E$178,IF($AF$180=3,$E$180,IF($AF$182=3,$E$182,IF($AF$184=3,$E$184,IF($AF$186=3,$E$186,"3rd Place "&amp;$A266)))))</f>
        <v>Foothills 13 Caitlin</v>
      </c>
      <c r="W266" s="382"/>
      <c r="X266" s="382"/>
      <c r="Y266" s="382"/>
      <c r="Z266" s="382"/>
      <c r="AA266" s="382"/>
      <c r="AB266" s="383" t="str">
        <f>IF($AF$178=3,$E$179,IF($AF$180=3,$E$181,IF($AF$182=3,$E$183,IF($AF$184=3,$E$185,IF($AF$186=3,$E$187,"3rd Place "&amp;$A266)))))</f>
        <v>fj3footh2pm</v>
      </c>
      <c r="AC266" s="383"/>
      <c r="AD266" s="383"/>
      <c r="AE266" s="384"/>
      <c r="AF266" s="369" t="str">
        <f>IF($AF$178=4,$E$178,IF($AF$180=4,$E$180,IF($AF$182=4,$E$182,IF($AF$184=4,$E$184,IF($AF$186=4,$E$186,"4th Place "&amp;$A266)))))</f>
        <v>4th Place Court 3</v>
      </c>
      <c r="AG266" s="370"/>
      <c r="AH266" s="370"/>
      <c r="AI266" s="370"/>
      <c r="AJ266" s="370"/>
      <c r="AK266" s="370"/>
      <c r="AL266" s="371" t="str">
        <f>IF($AF$178=4,$E$179,IF($AF$180=4,$E$181,IF($AF$182=4,$E$183,IF($AF$184=4,$E$185,IF($AF$186=4,$E$187,"4th Place "&amp;$A266)))))</f>
        <v>4th Place Court 3</v>
      </c>
      <c r="AM266" s="371"/>
      <c r="AN266" s="371"/>
      <c r="AO266" s="372"/>
    </row>
  </sheetData>
  <sheetProtection formatCells="0" selectLockedCells="1"/>
  <mergeCells count="455">
    <mergeCell ref="B264:G264"/>
    <mergeCell ref="H264:K264"/>
    <mergeCell ref="L264:Q264"/>
    <mergeCell ref="R264:U264"/>
    <mergeCell ref="V264:AA264"/>
    <mergeCell ref="AB264:AE264"/>
    <mergeCell ref="AF266:AK266"/>
    <mergeCell ref="AL266:AO266"/>
    <mergeCell ref="B266:G266"/>
    <mergeCell ref="H266:K266"/>
    <mergeCell ref="L266:Q266"/>
    <mergeCell ref="R266:U266"/>
    <mergeCell ref="V266:AA266"/>
    <mergeCell ref="AB266:AE266"/>
    <mergeCell ref="AF264:AK264"/>
    <mergeCell ref="AL264:AO264"/>
    <mergeCell ref="B265:G265"/>
    <mergeCell ref="H265:K265"/>
    <mergeCell ref="L265:Q265"/>
    <mergeCell ref="R265:U265"/>
    <mergeCell ref="V265:AA265"/>
    <mergeCell ref="AB265:AE265"/>
    <mergeCell ref="AF265:AK265"/>
    <mergeCell ref="AL265:AO265"/>
    <mergeCell ref="A261:AQ261"/>
    <mergeCell ref="A262:A263"/>
    <mergeCell ref="B262:K262"/>
    <mergeCell ref="L262:U262"/>
    <mergeCell ref="V262:AE262"/>
    <mergeCell ref="AF262:AO262"/>
    <mergeCell ref="B263:G263"/>
    <mergeCell ref="H263:K263"/>
    <mergeCell ref="L263:Q263"/>
    <mergeCell ref="R263:U263"/>
    <mergeCell ref="V263:AA263"/>
    <mergeCell ref="AB263:AE263"/>
    <mergeCell ref="AF263:AK263"/>
    <mergeCell ref="AL263:AO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Z23:AB23"/>
    <mergeCell ref="AC23:AE23"/>
    <mergeCell ref="AT23:AV24"/>
    <mergeCell ref="AG57:AK57"/>
    <mergeCell ref="A89:AM89"/>
    <mergeCell ref="AN89:AQ89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V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93 A178 A8">
    <cfRule type="expression" dxfId="6015" priority="337" stopIfTrue="1">
      <formula>IF(AK9&gt;0,0,1)</formula>
    </cfRule>
  </conditionalFormatting>
  <conditionalFormatting sqref="A95:A96 A180:A181 A10:A11">
    <cfRule type="expression" dxfId="6014" priority="336" stopIfTrue="1">
      <formula>IF(AK9&gt;1,0,1)</formula>
    </cfRule>
  </conditionalFormatting>
  <conditionalFormatting sqref="A97:A98 A182:A183 A12:A13">
    <cfRule type="expression" dxfId="6013" priority="335" stopIfTrue="1">
      <formula>IF(AK9&gt;2,0,1)</formula>
    </cfRule>
  </conditionalFormatting>
  <conditionalFormatting sqref="A99:A100 A184:A185 A14:A15">
    <cfRule type="expression" dxfId="6012" priority="334" stopIfTrue="1">
      <formula>IF(AK9&gt;3,0,1)</formula>
    </cfRule>
  </conditionalFormatting>
  <conditionalFormatting sqref="A101:A102 A186:A187 A16:A17">
    <cfRule type="expression" dxfId="6011" priority="333" stopIfTrue="1">
      <formula>IF(AK9&gt;4,0,1)</formula>
    </cfRule>
  </conditionalFormatting>
  <conditionalFormatting sqref="B8 B178 B93">
    <cfRule type="expression" dxfId="6010" priority="332" stopIfTrue="1">
      <formula>IF(AK9&gt;0,0,1)</formula>
    </cfRule>
  </conditionalFormatting>
  <conditionalFormatting sqref="B9 B179 B94">
    <cfRule type="expression" dxfId="6009" priority="331" stopIfTrue="1">
      <formula>IF(AK9&gt;0,0,1)</formula>
    </cfRule>
  </conditionalFormatting>
  <conditionalFormatting sqref="B10 B180 B95">
    <cfRule type="expression" dxfId="6008" priority="330" stopIfTrue="1">
      <formula>IF(AK9&gt;1,0,1)</formula>
    </cfRule>
  </conditionalFormatting>
  <conditionalFormatting sqref="B11:D11 B181:D181 B96:D96">
    <cfRule type="expression" dxfId="6007" priority="329" stopIfTrue="1">
      <formula>IF(AK9&gt;1,0,1)</formula>
    </cfRule>
  </conditionalFormatting>
  <conditionalFormatting sqref="B12:D12 B182:D182 B97:D97">
    <cfRule type="expression" dxfId="6006" priority="328" stopIfTrue="1">
      <formula>IF(AK9&gt;2,0,1)</formula>
    </cfRule>
  </conditionalFormatting>
  <conditionalFormatting sqref="B13:D13 B183:D183 B98:D98">
    <cfRule type="expression" dxfId="6005" priority="327" stopIfTrue="1">
      <formula>IF(AK9&gt;2,0,1)</formula>
    </cfRule>
  </conditionalFormatting>
  <conditionalFormatting sqref="B14:D14 B184:D184 B99:D99">
    <cfRule type="expression" dxfId="6004" priority="326" stopIfTrue="1">
      <formula>IF(AK9&gt;3,0,1)</formula>
    </cfRule>
  </conditionalFormatting>
  <conditionalFormatting sqref="B15:D15 B185:D185 B100:D100">
    <cfRule type="expression" dxfId="6003" priority="325" stopIfTrue="1">
      <formula>IF(AK9&gt;3,0,1)</formula>
    </cfRule>
  </conditionalFormatting>
  <conditionalFormatting sqref="B16:D16 B186:D186 B101:D101">
    <cfRule type="expression" dxfId="6002" priority="324" stopIfTrue="1">
      <formula>IF(AK9&gt;4,0,1)</formula>
    </cfRule>
  </conditionalFormatting>
  <conditionalFormatting sqref="B17:D17 B187:D187 B102:D102">
    <cfRule type="expression" dxfId="6001" priority="323" stopIfTrue="1">
      <formula>IF(AK9&gt;4,0,1)</formula>
    </cfRule>
  </conditionalFormatting>
  <conditionalFormatting sqref="E178">
    <cfRule type="expression" dxfId="6000" priority="322" stopIfTrue="1">
      <formula>IF(AK179&gt;0,0,1)</formula>
    </cfRule>
  </conditionalFormatting>
  <conditionalFormatting sqref="E179">
    <cfRule type="expression" dxfId="5999" priority="321" stopIfTrue="1">
      <formula>IF(AK179&gt;0,0,1)</formula>
    </cfRule>
  </conditionalFormatting>
  <conditionalFormatting sqref="E180">
    <cfRule type="expression" dxfId="5998" priority="320" stopIfTrue="1">
      <formula>IF(AK179&gt;1,0,1)</formula>
    </cfRule>
  </conditionalFormatting>
  <conditionalFormatting sqref="E181">
    <cfRule type="expression" dxfId="5997" priority="319" stopIfTrue="1">
      <formula>IF(AK179&gt;1,0,1)</formula>
    </cfRule>
  </conditionalFormatting>
  <conditionalFormatting sqref="E182">
    <cfRule type="expression" dxfId="5996" priority="318" stopIfTrue="1">
      <formula>IF(AK179&gt;2,0,1)</formula>
    </cfRule>
  </conditionalFormatting>
  <conditionalFormatting sqref="E183">
    <cfRule type="expression" dxfId="5995" priority="317" stopIfTrue="1">
      <formula>IF(AK179&gt;2,0,1)</formula>
    </cfRule>
  </conditionalFormatting>
  <conditionalFormatting sqref="E99 E184">
    <cfRule type="expression" dxfId="5994" priority="316" stopIfTrue="1">
      <formula>IF(AK94&gt;3,0,1)</formula>
    </cfRule>
  </conditionalFormatting>
  <conditionalFormatting sqref="E100 E185">
    <cfRule type="expression" dxfId="5993" priority="315" stopIfTrue="1">
      <formula>IF(AK94&gt;3,0,1)</formula>
    </cfRule>
  </conditionalFormatting>
  <conditionalFormatting sqref="E16 E101 E186">
    <cfRule type="expression" dxfId="5992" priority="314" stopIfTrue="1">
      <formula>IF(AK9&gt;4,0,1)</formula>
    </cfRule>
  </conditionalFormatting>
  <conditionalFormatting sqref="E17 E102 E187">
    <cfRule type="expression" dxfId="5991" priority="313" stopIfTrue="1">
      <formula>IF(AK9&gt;4,0,1)</formula>
    </cfRule>
  </conditionalFormatting>
  <conditionalFormatting sqref="AC93 AC178 AC8">
    <cfRule type="expression" dxfId="5990" priority="312" stopIfTrue="1">
      <formula>IF(AK11=1,IF(AK9&gt;0,0,1),1)</formula>
    </cfRule>
  </conditionalFormatting>
  <conditionalFormatting sqref="AC95:AE96 AC180:AE181 AC10:AE11">
    <cfRule type="expression" dxfId="5989" priority="311" stopIfTrue="1">
      <formula>IF(AK11=1,IF(AK9&gt;1,0,1),1)</formula>
    </cfRule>
  </conditionalFormatting>
  <conditionalFormatting sqref="AC97:AE98 AC182:AE183 AC12:AE13">
    <cfRule type="expression" dxfId="5988" priority="310" stopIfTrue="1">
      <formula>IF(AK11=1,IF(AK9&gt;2,0,1),1)</formula>
    </cfRule>
  </conditionalFormatting>
  <conditionalFormatting sqref="AC99:AE100 AC184:AE185 AC14:AE15">
    <cfRule type="expression" dxfId="5987" priority="309" stopIfTrue="1">
      <formula>IF(AK11=1,IF(AK9&gt;3,0,1),1)</formula>
    </cfRule>
  </conditionalFormatting>
  <conditionalFormatting sqref="AC101:AE102 AC186:AE187 AC16:AE17">
    <cfRule type="expression" dxfId="5986" priority="308" stopIfTrue="1">
      <formula>IF(AK11=1,IF(AK9&gt;4,0,1),1)</formula>
    </cfRule>
  </conditionalFormatting>
  <conditionalFormatting sqref="AH93 AH178 AH8">
    <cfRule type="expression" dxfId="5985" priority="307" stopIfTrue="1">
      <formula>IF(AK9&gt;0,0,1)</formula>
    </cfRule>
  </conditionalFormatting>
  <conditionalFormatting sqref="AH95:AI96 AH180:AI181 AH10:AI11">
    <cfRule type="expression" dxfId="5984" priority="306" stopIfTrue="1">
      <formula>IF(AK9&gt;1,0,1)</formula>
    </cfRule>
  </conditionalFormatting>
  <conditionalFormatting sqref="AH97:AI98 AH182:AI183 AH12:AI13">
    <cfRule type="expression" dxfId="5983" priority="305" stopIfTrue="1">
      <formula>IF(AK9&gt;2,0,1)</formula>
    </cfRule>
  </conditionalFormatting>
  <conditionalFormatting sqref="AH99:AI100 AH184:AI185 AH14:AI15">
    <cfRule type="expression" dxfId="5982" priority="304" stopIfTrue="1">
      <formula>IF(AK9&gt;3,0,1)</formula>
    </cfRule>
  </conditionalFormatting>
  <conditionalFormatting sqref="AH101:AI102 AH186:AI187 AH16:AI17">
    <cfRule type="expression" dxfId="5981" priority="303" stopIfTrue="1">
      <formula>IF(AK9&gt;4,0,1)</formula>
    </cfRule>
  </conditionalFormatting>
  <conditionalFormatting sqref="K189:M189 K19:M19 K104:M104">
    <cfRule type="expression" dxfId="5980" priority="302" stopIfTrue="1">
      <formula>IF(AK8&gt;3,0,1)</formula>
    </cfRule>
  </conditionalFormatting>
  <conditionalFormatting sqref="N189:P189 N19:P19 N104:P104">
    <cfRule type="expression" dxfId="5979" priority="301" stopIfTrue="1">
      <formula>IF(AK8&gt;4,0,1)</formula>
    </cfRule>
  </conditionalFormatting>
  <conditionalFormatting sqref="Q189:S189 Q19:S19 Q104:S104">
    <cfRule type="expression" dxfId="5978" priority="300" stopIfTrue="1">
      <formula>IF(AK8&gt;5,0,1)</formula>
    </cfRule>
  </conditionalFormatting>
  <conditionalFormatting sqref="T189:V189 T19:V19 T104:V104">
    <cfRule type="expression" dxfId="5977" priority="299" stopIfTrue="1">
      <formula>IF(AK8&gt;6,0,1)</formula>
    </cfRule>
  </conditionalFormatting>
  <conditionalFormatting sqref="W189:Y189 W19:Y19 W104:Y104">
    <cfRule type="expression" dxfId="5976" priority="298" stopIfTrue="1">
      <formula>IF(AK8&gt;7,0,1)</formula>
    </cfRule>
  </conditionalFormatting>
  <conditionalFormatting sqref="Z189:AB189 Z19:AB19 Z104:AB104">
    <cfRule type="expression" dxfId="5975" priority="297" stopIfTrue="1">
      <formula>IF(AK8&gt;8,0,1)</formula>
    </cfRule>
  </conditionalFormatting>
  <conditionalFormatting sqref="AC189:AE189 AC19:AE19 AC104:AE104">
    <cfRule type="expression" dxfId="5974" priority="296" stopIfTrue="1">
      <formula>IF(AK8&gt;9,0,1)</formula>
    </cfRule>
  </conditionalFormatting>
  <conditionalFormatting sqref="B20:D20 B105:D105 B190:D190">
    <cfRule type="expression" dxfId="5973" priority="295" stopIfTrue="1">
      <formula>IF(AK8&gt;0,0,1)</formula>
    </cfRule>
  </conditionalFormatting>
  <conditionalFormatting sqref="E20:G20 E105:G105 E190:G190">
    <cfRule type="expression" dxfId="5972" priority="294" stopIfTrue="1">
      <formula>IF(AK8&gt;1,0,1)</formula>
    </cfRule>
  </conditionalFormatting>
  <conditionalFormatting sqref="H20:J20 H105:J105 H190:J190">
    <cfRule type="expression" dxfId="5971" priority="293" stopIfTrue="1">
      <formula>IF(AK8&gt;2,0,1)</formula>
    </cfRule>
  </conditionalFormatting>
  <conditionalFormatting sqref="K190:M190 K105:M105 K20:M20">
    <cfRule type="expression" dxfId="5970" priority="292" stopIfTrue="1">
      <formula>IF(AK8&gt;3,0,1)</formula>
    </cfRule>
  </conditionalFormatting>
  <conditionalFormatting sqref="N190:P190 N105:P105 N20:P20">
    <cfRule type="expression" dxfId="5969" priority="291" stopIfTrue="1">
      <formula>IF(AK8&gt;4,0,1)</formula>
    </cfRule>
  </conditionalFormatting>
  <conditionalFormatting sqref="Q190:S190 Q105:S105 Q20:S20">
    <cfRule type="expression" dxfId="5968" priority="290" stopIfTrue="1">
      <formula>IF(AK8&gt;5,0,1)</formula>
    </cfRule>
  </conditionalFormatting>
  <conditionalFormatting sqref="T190:V190 T105:V105 T20:V20">
    <cfRule type="expression" dxfId="5967" priority="289" stopIfTrue="1">
      <formula>IF(AK8&gt;6,0,1)</formula>
    </cfRule>
  </conditionalFormatting>
  <conditionalFormatting sqref="W190:Y190 W105:Y105 W20:Y20">
    <cfRule type="expression" dxfId="5966" priority="288" stopIfTrue="1">
      <formula>IF(AK8&gt;7,0,1)</formula>
    </cfRule>
  </conditionalFormatting>
  <conditionalFormatting sqref="Z190:AB190 Z105:AB105 Z20:AB20">
    <cfRule type="expression" dxfId="5965" priority="287" stopIfTrue="1">
      <formula>IF(AK8&gt;8,0,1)</formula>
    </cfRule>
  </conditionalFormatting>
  <conditionalFormatting sqref="AC190:AE190 AC105:AE105 AC20:AE20">
    <cfRule type="expression" dxfId="5964" priority="286" stopIfTrue="1">
      <formula>IF(AK8&gt;9,0,1)</formula>
    </cfRule>
  </conditionalFormatting>
  <conditionalFormatting sqref="E192:G192">
    <cfRule type="expression" dxfId="5963" priority="285" stopIfTrue="1">
      <formula>IF(AK178&gt;1,0,1)</formula>
    </cfRule>
  </conditionalFormatting>
  <conditionalFormatting sqref="H192:J192">
    <cfRule type="expression" dxfId="5962" priority="284" stopIfTrue="1">
      <formula>IF(AK178&gt;2,0,1)</formula>
    </cfRule>
  </conditionalFormatting>
  <conditionalFormatting sqref="K192:M192">
    <cfRule type="expression" dxfId="5961" priority="283" stopIfTrue="1">
      <formula>IF(AK178&gt;3,0,1)</formula>
    </cfRule>
  </conditionalFormatting>
  <conditionalFormatting sqref="N192:P192">
    <cfRule type="expression" dxfId="5960" priority="282" stopIfTrue="1">
      <formula>IF(AK178&gt;4,0,1)</formula>
    </cfRule>
  </conditionalFormatting>
  <conditionalFormatting sqref="Q192:S192">
    <cfRule type="expression" dxfId="5959" priority="281" stopIfTrue="1">
      <formula>IF(AK178&gt;5,0,1)</formula>
    </cfRule>
  </conditionalFormatting>
  <conditionalFormatting sqref="T22:V22 T192:V192 T107:V107">
    <cfRule type="expression" dxfId="5958" priority="280" stopIfTrue="1">
      <formula>IF(AK8&gt;6,0,1)</formula>
    </cfRule>
  </conditionalFormatting>
  <conditionalFormatting sqref="W22:Y22 W192:Y192 W107:Y107">
    <cfRule type="expression" dxfId="5957" priority="279" stopIfTrue="1">
      <formula>IF(AK8&gt;7,0,1)</formula>
    </cfRule>
  </conditionalFormatting>
  <conditionalFormatting sqref="Z22:AB22 Z192:AB192 Z107:AB107">
    <cfRule type="expression" dxfId="5956" priority="278" stopIfTrue="1">
      <formula>IF(AK8&gt;8,0,1)</formula>
    </cfRule>
  </conditionalFormatting>
  <conditionalFormatting sqref="AC22:AE22 AC192:AE192 AC107:AE107">
    <cfRule type="expression" dxfId="5955" priority="277" stopIfTrue="1">
      <formula>IF(AK8&gt;9,0,1)</formula>
    </cfRule>
  </conditionalFormatting>
  <conditionalFormatting sqref="B194">
    <cfRule type="expression" dxfId="5954" priority="276" stopIfTrue="1">
      <formula>IF(AK178&gt;0,0,1)</formula>
    </cfRule>
  </conditionalFormatting>
  <conditionalFormatting sqref="C194">
    <cfRule type="expression" dxfId="5953" priority="275" stopIfTrue="1">
      <formula>IF(AK178&gt;0,0,1)</formula>
    </cfRule>
  </conditionalFormatting>
  <conditionalFormatting sqref="D194">
    <cfRule type="expression" dxfId="5952" priority="274" stopIfTrue="1">
      <formula>IF(AK178&gt;0,0,1)</formula>
    </cfRule>
  </conditionalFormatting>
  <conditionalFormatting sqref="E193:G193">
    <cfRule type="expression" dxfId="5951" priority="273" stopIfTrue="1">
      <formula>IF(AK178&gt;1,0,1)</formula>
    </cfRule>
  </conditionalFormatting>
  <conditionalFormatting sqref="F194">
    <cfRule type="expression" dxfId="5950" priority="272" stopIfTrue="1">
      <formula>IF(AK178&gt;1,0,1)</formula>
    </cfRule>
  </conditionalFormatting>
  <conditionalFormatting sqref="G194">
    <cfRule type="expression" dxfId="5949" priority="271" stopIfTrue="1">
      <formula>IF(AK178&gt;1,0,1)</formula>
    </cfRule>
  </conditionalFormatting>
  <conditionalFormatting sqref="H193:J193">
    <cfRule type="expression" dxfId="5948" priority="270" stopIfTrue="1">
      <formula>IF(AK178&gt;2,0,1)</formula>
    </cfRule>
  </conditionalFormatting>
  <conditionalFormatting sqref="I194">
    <cfRule type="expression" dxfId="5947" priority="269" stopIfTrue="1">
      <formula>IF(AK178&gt;2,0,1)</formula>
    </cfRule>
  </conditionalFormatting>
  <conditionalFormatting sqref="J194">
    <cfRule type="expression" dxfId="5946" priority="268" stopIfTrue="1">
      <formula>IF(AK178&gt;2,0,1)</formula>
    </cfRule>
  </conditionalFormatting>
  <conditionalFormatting sqref="K193:M193">
    <cfRule type="expression" dxfId="5945" priority="267" stopIfTrue="1">
      <formula>IF(AK178&gt;3,0,1)</formula>
    </cfRule>
  </conditionalFormatting>
  <conditionalFormatting sqref="L194">
    <cfRule type="expression" dxfId="5944" priority="266" stopIfTrue="1">
      <formula>IF(AK178&gt;3,0,1)</formula>
    </cfRule>
  </conditionalFormatting>
  <conditionalFormatting sqref="M194">
    <cfRule type="expression" dxfId="5943" priority="265" stopIfTrue="1">
      <formula>IF(AK178&gt;3,0,1)</formula>
    </cfRule>
  </conditionalFormatting>
  <conditionalFormatting sqref="N193:P193">
    <cfRule type="expression" dxfId="5942" priority="264" stopIfTrue="1">
      <formula>IF(AK178&gt;4,0,1)</formula>
    </cfRule>
  </conditionalFormatting>
  <conditionalFormatting sqref="O194">
    <cfRule type="expression" dxfId="5941" priority="263" stopIfTrue="1">
      <formula>IF(AK178&gt;4,0,1)</formula>
    </cfRule>
  </conditionalFormatting>
  <conditionalFormatting sqref="P194">
    <cfRule type="expression" dxfId="5940" priority="262" stopIfTrue="1">
      <formula>IF(AK178&gt;4,0,1)</formula>
    </cfRule>
  </conditionalFormatting>
  <conditionalFormatting sqref="Q193:S193">
    <cfRule type="expression" dxfId="5939" priority="261" stopIfTrue="1">
      <formula>IF(AK178&gt;5,0,1)</formula>
    </cfRule>
  </conditionalFormatting>
  <conditionalFormatting sqref="R194">
    <cfRule type="expression" dxfId="5938" priority="260" stopIfTrue="1">
      <formula>IF(AK178&gt;5,0,1)</formula>
    </cfRule>
  </conditionalFormatting>
  <conditionalFormatting sqref="S194">
    <cfRule type="expression" dxfId="5937" priority="259" stopIfTrue="1">
      <formula>IF(AK178&gt;5,0,1)</formula>
    </cfRule>
  </conditionalFormatting>
  <conditionalFormatting sqref="T193:V193 T108:V108 T23:V23">
    <cfRule type="expression" dxfId="5936" priority="258" stopIfTrue="1">
      <formula>IF(AK8&gt;6,0,1)</formula>
    </cfRule>
  </conditionalFormatting>
  <conditionalFormatting sqref="U24 U194 U109">
    <cfRule type="expression" dxfId="5935" priority="257" stopIfTrue="1">
      <formula>IF(AK8&gt;6,0,1)</formula>
    </cfRule>
  </conditionalFormatting>
  <conditionalFormatting sqref="V24 V194 V109">
    <cfRule type="expression" dxfId="5934" priority="256" stopIfTrue="1">
      <formula>IF(AK8&gt;6,0,1)</formula>
    </cfRule>
  </conditionalFormatting>
  <conditionalFormatting sqref="W193:Y193 W108:Y108 W23:Y23">
    <cfRule type="expression" dxfId="5933" priority="255" stopIfTrue="1">
      <formula>IF(AK8&gt;7,0,1)</formula>
    </cfRule>
  </conditionalFormatting>
  <conditionalFormatting sqref="X24 X194 X109">
    <cfRule type="expression" dxfId="5932" priority="254" stopIfTrue="1">
      <formula>IF(AK8&gt;7,0,1)</formula>
    </cfRule>
  </conditionalFormatting>
  <conditionalFormatting sqref="Y24 Y194 Y109">
    <cfRule type="expression" dxfId="5931" priority="253" stopIfTrue="1">
      <formula>IF(AK8&gt;7,0,1)</formula>
    </cfRule>
  </conditionalFormatting>
  <conditionalFormatting sqref="Z193:AB193 Z108:AB108 Z23:AB23">
    <cfRule type="expression" dxfId="5930" priority="252" stopIfTrue="1">
      <formula>IF(AK8&gt;8,0,1)</formula>
    </cfRule>
  </conditionalFormatting>
  <conditionalFormatting sqref="AA24 AA194 AA109">
    <cfRule type="expression" dxfId="5929" priority="251" stopIfTrue="1">
      <formula>IF(AK8&gt;8,0,1)</formula>
    </cfRule>
  </conditionalFormatting>
  <conditionalFormatting sqref="AB24 AB194 AB109">
    <cfRule type="expression" dxfId="5928" priority="250" stopIfTrue="1">
      <formula>IF(AK8&gt;8,0,1)</formula>
    </cfRule>
  </conditionalFormatting>
  <conditionalFormatting sqref="AC193:AE193 AC108:AE108 AC23:AE23">
    <cfRule type="expression" dxfId="5927" priority="249" stopIfTrue="1">
      <formula>IF(AK8&gt;9,0,1)</formula>
    </cfRule>
  </conditionalFormatting>
  <conditionalFormatting sqref="AD24 AD194 AD109">
    <cfRule type="expression" dxfId="5926" priority="248" stopIfTrue="1">
      <formula>IF(AK8&gt;9,0,1)</formula>
    </cfRule>
  </conditionalFormatting>
  <conditionalFormatting sqref="AE24 AE194 AE109">
    <cfRule type="expression" dxfId="5925" priority="247" stopIfTrue="1">
      <formula>IF(AK8&gt;9,0,1)</formula>
    </cfRule>
  </conditionalFormatting>
  <conditionalFormatting sqref="A26 A196 A111">
    <cfRule type="expression" dxfId="5924" priority="246" stopIfTrue="1">
      <formula>IF(AK7&gt;1,0,1)</formula>
    </cfRule>
  </conditionalFormatting>
  <conditionalFormatting sqref="A27 A197 A112">
    <cfRule type="expression" dxfId="5923" priority="245" stopIfTrue="1">
      <formula>IF(AK7&gt;2,0,1)</formula>
    </cfRule>
  </conditionalFormatting>
  <conditionalFormatting sqref="A28 A198 A113">
    <cfRule type="expression" dxfId="5922" priority="244" stopIfTrue="1">
      <formula>IF(AK7&gt;3,0,1)</formula>
    </cfRule>
  </conditionalFormatting>
  <conditionalFormatting sqref="A29 A199 A114">
    <cfRule type="expression" dxfId="5921" priority="243" stopIfTrue="1">
      <formula>IF(AK7&gt;4,0,1)</formula>
    </cfRule>
  </conditionalFormatting>
  <conditionalFormatting sqref="B195:D195">
    <cfRule type="expression" dxfId="5920" priority="242" stopIfTrue="1">
      <formula>IF($AK178&gt;0,0,1)</formula>
    </cfRule>
  </conditionalFormatting>
  <conditionalFormatting sqref="B26:D26 B196:D196 B111:D111">
    <cfRule type="expression" dxfId="5919" priority="241" stopIfTrue="1">
      <formula>IF($AK8&lt;1,1,IF($AK7&lt;2,1,0))</formula>
    </cfRule>
  </conditionalFormatting>
  <conditionalFormatting sqref="B27:D27 B197:D197 B112:D112">
    <cfRule type="expression" dxfId="5918" priority="240" stopIfTrue="1">
      <formula>IF($AK8&lt;1,1,IF($AK7&lt;3,1,0))</formula>
    </cfRule>
  </conditionalFormatting>
  <conditionalFormatting sqref="B28:D28 B198:D198 B113:D113">
    <cfRule type="expression" dxfId="5917" priority="239" stopIfTrue="1">
      <formula>IF($AK8&lt;1,1,IF($AK7&lt;4,1,0))</formula>
    </cfRule>
  </conditionalFormatting>
  <conditionalFormatting sqref="B29:D29 B199:D199 B114:D114">
    <cfRule type="expression" dxfId="5916" priority="238" stopIfTrue="1">
      <formula>IF($AK8&lt;1,1,IF($AK7&lt;5,1,0))</formula>
    </cfRule>
  </conditionalFormatting>
  <conditionalFormatting sqref="AF26 AF196 AF111">
    <cfRule type="expression" dxfId="5915" priority="237" stopIfTrue="1">
      <formula>IF($AK9&gt;2,0,1)</formula>
    </cfRule>
  </conditionalFormatting>
  <conditionalFormatting sqref="AF25 AF195 AF110">
    <cfRule type="expression" dxfId="5914" priority="236" stopIfTrue="1">
      <formula>IF($AK9&gt;1,0,1)</formula>
    </cfRule>
  </conditionalFormatting>
  <conditionalFormatting sqref="AF24 AF194 AF109">
    <cfRule type="expression" dxfId="5913" priority="235" stopIfTrue="1">
      <formula>IF($AK9&gt;0,0,1)</formula>
    </cfRule>
  </conditionalFormatting>
  <conditionalFormatting sqref="AF27 AF197 AF112">
    <cfRule type="expression" dxfId="5912" priority="234" stopIfTrue="1">
      <formula>IF($AK9&gt;3,0,1)</formula>
    </cfRule>
  </conditionalFormatting>
  <conditionalFormatting sqref="AF28 AF198 AF113">
    <cfRule type="expression" dxfId="5911" priority="233" stopIfTrue="1">
      <formula>IF($AK9&gt;4,0,1)</formula>
    </cfRule>
  </conditionalFormatting>
  <conditionalFormatting sqref="AG23 AG193 AG108">
    <cfRule type="expression" dxfId="5910" priority="232" stopIfTrue="1">
      <formula>IF($AK8&lt;1,1,0)</formula>
    </cfRule>
  </conditionalFormatting>
  <conditionalFormatting sqref="AH23 AH193 AH108">
    <cfRule type="expression" dxfId="5909" priority="231" stopIfTrue="1">
      <formula>IF($AK8&lt;2,1,0)</formula>
    </cfRule>
  </conditionalFormatting>
  <conditionalFormatting sqref="AI23 AI193 AI108">
    <cfRule type="expression" dxfId="5908" priority="230" stopIfTrue="1">
      <formula>IF($AK8&lt;3,1,0)</formula>
    </cfRule>
  </conditionalFormatting>
  <conditionalFormatting sqref="AJ23 AJ193 AJ108">
    <cfRule type="expression" dxfId="5907" priority="229" stopIfTrue="1">
      <formula>IF($AK8&lt;4,1,0)</formula>
    </cfRule>
  </conditionalFormatting>
  <conditionalFormatting sqref="AK23 AK193 AK108">
    <cfRule type="expression" dxfId="5906" priority="228" stopIfTrue="1">
      <formula>IF($AK8&lt;5,1,0)</formula>
    </cfRule>
  </conditionalFormatting>
  <conditionalFormatting sqref="AL23 AL193 AL108">
    <cfRule type="expression" dxfId="5905" priority="227" stopIfTrue="1">
      <formula>IF($AK8&lt;6,1,0)</formula>
    </cfRule>
  </conditionalFormatting>
  <conditionalFormatting sqref="AM23 AM193 AM108">
    <cfRule type="expression" dxfId="5904" priority="226" stopIfTrue="1">
      <formula>IF($AK8&lt;7,1,0)</formula>
    </cfRule>
  </conditionalFormatting>
  <conditionalFormatting sqref="AN23 AN193 AN108">
    <cfRule type="expression" dxfId="5903" priority="225" stopIfTrue="1">
      <formula>IF($AK8&lt;8,1,0)</formula>
    </cfRule>
  </conditionalFormatting>
  <conditionalFormatting sqref="AO23 AO193 AO108">
    <cfRule type="expression" dxfId="5902" priority="224" stopIfTrue="1">
      <formula>IF($AK8&lt;9,1,0)</formula>
    </cfRule>
  </conditionalFormatting>
  <conditionalFormatting sqref="AP23 AP193 AP108">
    <cfRule type="expression" dxfId="5901" priority="223" stopIfTrue="1">
      <formula>IF($AK8&lt;10,1,0)</formula>
    </cfRule>
  </conditionalFormatting>
  <conditionalFormatting sqref="AQ24 AQ194 AQ109">
    <cfRule type="expression" dxfId="5900" priority="222" stopIfTrue="1">
      <formula>IF($AK9&gt;0,0,1)</formula>
    </cfRule>
  </conditionalFormatting>
  <conditionalFormatting sqref="AQ25 AQ195 AQ110">
    <cfRule type="expression" dxfId="5899" priority="221" stopIfTrue="1">
      <formula>IF($AK9&gt;1,0,1)</formula>
    </cfRule>
  </conditionalFormatting>
  <conditionalFormatting sqref="AQ26 AQ196 AQ111 H195:J195">
    <cfRule type="expression" dxfId="5898" priority="220" stopIfTrue="1">
      <formula>IF($AK9&gt;2,0,1)</formula>
    </cfRule>
  </conditionalFormatting>
  <conditionalFormatting sqref="K195:M195">
    <cfRule type="expression" dxfId="5897" priority="219" stopIfTrue="1">
      <formula>IF($AK178&gt;3,0,1)</formula>
    </cfRule>
  </conditionalFormatting>
  <conditionalFormatting sqref="AQ28 AQ198 AQ113">
    <cfRule type="expression" dxfId="5896" priority="218" stopIfTrue="1">
      <formula>IF($AK9&gt;4,0,1)</formula>
    </cfRule>
  </conditionalFormatting>
  <conditionalFormatting sqref="E26:G26 E196:G196 E111:G111">
    <cfRule type="expression" dxfId="5895" priority="217" stopIfTrue="1">
      <formula>IF($AK8&lt;2,1,IF($AK7&lt;2,1,0))</formula>
    </cfRule>
  </conditionalFormatting>
  <conditionalFormatting sqref="E27:G27 E197:G197 E112:G112">
    <cfRule type="expression" dxfId="5894" priority="216" stopIfTrue="1">
      <formula>IF($AK8&lt;2,1,IF($AK7&lt;3,1,0))</formula>
    </cfRule>
  </conditionalFormatting>
  <conditionalFormatting sqref="E28:G28 E198:G198 E113:G113">
    <cfRule type="expression" dxfId="5893" priority="215" stopIfTrue="1">
      <formula>IF($AK8&lt;2,1,IF($AK7&lt;4,1,0))</formula>
    </cfRule>
  </conditionalFormatting>
  <conditionalFormatting sqref="E29:G29 E199:G199 E114:G114">
    <cfRule type="expression" dxfId="5892" priority="214" stopIfTrue="1">
      <formula>IF($AK8&lt;2,1,IF($AK7&lt;5,1,0))</formula>
    </cfRule>
  </conditionalFormatting>
  <conditionalFormatting sqref="N195:P195">
    <cfRule type="expression" dxfId="5891" priority="213" stopIfTrue="1">
      <formula>IF($AK178&gt;4,0,1)</formula>
    </cfRule>
  </conditionalFormatting>
  <conditionalFormatting sqref="Q195:S195">
    <cfRule type="expression" dxfId="5890" priority="212" stopIfTrue="1">
      <formula>IF($AK178&gt;5,0,1)</formula>
    </cfRule>
  </conditionalFormatting>
  <conditionalFormatting sqref="T25:V25 T195:V195 T110:V110">
    <cfRule type="expression" dxfId="5889" priority="211" stopIfTrue="1">
      <formula>IF($AK8&gt;6,0,1)</formula>
    </cfRule>
  </conditionalFormatting>
  <conditionalFormatting sqref="W25:Y25 W195:Y195 W110:Y110">
    <cfRule type="expression" dxfId="5888" priority="210" stopIfTrue="1">
      <formula>IF($AK8&gt;7,0,1)</formula>
    </cfRule>
  </conditionalFormatting>
  <conditionalFormatting sqref="Z25:AB25 Z195:AB195 Z110:AB110">
    <cfRule type="expression" dxfId="5887" priority="209" stopIfTrue="1">
      <formula>IF($AK8&gt;8,0,1)</formula>
    </cfRule>
  </conditionalFormatting>
  <conditionalFormatting sqref="AC25:AE25 AC195:AE195 AC110:AE110">
    <cfRule type="expression" dxfId="5886" priority="208" stopIfTrue="1">
      <formula>IF($AK8&gt;9,0,1)</formula>
    </cfRule>
  </conditionalFormatting>
  <conditionalFormatting sqref="H26:J26 H196:J196 H111:J111">
    <cfRule type="expression" dxfId="5885" priority="207" stopIfTrue="1">
      <formula>IF($AK8&lt;3,1,IF($AK7&lt;2,1,0))</formula>
    </cfRule>
  </conditionalFormatting>
  <conditionalFormatting sqref="K26:M26 K196:M196 K111:M111">
    <cfRule type="expression" dxfId="5884" priority="206" stopIfTrue="1">
      <formula>IF($AK8&lt;4,1,IF($AK7&lt;2,1,0))</formula>
    </cfRule>
  </conditionalFormatting>
  <conditionalFormatting sqref="N26:P26 N196:P196 N111:P111">
    <cfRule type="expression" dxfId="5883" priority="205" stopIfTrue="1">
      <formula>IF($AK8&lt;5,1,IF($AK7&lt;2,1,0))</formula>
    </cfRule>
  </conditionalFormatting>
  <conditionalFormatting sqref="Q26:S26 Q196:S196 Q111:S111">
    <cfRule type="expression" dxfId="5882" priority="204" stopIfTrue="1">
      <formula>IF($AK8&lt;6,1,IF($AK7&lt;2,1,0))</formula>
    </cfRule>
  </conditionalFormatting>
  <conditionalFormatting sqref="T26:V26 T196:V196 T111:V111">
    <cfRule type="expression" dxfId="5881" priority="203" stopIfTrue="1">
      <formula>IF($AK8&lt;7,1,IF($AK7&lt;2,1,0))</formula>
    </cfRule>
  </conditionalFormatting>
  <conditionalFormatting sqref="W26:Y26 W196:Y196 W111:Y111">
    <cfRule type="expression" dxfId="5880" priority="202" stopIfTrue="1">
      <formula>IF($AK8&lt;8,1,IF($AK7&lt;2,1,0))</formula>
    </cfRule>
  </conditionalFormatting>
  <conditionalFormatting sqref="Z26:AB26 Z196:AB196 Z111:AB111">
    <cfRule type="expression" dxfId="5879" priority="201" stopIfTrue="1">
      <formula>IF($AK8&lt;9,1,IF($AK7&lt;2,1,0))</formula>
    </cfRule>
  </conditionalFormatting>
  <conditionalFormatting sqref="AC26:AE26 AC196:AE196 AC111:AE111">
    <cfRule type="expression" dxfId="5878" priority="200" stopIfTrue="1">
      <formula>IF($AK8&lt;10,1,IF($AK7&lt;2,1,0))</formula>
    </cfRule>
  </conditionalFormatting>
  <conditionalFormatting sqref="H27:J27 H197:J197 H112:J112">
    <cfRule type="expression" dxfId="5877" priority="199" stopIfTrue="1">
      <formula>IF($AK8&lt;3,1,IF($AK7&lt;3,1,0))</formula>
    </cfRule>
  </conditionalFormatting>
  <conditionalFormatting sqref="K27:M27 K197:M197 K112:M112">
    <cfRule type="expression" dxfId="5876" priority="198" stopIfTrue="1">
      <formula>IF($AK8&lt;4,1,IF($AK7&lt;3,1,0))</formula>
    </cfRule>
  </conditionalFormatting>
  <conditionalFormatting sqref="N27:P27 N197:P197 N112:P112">
    <cfRule type="expression" dxfId="5875" priority="197" stopIfTrue="1">
      <formula>IF($AK8&lt;5,1,IF($AK7&lt;3,1,0))</formula>
    </cfRule>
  </conditionalFormatting>
  <conditionalFormatting sqref="Q27:S27 Q197:S197 Q112:S112">
    <cfRule type="expression" dxfId="5874" priority="196" stopIfTrue="1">
      <formula>IF($AK8&lt;6,1,IF($AK7&lt;3,1,0))</formula>
    </cfRule>
  </conditionalFormatting>
  <conditionalFormatting sqref="T27:V27 T197:V197 T112:V112">
    <cfRule type="expression" dxfId="5873" priority="195" stopIfTrue="1">
      <formula>IF($AK8&lt;7,1,IF($AK7&lt;3,1,0))</formula>
    </cfRule>
  </conditionalFormatting>
  <conditionalFormatting sqref="W27:Y27 W197:Y197 W112:Y112">
    <cfRule type="expression" dxfId="5872" priority="194" stopIfTrue="1">
      <formula>IF($AK8&lt;8,1,IF($AK7&lt;3,1,0))</formula>
    </cfRule>
  </conditionalFormatting>
  <conditionalFormatting sqref="Z27:AB27 Z197:AB197 Z112:AB112">
    <cfRule type="expression" dxfId="5871" priority="193" stopIfTrue="1">
      <formula>IF($AK8&lt;9,1,IF($AK7&lt;3,1,0))</formula>
    </cfRule>
  </conditionalFormatting>
  <conditionalFormatting sqref="AC27:AE27 AC197:AE197 AC112:AE112">
    <cfRule type="expression" dxfId="5870" priority="192" stopIfTrue="1">
      <formula>IF($AK8&lt;10,1,IF($AK7&lt;3,1,0))</formula>
    </cfRule>
  </conditionalFormatting>
  <conditionalFormatting sqref="H28:J28 H198:J198 H113:J113">
    <cfRule type="expression" dxfId="5869" priority="191" stopIfTrue="1">
      <formula>IF($AK8&lt;3,1,IF($AK7&lt;4,1,0))</formula>
    </cfRule>
  </conditionalFormatting>
  <conditionalFormatting sqref="K28:M28 K198:M198 K113:M113">
    <cfRule type="expression" dxfId="5868" priority="190" stopIfTrue="1">
      <formula>IF($AK8&lt;4,1,IF($AK7&lt;4,1,0))</formula>
    </cfRule>
  </conditionalFormatting>
  <conditionalFormatting sqref="N28:P28 N198:P198 N113:P113">
    <cfRule type="expression" dxfId="5867" priority="189" stopIfTrue="1">
      <formula>IF($AK8&lt;5,1,IF($AK7&lt;4,1,0))</formula>
    </cfRule>
  </conditionalFormatting>
  <conditionalFormatting sqref="Q28:S28 Q198:S198 Q113:S113">
    <cfRule type="expression" dxfId="5866" priority="188" stopIfTrue="1">
      <formula>IF($AK8&lt;6,1,IF($AK7&lt;4,1,0))</formula>
    </cfRule>
  </conditionalFormatting>
  <conditionalFormatting sqref="T28:V28 T198:V198 T113:V113">
    <cfRule type="expression" dxfId="5865" priority="187" stopIfTrue="1">
      <formula>IF($AK8&lt;7,1,IF($AK7&lt;4,1,0))</formula>
    </cfRule>
  </conditionalFormatting>
  <conditionalFormatting sqref="W28:Y28 W198:Y198 W113:Y113">
    <cfRule type="expression" dxfId="5864" priority="186" stopIfTrue="1">
      <formula>IF($AK8&lt;8,1,IF($AK7&lt;4,1,0))</formula>
    </cfRule>
  </conditionalFormatting>
  <conditionalFormatting sqref="Z28:AB28 Z198:AB198 Z113:AB113">
    <cfRule type="expression" dxfId="5863" priority="185" stopIfTrue="1">
      <formula>IF($AK8&lt;9,1,IF($AK7&lt;4,1,0))</formula>
    </cfRule>
  </conditionalFormatting>
  <conditionalFormatting sqref="AC28:AE28 AC198:AE198 AC113:AE113">
    <cfRule type="expression" dxfId="5862" priority="184" stopIfTrue="1">
      <formula>IF($AK8&lt;10,1,IF($AK7&lt;4,1,0))</formula>
    </cfRule>
  </conditionalFormatting>
  <conditionalFormatting sqref="H29:J29 H199:J199 H114:J114">
    <cfRule type="expression" dxfId="5861" priority="183" stopIfTrue="1">
      <formula>IF($AK8&lt;3,1,IF($AK7&lt;5,1,0))</formula>
    </cfRule>
  </conditionalFormatting>
  <conditionalFormatting sqref="K29:M29 K199:M199 K114:M114">
    <cfRule type="expression" dxfId="5860" priority="182" stopIfTrue="1">
      <formula>IF($AK8&lt;4,1,IF($AK7&lt;5,1,0))</formula>
    </cfRule>
  </conditionalFormatting>
  <conditionalFormatting sqref="N29:P29 N199:P199 N114:P114">
    <cfRule type="expression" dxfId="5859" priority="181" stopIfTrue="1">
      <formula>IF($AK8&lt;5,1,IF($AK7&lt;5,1,0))</formula>
    </cfRule>
  </conditionalFormatting>
  <conditionalFormatting sqref="Q29:S29 Q199:S199 Q114:S114">
    <cfRule type="expression" dxfId="5858" priority="180" stopIfTrue="1">
      <formula>IF($AK8&lt;6,1,IF($AK7&lt;5,1,0))</formula>
    </cfRule>
  </conditionalFormatting>
  <conditionalFormatting sqref="T29:V29 T199:V199 T114:V114">
    <cfRule type="expression" dxfId="5857" priority="179" stopIfTrue="1">
      <formula>IF($AK8&lt;7,1,IF($AK7&lt;5,1,0))</formula>
    </cfRule>
  </conditionalFormatting>
  <conditionalFormatting sqref="W29:Y29 W199:Y199 W114:Y114">
    <cfRule type="expression" dxfId="5856" priority="178" stopIfTrue="1">
      <formula>IF($AK8&lt;8,1,IF($AK7&lt;5,1,0))</formula>
    </cfRule>
  </conditionalFormatting>
  <conditionalFormatting sqref="Z29:AB29 Z199:AB199 Z114:AB114">
    <cfRule type="expression" dxfId="5855" priority="177" stopIfTrue="1">
      <formula>IF($AK8&lt;9,1,IF($AK7&lt;5,1,0))</formula>
    </cfRule>
  </conditionalFormatting>
  <conditionalFormatting sqref="AC29:AE29 AC199:AE199 AC114:AE114">
    <cfRule type="expression" dxfId="5854" priority="176" stopIfTrue="1">
      <formula>IF($AK8&lt;10,1,IF($AK7&lt;5,1,0))</formula>
    </cfRule>
  </conditionalFormatting>
  <conditionalFormatting sqref="R184:AB185 AF184:AF185 L184:P185 R14:AB15 AF14:AF15 L14:P15 R99:AB100 AF99:AF100 L99:P100 AG14 AG99 AG184">
    <cfRule type="expression" dxfId="5853" priority="175" stopIfTrue="1">
      <formula>IF($AK9&gt;3,0,1)</formula>
    </cfRule>
  </conditionalFormatting>
  <conditionalFormatting sqref="R186:AB187 AF186:AF187 L186:P187 R16:AB17 AF16:AF17 L16:P17 R101:AB102 AF101:AF102 L101:P102 AG16 AG101 AG186">
    <cfRule type="expression" dxfId="5852" priority="174" stopIfTrue="1">
      <formula>IF($AK9&gt;4,0,1)</formula>
    </cfRule>
  </conditionalFormatting>
  <conditionalFormatting sqref="R178:AB179 AF178:AF179 L178:P179 R8:AB9 AF8:AF9 L8:P9 R93:AB94 AF93:AF94 L93:P94 AG8 AG93 AG178">
    <cfRule type="expression" dxfId="5851" priority="173" stopIfTrue="1">
      <formula>IF($AK9&gt;0,0,1)</formula>
    </cfRule>
  </conditionalFormatting>
  <conditionalFormatting sqref="R180:AB181 AF180:AF181 L180:P181 R10:AB11 AF10:AF11 L10:P11 R95:AB96 AF95:AF96 L95:P96 AG10 AG95 AG180">
    <cfRule type="expression" dxfId="5850" priority="172" stopIfTrue="1">
      <formula>IF($AK9&gt;1,0,1)</formula>
    </cfRule>
  </conditionalFormatting>
  <conditionalFormatting sqref="R182:AB183 AF182:AF183 L182:P183 R12:AB13 AF12:AF13 L12:P13 R97:AB98 AF97:AF98 L97:P98 AG12 AG97 AG182">
    <cfRule type="expression" dxfId="5849" priority="171" stopIfTrue="1">
      <formula>IF($AK9&gt;2,0,1)</formula>
    </cfRule>
  </conditionalFormatting>
  <conditionalFormatting sqref="E194">
    <cfRule type="expression" dxfId="5848" priority="170" stopIfTrue="1">
      <formula>IF(AK178&gt;1,0,1)</formula>
    </cfRule>
  </conditionalFormatting>
  <conditionalFormatting sqref="H194">
    <cfRule type="expression" dxfId="5847" priority="169" stopIfTrue="1">
      <formula>IF(AK178&gt;2,0,1)</formula>
    </cfRule>
  </conditionalFormatting>
  <conditionalFormatting sqref="K194">
    <cfRule type="expression" dxfId="5846" priority="168" stopIfTrue="1">
      <formula>IF(AK178&gt;3,0,1)</formula>
    </cfRule>
  </conditionalFormatting>
  <conditionalFormatting sqref="N194">
    <cfRule type="expression" dxfId="5845" priority="167" stopIfTrue="1">
      <formula>IF(AK178&gt;4,0,1)</formula>
    </cfRule>
  </conditionalFormatting>
  <conditionalFormatting sqref="Q194">
    <cfRule type="expression" dxfId="5844" priority="166" stopIfTrue="1">
      <formula>IF(AK178&gt;5,0,1)</formula>
    </cfRule>
  </conditionalFormatting>
  <conditionalFormatting sqref="T194 T109 T24">
    <cfRule type="expression" dxfId="5843" priority="165" stopIfTrue="1">
      <formula>IF(AK8&gt;6,0,1)</formula>
    </cfRule>
  </conditionalFormatting>
  <conditionalFormatting sqref="W194 W109 W24">
    <cfRule type="expression" dxfId="5842" priority="164" stopIfTrue="1">
      <formula>IF(AK8&gt;7,0,1)</formula>
    </cfRule>
  </conditionalFormatting>
  <conditionalFormatting sqref="Z194 Z109 Z24">
    <cfRule type="expression" dxfId="5841" priority="163" stopIfTrue="1">
      <formula>IF(AK8&gt;8,0,1)</formula>
    </cfRule>
  </conditionalFormatting>
  <conditionalFormatting sqref="AC194 AC109 AC24">
    <cfRule type="expression" dxfId="5840" priority="162" stopIfTrue="1">
      <formula>IF(AK8&gt;9,0,1)</formula>
    </cfRule>
  </conditionalFormatting>
  <conditionalFormatting sqref="AQ197 AQ112 AQ27">
    <cfRule type="expression" dxfId="5839" priority="161" stopIfTrue="1">
      <formula>IF($AK9&gt;3,0,1)</formula>
    </cfRule>
  </conditionalFormatting>
  <conditionalFormatting sqref="E195:G195">
    <cfRule type="expression" dxfId="5838" priority="160" stopIfTrue="1">
      <formula>IF($AK178&gt;1,0,1)</formula>
    </cfRule>
  </conditionalFormatting>
  <conditionalFormatting sqref="B21:D21 B106:D106 B191:D191">
    <cfRule type="expression" dxfId="5837" priority="159" stopIfTrue="1">
      <formula>IF(AK8&gt;0,0,1)</formula>
    </cfRule>
  </conditionalFormatting>
  <conditionalFormatting sqref="E21:G21 E106:G106 E191:G191">
    <cfRule type="expression" dxfId="5836" priority="158" stopIfTrue="1">
      <formula>IF(AK8&gt;1,0,1)</formula>
    </cfRule>
  </conditionalFormatting>
  <conditionalFormatting sqref="H21:J21 H106:J106 H191:J191">
    <cfRule type="expression" dxfId="5835" priority="157" stopIfTrue="1">
      <formula>IF(AK8&gt;2,0,1)</formula>
    </cfRule>
  </conditionalFormatting>
  <conditionalFormatting sqref="K191:M191 K106:M106 K21:M21">
    <cfRule type="expression" dxfId="5834" priority="156" stopIfTrue="1">
      <formula>IF(AK8&gt;3,0,1)</formula>
    </cfRule>
  </conditionalFormatting>
  <conditionalFormatting sqref="N191:P191 N106:P106 N21:P21">
    <cfRule type="expression" dxfId="5833" priority="155" stopIfTrue="1">
      <formula>IF(AK8&gt;4,0,1)</formula>
    </cfRule>
  </conditionalFormatting>
  <conditionalFormatting sqref="Q191:S191 Q106:S106 Q21:S21">
    <cfRule type="expression" dxfId="5832" priority="154" stopIfTrue="1">
      <formula>IF(AK8&gt;5,0,1)</formula>
    </cfRule>
  </conditionalFormatting>
  <conditionalFormatting sqref="T191:V191 T106:V106 T21:V21">
    <cfRule type="expression" dxfId="5831" priority="153" stopIfTrue="1">
      <formula>IF(AK8&gt;6,0,1)</formula>
    </cfRule>
  </conditionalFormatting>
  <conditionalFormatting sqref="W191:Y191 W106:Y106 W21:Y21">
    <cfRule type="expression" dxfId="5830" priority="152" stopIfTrue="1">
      <formula>IF(AK8&gt;7,0,1)</formula>
    </cfRule>
  </conditionalFormatting>
  <conditionalFormatting sqref="Z191:AB191 Z106:AB106 Z21:AB21">
    <cfRule type="expression" dxfId="5829" priority="151" stopIfTrue="1">
      <formula>IF(AK8&gt;8,0,1)</formula>
    </cfRule>
  </conditionalFormatting>
  <conditionalFormatting sqref="AC191:AE191 AC106:AE106 AC21:AE21">
    <cfRule type="expression" dxfId="5828" priority="150" stopIfTrue="1">
      <formula>IF(AK8&gt;9,0,1)</formula>
    </cfRule>
  </conditionalFormatting>
  <conditionalFormatting sqref="AG194:AP198 AG24:AP28 AG109:AP113">
    <cfRule type="cellIs" dxfId="5827" priority="149" stopIfTrue="1" operator="notBetween">
      <formula>-9999</formula>
      <formula>9999</formula>
    </cfRule>
  </conditionalFormatting>
  <conditionalFormatting sqref="AC92 AC177 AC7">
    <cfRule type="expression" dxfId="5826" priority="148" stopIfTrue="1">
      <formula>IF($AK$11=0,1,0)</formula>
    </cfRule>
  </conditionalFormatting>
  <conditionalFormatting sqref="B18">
    <cfRule type="expression" dxfId="5825" priority="147" stopIfTrue="1">
      <formula>IF($AK$9&gt;0,0,1)</formula>
    </cfRule>
  </conditionalFormatting>
  <conditionalFormatting sqref="B192:D193">
    <cfRule type="cellIs" dxfId="5824" priority="146" stopIfTrue="1" operator="equal">
      <formula>99</formula>
    </cfRule>
  </conditionalFormatting>
  <conditionalFormatting sqref="B18">
    <cfRule type="expression" dxfId="5823" priority="145" stopIfTrue="1">
      <formula>IF($AK$9&gt;0,0,1)</formula>
    </cfRule>
  </conditionalFormatting>
  <conditionalFormatting sqref="B20:D20">
    <cfRule type="expression" dxfId="5822" priority="144" stopIfTrue="1">
      <formula>IF(AK8&gt;0,0,1)</formula>
    </cfRule>
  </conditionalFormatting>
  <conditionalFormatting sqref="E20:G20">
    <cfRule type="expression" dxfId="5821" priority="143" stopIfTrue="1">
      <formula>IF(AK8&gt;1,0,1)</formula>
    </cfRule>
  </conditionalFormatting>
  <conditionalFormatting sqref="H20:J20">
    <cfRule type="expression" dxfId="5820" priority="142" stopIfTrue="1">
      <formula>IF(AK8&gt;2,0,1)</formula>
    </cfRule>
  </conditionalFormatting>
  <conditionalFormatting sqref="B21:D21">
    <cfRule type="expression" dxfId="5819" priority="141" stopIfTrue="1">
      <formula>IF(AK8&gt;0,0,1)</formula>
    </cfRule>
  </conditionalFormatting>
  <conditionalFormatting sqref="E21:G21">
    <cfRule type="expression" dxfId="5818" priority="140" stopIfTrue="1">
      <formula>IF(AK8&gt;1,0,1)</formula>
    </cfRule>
  </conditionalFormatting>
  <conditionalFormatting sqref="H21:J21">
    <cfRule type="expression" dxfId="5817" priority="139" stopIfTrue="1">
      <formula>IF(AK8&gt;2,0,1)</formula>
    </cfRule>
  </conditionalFormatting>
  <conditionalFormatting sqref="B105:D105">
    <cfRule type="expression" dxfId="5816" priority="138" stopIfTrue="1">
      <formula>IF(AK93&gt;0,0,1)</formula>
    </cfRule>
  </conditionalFormatting>
  <conditionalFormatting sqref="E105:G105">
    <cfRule type="expression" dxfId="5815" priority="137" stopIfTrue="1">
      <formula>IF(AK93&gt;1,0,1)</formula>
    </cfRule>
  </conditionalFormatting>
  <conditionalFormatting sqref="H105:J105">
    <cfRule type="expression" dxfId="5814" priority="136" stopIfTrue="1">
      <formula>IF(AK93&gt;2,0,1)</formula>
    </cfRule>
  </conditionalFormatting>
  <conditionalFormatting sqref="B106:D106">
    <cfRule type="expression" dxfId="5813" priority="135" stopIfTrue="1">
      <formula>IF(AK93&gt;0,0,1)</formula>
    </cfRule>
  </conditionalFormatting>
  <conditionalFormatting sqref="E106:G106">
    <cfRule type="expression" dxfId="5812" priority="134" stopIfTrue="1">
      <formula>IF(AK93&gt;1,0,1)</formula>
    </cfRule>
  </conditionalFormatting>
  <conditionalFormatting sqref="H106:J106">
    <cfRule type="expression" dxfId="5811" priority="133" stopIfTrue="1">
      <formula>IF(AK93&gt;2,0,1)</formula>
    </cfRule>
  </conditionalFormatting>
  <conditionalFormatting sqref="B190:D190">
    <cfRule type="expression" dxfId="5810" priority="132" stopIfTrue="1">
      <formula>IF(AK178&gt;0,0,1)</formula>
    </cfRule>
  </conditionalFormatting>
  <conditionalFormatting sqref="E190:G190">
    <cfRule type="expression" dxfId="5809" priority="131" stopIfTrue="1">
      <formula>IF(AK178&gt;1,0,1)</formula>
    </cfRule>
  </conditionalFormatting>
  <conditionalFormatting sqref="H190:J190">
    <cfRule type="expression" dxfId="5808" priority="130" stopIfTrue="1">
      <formula>IF(AK178&gt;2,0,1)</formula>
    </cfRule>
  </conditionalFormatting>
  <conditionalFormatting sqref="E192:G192">
    <cfRule type="expression" dxfId="5807" priority="129" stopIfTrue="1">
      <formula>IF(AK178&gt;1,0,1)</formula>
    </cfRule>
  </conditionalFormatting>
  <conditionalFormatting sqref="H192:J192">
    <cfRule type="expression" dxfId="5806" priority="128" stopIfTrue="1">
      <formula>IF(AK178&gt;2,0,1)</formula>
    </cfRule>
  </conditionalFormatting>
  <conditionalFormatting sqref="B194">
    <cfRule type="expression" dxfId="5805" priority="127" stopIfTrue="1">
      <formula>IF(AK178&gt;0,0,1)</formula>
    </cfRule>
  </conditionalFormatting>
  <conditionalFormatting sqref="C194">
    <cfRule type="expression" dxfId="5804" priority="126" stopIfTrue="1">
      <formula>IF(AK178&gt;0,0,1)</formula>
    </cfRule>
  </conditionalFormatting>
  <conditionalFormatting sqref="D194">
    <cfRule type="expression" dxfId="5803" priority="125" stopIfTrue="1">
      <formula>IF(AK178&gt;0,0,1)</formula>
    </cfRule>
  </conditionalFormatting>
  <conditionalFormatting sqref="E193:G193">
    <cfRule type="expression" dxfId="5802" priority="124" stopIfTrue="1">
      <formula>IF(AK178&gt;1,0,1)</formula>
    </cfRule>
  </conditionalFormatting>
  <conditionalFormatting sqref="F194">
    <cfRule type="expression" dxfId="5801" priority="123" stopIfTrue="1">
      <formula>IF(AK178&gt;1,0,1)</formula>
    </cfRule>
  </conditionalFormatting>
  <conditionalFormatting sqref="G194">
    <cfRule type="expression" dxfId="5800" priority="122" stopIfTrue="1">
      <formula>IF(AK178&gt;1,0,1)</formula>
    </cfRule>
  </conditionalFormatting>
  <conditionalFormatting sqref="H193:J193">
    <cfRule type="expression" dxfId="5799" priority="121" stopIfTrue="1">
      <formula>IF(AK178&gt;2,0,1)</formula>
    </cfRule>
  </conditionalFormatting>
  <conditionalFormatting sqref="I194">
    <cfRule type="expression" dxfId="5798" priority="120" stopIfTrue="1">
      <formula>IF(AK178&gt;2,0,1)</formula>
    </cfRule>
  </conditionalFormatting>
  <conditionalFormatting sqref="J194">
    <cfRule type="expression" dxfId="5797" priority="119" stopIfTrue="1">
      <formula>IF(AK178&gt;2,0,1)</formula>
    </cfRule>
  </conditionalFormatting>
  <conditionalFormatting sqref="B195:D195">
    <cfRule type="expression" dxfId="5796" priority="118" stopIfTrue="1">
      <formula>IF($AK178&gt;0,0,1)</formula>
    </cfRule>
  </conditionalFormatting>
  <conditionalFormatting sqref="H195:J195">
    <cfRule type="expression" dxfId="5795" priority="117" stopIfTrue="1">
      <formula>IF($AK178&gt;2,0,1)</formula>
    </cfRule>
  </conditionalFormatting>
  <conditionalFormatting sqref="E194">
    <cfRule type="expression" dxfId="5794" priority="116" stopIfTrue="1">
      <formula>IF(AK178&gt;1,0,1)</formula>
    </cfRule>
  </conditionalFormatting>
  <conditionalFormatting sqref="H194">
    <cfRule type="expression" dxfId="5793" priority="115" stopIfTrue="1">
      <formula>IF(AK178&gt;2,0,1)</formula>
    </cfRule>
  </conditionalFormatting>
  <conditionalFormatting sqref="E195:G195">
    <cfRule type="expression" dxfId="5792" priority="114" stopIfTrue="1">
      <formula>IF($AK178&gt;1,0,1)</formula>
    </cfRule>
  </conditionalFormatting>
  <conditionalFormatting sqref="B191:D191">
    <cfRule type="expression" dxfId="5791" priority="113" stopIfTrue="1">
      <formula>IF(AK178&gt;0,0,1)</formula>
    </cfRule>
  </conditionalFormatting>
  <conditionalFormatting sqref="E191:G191">
    <cfRule type="expression" dxfId="5790" priority="112" stopIfTrue="1">
      <formula>IF(AK178&gt;1,0,1)</formula>
    </cfRule>
  </conditionalFormatting>
  <conditionalFormatting sqref="H191:J191">
    <cfRule type="expression" dxfId="5789" priority="111" stopIfTrue="1">
      <formula>IF(AK178&gt;2,0,1)</formula>
    </cfRule>
  </conditionalFormatting>
  <conditionalFormatting sqref="B192:D193">
    <cfRule type="cellIs" dxfId="5788" priority="110" stopIfTrue="1" operator="equal">
      <formula>99</formula>
    </cfRule>
  </conditionalFormatting>
  <conditionalFormatting sqref="B18">
    <cfRule type="expression" dxfId="5787" priority="109" stopIfTrue="1">
      <formula>IF($AK$9&gt;0,0,1)</formula>
    </cfRule>
  </conditionalFormatting>
  <conditionalFormatting sqref="B103">
    <cfRule type="expression" dxfId="5786" priority="108" stopIfTrue="1">
      <formula>IF($AK$9&gt;0,0,1)</formula>
    </cfRule>
  </conditionalFormatting>
  <conditionalFormatting sqref="B103">
    <cfRule type="expression" dxfId="5785" priority="107" stopIfTrue="1">
      <formula>IF($AK$9&gt;0,0,1)</formula>
    </cfRule>
  </conditionalFormatting>
  <conditionalFormatting sqref="B103">
    <cfRule type="expression" dxfId="5784" priority="106" stopIfTrue="1">
      <formula>IF($AK$9&gt;0,0,1)</formula>
    </cfRule>
  </conditionalFormatting>
  <conditionalFormatting sqref="B188">
    <cfRule type="expression" dxfId="5783" priority="105" stopIfTrue="1">
      <formula>IF($AK$9&gt;0,0,1)</formula>
    </cfRule>
  </conditionalFormatting>
  <conditionalFormatting sqref="B188">
    <cfRule type="expression" dxfId="5782" priority="104" stopIfTrue="1">
      <formula>IF($AK$9&gt;0,0,1)</formula>
    </cfRule>
  </conditionalFormatting>
  <conditionalFormatting sqref="B188">
    <cfRule type="expression" dxfId="5781" priority="103" stopIfTrue="1">
      <formula>IF($AK$9&gt;0,0,1)</formula>
    </cfRule>
  </conditionalFormatting>
  <conditionalFormatting sqref="B104:D104">
    <cfRule type="expression" dxfId="5780" priority="96" stopIfTrue="1">
      <formula>IF(AK93&gt;0,0,1)</formula>
    </cfRule>
  </conditionalFormatting>
  <conditionalFormatting sqref="E104:G104">
    <cfRule type="expression" dxfId="5779" priority="95" stopIfTrue="1">
      <formula>IF(AK93&gt;1,0,1)</formula>
    </cfRule>
  </conditionalFormatting>
  <conditionalFormatting sqref="H104:J104">
    <cfRule type="expression" dxfId="5778" priority="94" stopIfTrue="1">
      <formula>IF(AK93&gt;2,0,1)</formula>
    </cfRule>
  </conditionalFormatting>
  <conditionalFormatting sqref="B104:D104">
    <cfRule type="expression" dxfId="5777" priority="93" stopIfTrue="1">
      <formula>IF(AK93&gt;0,0,1)</formula>
    </cfRule>
  </conditionalFormatting>
  <conditionalFormatting sqref="E104:G104">
    <cfRule type="expression" dxfId="5776" priority="92" stopIfTrue="1">
      <formula>IF(AK93&gt;1,0,1)</formula>
    </cfRule>
  </conditionalFormatting>
  <conditionalFormatting sqref="H104:J104">
    <cfRule type="expression" dxfId="5775" priority="91" stopIfTrue="1">
      <formula>IF(AK93&gt;2,0,1)</formula>
    </cfRule>
  </conditionalFormatting>
  <conditionalFormatting sqref="B19:D19">
    <cfRule type="expression" dxfId="5774" priority="102" stopIfTrue="1">
      <formula>IF(AK8&gt;0,0,1)</formula>
    </cfRule>
  </conditionalFormatting>
  <conditionalFormatting sqref="E19:G19">
    <cfRule type="expression" dxfId="5773" priority="101" stopIfTrue="1">
      <formula>IF(AK8&gt;1,0,1)</formula>
    </cfRule>
  </conditionalFormatting>
  <conditionalFormatting sqref="H19:J19">
    <cfRule type="expression" dxfId="5772" priority="100" stopIfTrue="1">
      <formula>IF(AK8&gt;2,0,1)</formula>
    </cfRule>
  </conditionalFormatting>
  <conditionalFormatting sqref="B19:D19">
    <cfRule type="expression" dxfId="5771" priority="99" stopIfTrue="1">
      <formula>IF(AK8&gt;0,0,1)</formula>
    </cfRule>
  </conditionalFormatting>
  <conditionalFormatting sqref="E19:G19">
    <cfRule type="expression" dxfId="5770" priority="98" stopIfTrue="1">
      <formula>IF(AK8&gt;1,0,1)</formula>
    </cfRule>
  </conditionalFormatting>
  <conditionalFormatting sqref="H19:J19">
    <cfRule type="expression" dxfId="5769" priority="97" stopIfTrue="1">
      <formula>IF(AK8&gt;2,0,1)</formula>
    </cfRule>
  </conditionalFormatting>
  <conditionalFormatting sqref="B189:D189">
    <cfRule type="expression" dxfId="5768" priority="90" stopIfTrue="1">
      <formula>IF(AK178&gt;0,0,1)</formula>
    </cfRule>
  </conditionalFormatting>
  <conditionalFormatting sqref="E189:G189">
    <cfRule type="expression" dxfId="5767" priority="89" stopIfTrue="1">
      <formula>IF(AK178&gt;1,0,1)</formula>
    </cfRule>
  </conditionalFormatting>
  <conditionalFormatting sqref="H189:J189">
    <cfRule type="expression" dxfId="5766" priority="88" stopIfTrue="1">
      <formula>IF(AK178&gt;2,0,1)</formula>
    </cfRule>
  </conditionalFormatting>
  <conditionalFormatting sqref="B189:D189">
    <cfRule type="expression" dxfId="5765" priority="87" stopIfTrue="1">
      <formula>IF(AK178&gt;0,0,1)</formula>
    </cfRule>
  </conditionalFormatting>
  <conditionalFormatting sqref="E189:G189">
    <cfRule type="expression" dxfId="5764" priority="86" stopIfTrue="1">
      <formula>IF(AK178&gt;1,0,1)</formula>
    </cfRule>
  </conditionalFormatting>
  <conditionalFormatting sqref="H189:J189">
    <cfRule type="expression" dxfId="5763" priority="85" stopIfTrue="1">
      <formula>IF(AK178&gt;2,0,1)</formula>
    </cfRule>
  </conditionalFormatting>
  <conditionalFormatting sqref="E22:G22">
    <cfRule type="expression" dxfId="5762" priority="84" stopIfTrue="1">
      <formula>IF(AK8&gt;1,0,1)</formula>
    </cfRule>
  </conditionalFormatting>
  <conditionalFormatting sqref="H22:J22">
    <cfRule type="expression" dxfId="5761" priority="83" stopIfTrue="1">
      <formula>IF(AK8&gt;2,0,1)</formula>
    </cfRule>
  </conditionalFormatting>
  <conditionalFormatting sqref="K22:M22">
    <cfRule type="expression" dxfId="5760" priority="82" stopIfTrue="1">
      <formula>IF(AK8&gt;3,0,1)</formula>
    </cfRule>
  </conditionalFormatting>
  <conditionalFormatting sqref="N22:P22">
    <cfRule type="expression" dxfId="5759" priority="81" stopIfTrue="1">
      <formula>IF(AK8&gt;4,0,1)</formula>
    </cfRule>
  </conditionalFormatting>
  <conditionalFormatting sqref="Q22:S22">
    <cfRule type="expression" dxfId="5758" priority="80" stopIfTrue="1">
      <formula>IF(AK8&gt;5,0,1)</formula>
    </cfRule>
  </conditionalFormatting>
  <conditionalFormatting sqref="B24">
    <cfRule type="expression" dxfId="5757" priority="79" stopIfTrue="1">
      <formula>IF(AK8&gt;0,0,1)</formula>
    </cfRule>
  </conditionalFormatting>
  <conditionalFormatting sqref="C24">
    <cfRule type="expression" dxfId="5756" priority="78" stopIfTrue="1">
      <formula>IF(AK8&gt;0,0,1)</formula>
    </cfRule>
  </conditionalFormatting>
  <conditionalFormatting sqref="D24">
    <cfRule type="expression" dxfId="5755" priority="77" stopIfTrue="1">
      <formula>IF(AK8&gt;0,0,1)</formula>
    </cfRule>
  </conditionalFormatting>
  <conditionalFormatting sqref="E23:G23">
    <cfRule type="expression" dxfId="5754" priority="76" stopIfTrue="1">
      <formula>IF(AK8&gt;1,0,1)</formula>
    </cfRule>
  </conditionalFormatting>
  <conditionalFormatting sqref="F24">
    <cfRule type="expression" dxfId="5753" priority="75" stopIfTrue="1">
      <formula>IF(AK8&gt;1,0,1)</formula>
    </cfRule>
  </conditionalFormatting>
  <conditionalFormatting sqref="G24">
    <cfRule type="expression" dxfId="5752" priority="74" stopIfTrue="1">
      <formula>IF(AK8&gt;1,0,1)</formula>
    </cfRule>
  </conditionalFormatting>
  <conditionalFormatting sqref="H23:J23">
    <cfRule type="expression" dxfId="5751" priority="73" stopIfTrue="1">
      <formula>IF(AK8&gt;2,0,1)</formula>
    </cfRule>
  </conditionalFormatting>
  <conditionalFormatting sqref="I24">
    <cfRule type="expression" dxfId="5750" priority="72" stopIfTrue="1">
      <formula>IF(AK8&gt;2,0,1)</formula>
    </cfRule>
  </conditionalFormatting>
  <conditionalFormatting sqref="J24">
    <cfRule type="expression" dxfId="5749" priority="71" stopIfTrue="1">
      <formula>IF(AK8&gt;2,0,1)</formula>
    </cfRule>
  </conditionalFormatting>
  <conditionalFormatting sqref="K23:M23">
    <cfRule type="expression" dxfId="5748" priority="70" stopIfTrue="1">
      <formula>IF(AK8&gt;3,0,1)</formula>
    </cfRule>
  </conditionalFormatting>
  <conditionalFormatting sqref="L24">
    <cfRule type="expression" dxfId="5747" priority="69" stopIfTrue="1">
      <formula>IF(AK8&gt;3,0,1)</formula>
    </cfRule>
  </conditionalFormatting>
  <conditionalFormatting sqref="M24">
    <cfRule type="expression" dxfId="5746" priority="68" stopIfTrue="1">
      <formula>IF(AK8&gt;3,0,1)</formula>
    </cfRule>
  </conditionalFormatting>
  <conditionalFormatting sqref="N23:P23">
    <cfRule type="expression" dxfId="5745" priority="67" stopIfTrue="1">
      <formula>IF(AK8&gt;4,0,1)</formula>
    </cfRule>
  </conditionalFormatting>
  <conditionalFormatting sqref="O24">
    <cfRule type="expression" dxfId="5744" priority="66" stopIfTrue="1">
      <formula>IF(AK8&gt;4,0,1)</formula>
    </cfRule>
  </conditionalFormatting>
  <conditionalFormatting sqref="P24">
    <cfRule type="expression" dxfId="5743" priority="65" stopIfTrue="1">
      <formula>IF(AK8&gt;4,0,1)</formula>
    </cfRule>
  </conditionalFormatting>
  <conditionalFormatting sqref="Q23:S23">
    <cfRule type="expression" dxfId="5742" priority="64" stopIfTrue="1">
      <formula>IF(AK8&gt;5,0,1)</formula>
    </cfRule>
  </conditionalFormatting>
  <conditionalFormatting sqref="R24">
    <cfRule type="expression" dxfId="5741" priority="63" stopIfTrue="1">
      <formula>IF(AK8&gt;5,0,1)</formula>
    </cfRule>
  </conditionalFormatting>
  <conditionalFormatting sqref="S24">
    <cfRule type="expression" dxfId="5740" priority="62" stopIfTrue="1">
      <formula>IF(AK8&gt;5,0,1)</formula>
    </cfRule>
  </conditionalFormatting>
  <conditionalFormatting sqref="B25:D25">
    <cfRule type="expression" dxfId="5739" priority="61" stopIfTrue="1">
      <formula>IF($AK8&gt;0,0,1)</formula>
    </cfRule>
  </conditionalFormatting>
  <conditionalFormatting sqref="H25:J25">
    <cfRule type="expression" dxfId="5738" priority="60" stopIfTrue="1">
      <formula>IF($AK8&gt;2,0,1)</formula>
    </cfRule>
  </conditionalFormatting>
  <conditionalFormatting sqref="K25:M25">
    <cfRule type="expression" dxfId="5737" priority="59" stopIfTrue="1">
      <formula>IF($AK8&gt;3,0,1)</formula>
    </cfRule>
  </conditionalFormatting>
  <conditionalFormatting sqref="N25:P25">
    <cfRule type="expression" dxfId="5736" priority="58" stopIfTrue="1">
      <formula>IF($AK8&gt;4,0,1)</formula>
    </cfRule>
  </conditionalFormatting>
  <conditionalFormatting sqref="Q25:S25">
    <cfRule type="expression" dxfId="5735" priority="57" stopIfTrue="1">
      <formula>IF($AK8&gt;5,0,1)</formula>
    </cfRule>
  </conditionalFormatting>
  <conditionalFormatting sqref="E24">
    <cfRule type="expression" dxfId="5734" priority="56" stopIfTrue="1">
      <formula>IF(AK8&gt;1,0,1)</formula>
    </cfRule>
  </conditionalFormatting>
  <conditionalFormatting sqref="H24">
    <cfRule type="expression" dxfId="5733" priority="55" stopIfTrue="1">
      <formula>IF(AK8&gt;2,0,1)</formula>
    </cfRule>
  </conditionalFormatting>
  <conditionalFormatting sqref="K24">
    <cfRule type="expression" dxfId="5732" priority="54" stopIfTrue="1">
      <formula>IF(AK8&gt;3,0,1)</formula>
    </cfRule>
  </conditionalFormatting>
  <conditionalFormatting sqref="N24">
    <cfRule type="expression" dxfId="5731" priority="53" stopIfTrue="1">
      <formula>IF(AK8&gt;4,0,1)</formula>
    </cfRule>
  </conditionalFormatting>
  <conditionalFormatting sqref="Q24">
    <cfRule type="expression" dxfId="5730" priority="52" stopIfTrue="1">
      <formula>IF(AK8&gt;5,0,1)</formula>
    </cfRule>
  </conditionalFormatting>
  <conditionalFormatting sqref="E25:G25">
    <cfRule type="expression" dxfId="5729" priority="51" stopIfTrue="1">
      <formula>IF($AK8&gt;1,0,1)</formula>
    </cfRule>
  </conditionalFormatting>
  <conditionalFormatting sqref="B22:D23">
    <cfRule type="cellIs" dxfId="5728" priority="50" stopIfTrue="1" operator="equal">
      <formula>99</formula>
    </cfRule>
  </conditionalFormatting>
  <conditionalFormatting sqref="B110:D110">
    <cfRule type="expression" dxfId="5727" priority="49" stopIfTrue="1">
      <formula>IF($AK93&gt;0,0,1)</formula>
    </cfRule>
  </conditionalFormatting>
  <conditionalFormatting sqref="H110:J110">
    <cfRule type="expression" dxfId="5726" priority="48" stopIfTrue="1">
      <formula>IF($AK93&gt;2,0,1)</formula>
    </cfRule>
  </conditionalFormatting>
  <conditionalFormatting sqref="K110:M110">
    <cfRule type="expression" dxfId="5725" priority="47" stopIfTrue="1">
      <formula>IF($AK93&gt;3,0,1)</formula>
    </cfRule>
  </conditionalFormatting>
  <conditionalFormatting sqref="N110:P110">
    <cfRule type="expression" dxfId="5724" priority="46" stopIfTrue="1">
      <formula>IF($AK93&gt;4,0,1)</formula>
    </cfRule>
  </conditionalFormatting>
  <conditionalFormatting sqref="Q110:S110">
    <cfRule type="expression" dxfId="5723" priority="45" stopIfTrue="1">
      <formula>IF($AK93&gt;5,0,1)</formula>
    </cfRule>
  </conditionalFormatting>
  <conditionalFormatting sqref="E110:G110">
    <cfRule type="expression" dxfId="5722" priority="44" stopIfTrue="1">
      <formula>IF($AK93&gt;1,0,1)</formula>
    </cfRule>
  </conditionalFormatting>
  <conditionalFormatting sqref="E107:G107">
    <cfRule type="expression" dxfId="5721" priority="43" stopIfTrue="1">
      <formula>IF(AK93&gt;1,0,1)</formula>
    </cfRule>
  </conditionalFormatting>
  <conditionalFormatting sqref="H107:J107">
    <cfRule type="expression" dxfId="5720" priority="42" stopIfTrue="1">
      <formula>IF(AK93&gt;2,0,1)</formula>
    </cfRule>
  </conditionalFormatting>
  <conditionalFormatting sqref="K107:M107">
    <cfRule type="expression" dxfId="5719" priority="41" stopIfTrue="1">
      <formula>IF(AK93&gt;3,0,1)</formula>
    </cfRule>
  </conditionalFormatting>
  <conditionalFormatting sqref="N107:P107">
    <cfRule type="expression" dxfId="5718" priority="40" stopIfTrue="1">
      <formula>IF(AK93&gt;4,0,1)</formula>
    </cfRule>
  </conditionalFormatting>
  <conditionalFormatting sqref="Q107:S107">
    <cfRule type="expression" dxfId="5717" priority="39" stopIfTrue="1">
      <formula>IF(AK93&gt;5,0,1)</formula>
    </cfRule>
  </conditionalFormatting>
  <conditionalFormatting sqref="B109">
    <cfRule type="expression" dxfId="5716" priority="38" stopIfTrue="1">
      <formula>IF(AK93&gt;0,0,1)</formula>
    </cfRule>
  </conditionalFormatting>
  <conditionalFormatting sqref="C109">
    <cfRule type="expression" dxfId="5715" priority="37" stopIfTrue="1">
      <formula>IF(AK93&gt;0,0,1)</formula>
    </cfRule>
  </conditionalFormatting>
  <conditionalFormatting sqref="D109">
    <cfRule type="expression" dxfId="5714" priority="36" stopIfTrue="1">
      <formula>IF(AK93&gt;0,0,1)</formula>
    </cfRule>
  </conditionalFormatting>
  <conditionalFormatting sqref="E108:G108">
    <cfRule type="expression" dxfId="5713" priority="35" stopIfTrue="1">
      <formula>IF(AK93&gt;1,0,1)</formula>
    </cfRule>
  </conditionalFormatting>
  <conditionalFormatting sqref="F109">
    <cfRule type="expression" dxfId="5712" priority="34" stopIfTrue="1">
      <formula>IF(AK93&gt;1,0,1)</formula>
    </cfRule>
  </conditionalFormatting>
  <conditionalFormatting sqref="G109">
    <cfRule type="expression" dxfId="5711" priority="33" stopIfTrue="1">
      <formula>IF(AK93&gt;1,0,1)</formula>
    </cfRule>
  </conditionalFormatting>
  <conditionalFormatting sqref="H108:J108">
    <cfRule type="expression" dxfId="5710" priority="32" stopIfTrue="1">
      <formula>IF(AK93&gt;2,0,1)</formula>
    </cfRule>
  </conditionalFormatting>
  <conditionalFormatting sqref="I109">
    <cfRule type="expression" dxfId="5709" priority="31" stopIfTrue="1">
      <formula>IF(AK93&gt;2,0,1)</formula>
    </cfRule>
  </conditionalFormatting>
  <conditionalFormatting sqref="J109">
    <cfRule type="expression" dxfId="5708" priority="30" stopIfTrue="1">
      <formula>IF(AK93&gt;2,0,1)</formula>
    </cfRule>
  </conditionalFormatting>
  <conditionalFormatting sqref="K108">
    <cfRule type="expression" dxfId="5707" priority="29" stopIfTrue="1">
      <formula>IF(AK93&gt;3,0,1)</formula>
    </cfRule>
  </conditionalFormatting>
  <conditionalFormatting sqref="L109">
    <cfRule type="expression" dxfId="5706" priority="28" stopIfTrue="1">
      <formula>IF(AK93&gt;3,0,1)</formula>
    </cfRule>
  </conditionalFormatting>
  <conditionalFormatting sqref="M109">
    <cfRule type="expression" dxfId="5705" priority="27" stopIfTrue="1">
      <formula>IF(AK93&gt;3,0,1)</formula>
    </cfRule>
  </conditionalFormatting>
  <conditionalFormatting sqref="N108">
    <cfRule type="expression" dxfId="5704" priority="26" stopIfTrue="1">
      <formula>IF(AK93&gt;4,0,1)</formula>
    </cfRule>
  </conditionalFormatting>
  <conditionalFormatting sqref="O109">
    <cfRule type="expression" dxfId="5703" priority="25" stopIfTrue="1">
      <formula>IF(AK93&gt;4,0,1)</formula>
    </cfRule>
  </conditionalFormatting>
  <conditionalFormatting sqref="P109">
    <cfRule type="expression" dxfId="5702" priority="24" stopIfTrue="1">
      <formula>IF(AK93&gt;4,0,1)</formula>
    </cfRule>
  </conditionalFormatting>
  <conditionalFormatting sqref="Q108">
    <cfRule type="expression" dxfId="5701" priority="23" stopIfTrue="1">
      <formula>IF(AK93&gt;5,0,1)</formula>
    </cfRule>
  </conditionalFormatting>
  <conditionalFormatting sqref="R109">
    <cfRule type="expression" dxfId="5700" priority="22" stopIfTrue="1">
      <formula>IF(AK93&gt;5,0,1)</formula>
    </cfRule>
  </conditionalFormatting>
  <conditionalFormatting sqref="S109">
    <cfRule type="expression" dxfId="5699" priority="21" stopIfTrue="1">
      <formula>IF(AK93&gt;5,0,1)</formula>
    </cfRule>
  </conditionalFormatting>
  <conditionalFormatting sqref="E109">
    <cfRule type="expression" dxfId="5698" priority="20" stopIfTrue="1">
      <formula>IF(AK93&gt;1,0,1)</formula>
    </cfRule>
  </conditionalFormatting>
  <conditionalFormatting sqref="H109">
    <cfRule type="expression" dxfId="5697" priority="19" stopIfTrue="1">
      <formula>IF(AK93&gt;2,0,1)</formula>
    </cfRule>
  </conditionalFormatting>
  <conditionalFormatting sqref="K109">
    <cfRule type="expression" dxfId="5696" priority="18" stopIfTrue="1">
      <formula>IF(AK93&gt;3,0,1)</formula>
    </cfRule>
  </conditionalFormatting>
  <conditionalFormatting sqref="N109">
    <cfRule type="expression" dxfId="5695" priority="17" stopIfTrue="1">
      <formula>IF(AK93&gt;4,0,1)</formula>
    </cfRule>
  </conditionalFormatting>
  <conditionalFormatting sqref="Q109">
    <cfRule type="expression" dxfId="5694" priority="16" stopIfTrue="1">
      <formula>IF(AK93&gt;5,0,1)</formula>
    </cfRule>
  </conditionalFormatting>
  <conditionalFormatting sqref="B107:D108">
    <cfRule type="cellIs" dxfId="5693" priority="15" stopIfTrue="1" operator="equal">
      <formula>99</formula>
    </cfRule>
  </conditionalFormatting>
  <conditionalFormatting sqref="E8">
    <cfRule type="expression" dxfId="5692" priority="14" stopIfTrue="1">
      <formula>IF(AK9&gt;0,0,1)</formula>
    </cfRule>
  </conditionalFormatting>
  <conditionalFormatting sqref="E9">
    <cfRule type="expression" dxfId="5691" priority="13" stopIfTrue="1">
      <formula>IF(AK9&gt;0,0,1)</formula>
    </cfRule>
  </conditionalFormatting>
  <conditionalFormatting sqref="E10">
    <cfRule type="expression" dxfId="5690" priority="12" stopIfTrue="1">
      <formula>IF(AK9&gt;1,0,1)</formula>
    </cfRule>
  </conditionalFormatting>
  <conditionalFormatting sqref="E11">
    <cfRule type="expression" dxfId="5689" priority="11" stopIfTrue="1">
      <formula>IF(AK9&gt;1,0,1)</formula>
    </cfRule>
  </conditionalFormatting>
  <conditionalFormatting sqref="E12">
    <cfRule type="expression" dxfId="5688" priority="10" stopIfTrue="1">
      <formula>IF(AK9&gt;2,0,1)</formula>
    </cfRule>
  </conditionalFormatting>
  <conditionalFormatting sqref="E13">
    <cfRule type="expression" dxfId="5687" priority="9" stopIfTrue="1">
      <formula>IF(AK9&gt;2,0,1)</formula>
    </cfRule>
  </conditionalFormatting>
  <conditionalFormatting sqref="E14">
    <cfRule type="expression" dxfId="5686" priority="8" stopIfTrue="1">
      <formula>IF(AK9&gt;3,0,1)</formula>
    </cfRule>
  </conditionalFormatting>
  <conditionalFormatting sqref="E15">
    <cfRule type="expression" dxfId="5685" priority="7" stopIfTrue="1">
      <formula>IF(AK9&gt;3,0,1)</formula>
    </cfRule>
  </conditionalFormatting>
  <conditionalFormatting sqref="E93">
    <cfRule type="expression" dxfId="5684" priority="6" stopIfTrue="1">
      <formula>IF(AK94&gt;0,0,1)</formula>
    </cfRule>
  </conditionalFormatting>
  <conditionalFormatting sqref="E94">
    <cfRule type="expression" dxfId="5683" priority="5" stopIfTrue="1">
      <formula>IF(AK94&gt;0,0,1)</formula>
    </cfRule>
  </conditionalFormatting>
  <conditionalFormatting sqref="E95">
    <cfRule type="expression" dxfId="5682" priority="4" stopIfTrue="1">
      <formula>IF(AK94&gt;1,0,1)</formula>
    </cfRule>
  </conditionalFormatting>
  <conditionalFormatting sqref="E96">
    <cfRule type="expression" dxfId="5681" priority="3" stopIfTrue="1">
      <formula>IF(AK94&gt;1,0,1)</formula>
    </cfRule>
  </conditionalFormatting>
  <conditionalFormatting sqref="E97">
    <cfRule type="expression" dxfId="5680" priority="2" stopIfTrue="1">
      <formula>IF(AK94&gt;2,0,1)</formula>
    </cfRule>
  </conditionalFormatting>
  <conditionalFormatting sqref="E98">
    <cfRule type="expression" dxfId="5679" priority="1" stopIfTrue="1">
      <formula>IF(AK94&gt;2,0,1)</formula>
    </cfRule>
  </conditionalFormatting>
  <pageMargins left="0.25" right="0.25" top="0.25" bottom="0.25" header="0" footer="0"/>
  <pageSetup scale="80" fitToHeight="8" orientation="landscape" r:id="rId1"/>
  <headerFooter alignWithMargins="0"/>
  <rowBreaks count="2" manualBreakCount="2">
    <brk id="90" max="42" man="1"/>
    <brk id="175" max="42" man="1"/>
  </rowBreaks>
  <drawing r:id="rId2"/>
  <legacyDrawing r:id="rId3"/>
  <controls>
    <mc:AlternateContent xmlns:mc="http://schemas.openxmlformats.org/markup-compatibility/2006">
      <mc:Choice Requires="x14">
        <control shapeId="19457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260</xdr:row>
                <xdr:rowOff>0</xdr:rowOff>
              </from>
              <to>
                <xdr:col>41</xdr:col>
                <xdr:colOff>228600</xdr:colOff>
                <xdr:row>260</xdr:row>
                <xdr:rowOff>0</xdr:rowOff>
              </to>
            </anchor>
          </controlPr>
        </control>
      </mc:Choice>
      <mc:Fallback>
        <control shapeId="19457" r:id="rId4" name="Pool4RecalcFinish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89"/>
  <sheetViews>
    <sheetView tabSelected="1" workbookViewId="0">
      <selection activeCell="I17" sqref="I17"/>
    </sheetView>
  </sheetViews>
  <sheetFormatPr defaultRowHeight="15" x14ac:dyDescent="0.25"/>
  <cols>
    <col min="1" max="1" width="7.140625" style="175" bestFit="1" customWidth="1"/>
    <col min="2" max="2" width="3" style="175" customWidth="1"/>
    <col min="3" max="3" width="3" style="175" bestFit="1" customWidth="1"/>
    <col min="4" max="4" width="5.28515625" style="175" bestFit="1" customWidth="1"/>
    <col min="5" max="5" width="4.42578125" style="175" bestFit="1" customWidth="1"/>
    <col min="6" max="6" width="4.85546875" style="175" bestFit="1" customWidth="1"/>
    <col min="7" max="7" width="13.85546875" style="175" bestFit="1" customWidth="1"/>
    <col min="8" max="8" width="34.85546875" style="175" bestFit="1" customWidth="1"/>
    <col min="9" max="9" width="27.140625" style="175" bestFit="1" customWidth="1"/>
    <col min="10" max="10" width="6.7109375" style="175" bestFit="1" customWidth="1"/>
    <col min="11" max="11" width="7.7109375" style="178" bestFit="1" customWidth="1"/>
    <col min="12" max="12" width="7.5703125" style="175" bestFit="1" customWidth="1"/>
    <col min="13" max="13" width="10" style="178" bestFit="1" customWidth="1"/>
    <col min="14" max="14" width="10" style="178" customWidth="1"/>
    <col min="15" max="16" width="8.7109375" style="175" bestFit="1" customWidth="1"/>
    <col min="17" max="19" width="9.7109375" style="175" bestFit="1" customWidth="1"/>
    <col min="20" max="20" width="8.7109375" style="175" bestFit="1" customWidth="1"/>
    <col min="21" max="23" width="9.7109375" style="175" bestFit="1" customWidth="1"/>
    <col min="24" max="24" width="8.7109375" style="175" bestFit="1" customWidth="1"/>
    <col min="25" max="28" width="9.7109375" style="175" bestFit="1" customWidth="1"/>
    <col min="29" max="29" width="8.7109375" style="175" bestFit="1" customWidth="1"/>
    <col min="30" max="16384" width="9.140625" style="175"/>
  </cols>
  <sheetData>
    <row r="1" spans="1:35" s="174" customFormat="1" ht="30" x14ac:dyDescent="0.25">
      <c r="A1" s="171" t="s">
        <v>341</v>
      </c>
      <c r="B1" s="171"/>
      <c r="C1" s="171" t="s">
        <v>342</v>
      </c>
      <c r="D1" s="171" t="s">
        <v>343</v>
      </c>
      <c r="E1" s="171" t="s">
        <v>18</v>
      </c>
      <c r="F1" s="171" t="s">
        <v>344</v>
      </c>
      <c r="G1" s="171" t="s">
        <v>345</v>
      </c>
      <c r="H1" s="171" t="s">
        <v>346</v>
      </c>
      <c r="I1" s="171" t="s">
        <v>10</v>
      </c>
      <c r="J1" s="171" t="s">
        <v>347</v>
      </c>
      <c r="K1" s="172" t="s">
        <v>348</v>
      </c>
      <c r="L1" s="171"/>
      <c r="M1" s="172" t="s">
        <v>116</v>
      </c>
      <c r="N1" s="172"/>
      <c r="O1" s="173" t="s">
        <v>349</v>
      </c>
      <c r="P1" s="173" t="s">
        <v>350</v>
      </c>
      <c r="Q1" s="173">
        <v>42383</v>
      </c>
      <c r="R1" s="173">
        <f>Q1+7</f>
        <v>42390</v>
      </c>
      <c r="S1" s="173">
        <f t="shared" ref="S1:AC1" si="0">R1+7</f>
        <v>42397</v>
      </c>
      <c r="T1" s="173">
        <f t="shared" si="0"/>
        <v>42404</v>
      </c>
      <c r="U1" s="173">
        <f t="shared" si="0"/>
        <v>42411</v>
      </c>
      <c r="V1" s="173">
        <f t="shared" si="0"/>
        <v>42418</v>
      </c>
      <c r="W1" s="173">
        <f t="shared" si="0"/>
        <v>42425</v>
      </c>
      <c r="X1" s="173">
        <f t="shared" si="0"/>
        <v>42432</v>
      </c>
      <c r="Y1" s="173">
        <f t="shared" si="0"/>
        <v>42439</v>
      </c>
      <c r="Z1" s="173">
        <f t="shared" si="0"/>
        <v>42446</v>
      </c>
      <c r="AA1" s="173">
        <f t="shared" si="0"/>
        <v>42453</v>
      </c>
      <c r="AB1" s="173">
        <f t="shared" si="0"/>
        <v>42460</v>
      </c>
      <c r="AC1" s="173">
        <f t="shared" si="0"/>
        <v>42467</v>
      </c>
      <c r="AH1" s="175"/>
      <c r="AI1" s="175"/>
    </row>
    <row r="2" spans="1:35" x14ac:dyDescent="0.25">
      <c r="A2" s="176">
        <v>3</v>
      </c>
      <c r="B2" s="176"/>
      <c r="C2" s="176">
        <f t="shared" ref="C2:C65" si="1">IF(E2=E1,C1+1,1)</f>
        <v>1</v>
      </c>
      <c r="D2" s="176">
        <f t="shared" ref="D2:D65" si="2">IF(M2=M1,D1,C2)</f>
        <v>1</v>
      </c>
      <c r="E2" s="176">
        <f t="shared" ref="E2:E65" si="3">10+VALUE(RIGHT(LEFT(G2,3),1))</f>
        <v>11</v>
      </c>
      <c r="F2" s="176" t="str">
        <f t="shared" ref="F2:F65" si="4">RIGHT(G2,2) &amp; IF(A2&lt;2,"x","")</f>
        <v>pm</v>
      </c>
      <c r="G2" s="176" t="s">
        <v>351</v>
      </c>
      <c r="H2" s="176" t="s">
        <v>352</v>
      </c>
      <c r="I2" s="176" t="s">
        <v>353</v>
      </c>
      <c r="J2" s="177" t="s">
        <v>22</v>
      </c>
      <c r="K2" s="178">
        <f t="shared" ref="K2:K65" si="5">LOOKUP(1E+100,M2:AC2)</f>
        <v>1420.2491124742737</v>
      </c>
      <c r="L2" s="176"/>
      <c r="M2" s="178">
        <v>1600</v>
      </c>
      <c r="O2" s="178">
        <v>1473.3153485871062</v>
      </c>
      <c r="P2" s="178"/>
      <c r="Q2" s="178"/>
      <c r="R2" s="178"/>
      <c r="S2" s="178">
        <v>1420.2491124742737</v>
      </c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</row>
    <row r="3" spans="1:35" x14ac:dyDescent="0.25">
      <c r="A3" s="176">
        <v>3</v>
      </c>
      <c r="B3" s="176"/>
      <c r="C3" s="176">
        <f t="shared" si="1"/>
        <v>2</v>
      </c>
      <c r="D3" s="176">
        <f t="shared" si="2"/>
        <v>2</v>
      </c>
      <c r="E3" s="176">
        <f t="shared" si="3"/>
        <v>11</v>
      </c>
      <c r="F3" s="176" t="str">
        <f t="shared" si="4"/>
        <v>pm</v>
      </c>
      <c r="G3" s="176" t="s">
        <v>354</v>
      </c>
      <c r="H3" s="176" t="s">
        <v>355</v>
      </c>
      <c r="I3" s="176" t="s">
        <v>356</v>
      </c>
      <c r="J3" s="177" t="s">
        <v>21</v>
      </c>
      <c r="K3" s="178">
        <f t="shared" si="5"/>
        <v>1414.1860693632427</v>
      </c>
      <c r="L3" s="176"/>
      <c r="M3" s="178">
        <v>1400</v>
      </c>
      <c r="O3" s="178"/>
      <c r="P3" s="178"/>
      <c r="Q3" s="178"/>
      <c r="R3" s="178">
        <v>1414.1860693632427</v>
      </c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</row>
    <row r="4" spans="1:35" x14ac:dyDescent="0.25">
      <c r="A4" s="176">
        <v>5</v>
      </c>
      <c r="B4" s="176"/>
      <c r="C4" s="176">
        <f t="shared" si="1"/>
        <v>3</v>
      </c>
      <c r="D4" s="176">
        <f t="shared" si="2"/>
        <v>3</v>
      </c>
      <c r="E4" s="176">
        <f t="shared" si="3"/>
        <v>11</v>
      </c>
      <c r="F4" s="176" t="str">
        <f t="shared" si="4"/>
        <v>pm</v>
      </c>
      <c r="G4" s="176" t="s">
        <v>357</v>
      </c>
      <c r="H4" s="176" t="s">
        <v>358</v>
      </c>
      <c r="I4" s="176" t="s">
        <v>359</v>
      </c>
      <c r="J4" s="177" t="s">
        <v>360</v>
      </c>
      <c r="K4" s="178">
        <f t="shared" si="5"/>
        <v>1216.2682939252052</v>
      </c>
      <c r="L4" s="176"/>
      <c r="M4" s="178">
        <v>1200</v>
      </c>
      <c r="O4" s="178"/>
      <c r="P4" s="178"/>
      <c r="Q4" s="178"/>
      <c r="R4" s="178">
        <v>1217.5505615019474</v>
      </c>
      <c r="S4" s="178"/>
      <c r="T4" s="178">
        <v>1216.2682939252052</v>
      </c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</row>
    <row r="5" spans="1:35" x14ac:dyDescent="0.25">
      <c r="A5" s="176">
        <v>7</v>
      </c>
      <c r="B5" s="176"/>
      <c r="C5" s="176">
        <f t="shared" si="1"/>
        <v>1</v>
      </c>
      <c r="D5" s="176">
        <f t="shared" si="2"/>
        <v>1</v>
      </c>
      <c r="E5" s="176">
        <f t="shared" si="3"/>
        <v>12</v>
      </c>
      <c r="F5" s="176" t="str">
        <f t="shared" si="4"/>
        <v>pm</v>
      </c>
      <c r="G5" s="176" t="s">
        <v>367</v>
      </c>
      <c r="H5" s="176" t="s">
        <v>368</v>
      </c>
      <c r="I5" s="176" t="s">
        <v>369</v>
      </c>
      <c r="J5" s="177" t="s">
        <v>22</v>
      </c>
      <c r="K5" s="178">
        <f t="shared" si="5"/>
        <v>1730.1249302111369</v>
      </c>
      <c r="L5" s="176"/>
      <c r="M5" s="178">
        <v>1600</v>
      </c>
      <c r="O5" s="178">
        <v>1636.9148649131555</v>
      </c>
      <c r="P5" s="178"/>
      <c r="Q5" s="178">
        <v>1746.8509792457253</v>
      </c>
      <c r="R5" s="178"/>
      <c r="S5" s="178">
        <v>1730.1249302111369</v>
      </c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</row>
    <row r="6" spans="1:35" x14ac:dyDescent="0.25">
      <c r="A6" s="176">
        <v>2</v>
      </c>
      <c r="B6" s="176"/>
      <c r="C6" s="176">
        <f t="shared" si="1"/>
        <v>2</v>
      </c>
      <c r="D6" s="176">
        <f t="shared" si="2"/>
        <v>1</v>
      </c>
      <c r="E6" s="176">
        <f t="shared" si="3"/>
        <v>12</v>
      </c>
      <c r="F6" s="176" t="str">
        <f t="shared" si="4"/>
        <v>pm</v>
      </c>
      <c r="G6" s="176" t="s">
        <v>370</v>
      </c>
      <c r="H6" s="176" t="s">
        <v>352</v>
      </c>
      <c r="I6" s="176" t="s">
        <v>371</v>
      </c>
      <c r="J6" s="177" t="s">
        <v>22</v>
      </c>
      <c r="K6" s="178">
        <f t="shared" si="5"/>
        <v>1707.8006673986267</v>
      </c>
      <c r="L6" s="176"/>
      <c r="M6" s="178">
        <v>1600</v>
      </c>
      <c r="O6" s="178">
        <v>1707.8006673986267</v>
      </c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</row>
    <row r="7" spans="1:35" x14ac:dyDescent="0.25">
      <c r="A7" s="176">
        <v>4</v>
      </c>
      <c r="B7" s="176"/>
      <c r="C7" s="176">
        <f t="shared" si="1"/>
        <v>3</v>
      </c>
      <c r="D7" s="176">
        <f t="shared" si="2"/>
        <v>3</v>
      </c>
      <c r="E7" s="176">
        <f t="shared" si="3"/>
        <v>12</v>
      </c>
      <c r="F7" s="176" t="str">
        <f t="shared" si="4"/>
        <v>pm</v>
      </c>
      <c r="G7" s="176" t="s">
        <v>232</v>
      </c>
      <c r="H7" s="176" t="s">
        <v>378</v>
      </c>
      <c r="I7" s="176" t="s">
        <v>231</v>
      </c>
      <c r="J7" s="177" t="s">
        <v>22</v>
      </c>
      <c r="K7" s="178">
        <f t="shared" si="5"/>
        <v>1706.1407986026627</v>
      </c>
      <c r="L7" s="176"/>
      <c r="M7" s="178">
        <v>1550</v>
      </c>
      <c r="O7" s="178">
        <v>1590.1567686677104</v>
      </c>
      <c r="P7" s="178"/>
      <c r="Q7" s="178"/>
      <c r="R7" s="178"/>
      <c r="S7" s="178">
        <v>1683.9371318599437</v>
      </c>
      <c r="T7" s="178">
        <v>1706.1407986026627</v>
      </c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</row>
    <row r="8" spans="1:35" x14ac:dyDescent="0.25">
      <c r="A8" s="176">
        <v>3</v>
      </c>
      <c r="B8" s="176"/>
      <c r="C8" s="176">
        <f t="shared" si="1"/>
        <v>4</v>
      </c>
      <c r="D8" s="176">
        <f t="shared" si="2"/>
        <v>4</v>
      </c>
      <c r="E8" s="176">
        <f t="shared" si="3"/>
        <v>12</v>
      </c>
      <c r="F8" s="176" t="str">
        <f t="shared" si="4"/>
        <v>pm</v>
      </c>
      <c r="G8" s="176" t="s">
        <v>381</v>
      </c>
      <c r="H8" s="176" t="s">
        <v>358</v>
      </c>
      <c r="I8" s="176" t="s">
        <v>382</v>
      </c>
      <c r="J8" s="177" t="s">
        <v>22</v>
      </c>
      <c r="K8" s="178">
        <f t="shared" si="5"/>
        <v>1601.107366554467</v>
      </c>
      <c r="L8" s="176"/>
      <c r="M8" s="178">
        <v>1533.3333333333333</v>
      </c>
      <c r="O8" s="178">
        <v>1601.107366554467</v>
      </c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</row>
    <row r="9" spans="1:35" x14ac:dyDescent="0.25">
      <c r="A9" s="176">
        <v>4</v>
      </c>
      <c r="B9" s="176"/>
      <c r="C9" s="176">
        <f t="shared" si="1"/>
        <v>5</v>
      </c>
      <c r="D9" s="176">
        <f t="shared" si="2"/>
        <v>5</v>
      </c>
      <c r="E9" s="176">
        <f t="shared" si="3"/>
        <v>12</v>
      </c>
      <c r="F9" s="176" t="str">
        <f t="shared" si="4"/>
        <v>pm</v>
      </c>
      <c r="G9" s="176" t="s">
        <v>364</v>
      </c>
      <c r="H9" s="176" t="s">
        <v>365</v>
      </c>
      <c r="I9" s="176" t="s">
        <v>366</v>
      </c>
      <c r="J9" s="177" t="s">
        <v>22</v>
      </c>
      <c r="K9" s="178">
        <f t="shared" si="5"/>
        <v>1600</v>
      </c>
      <c r="L9" s="176"/>
      <c r="M9" s="178">
        <v>1600</v>
      </c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</row>
    <row r="10" spans="1:35" x14ac:dyDescent="0.25">
      <c r="A10" s="176">
        <v>2</v>
      </c>
      <c r="B10" s="176"/>
      <c r="C10" s="176">
        <f t="shared" si="1"/>
        <v>6</v>
      </c>
      <c r="D10" s="176">
        <f t="shared" si="2"/>
        <v>5</v>
      </c>
      <c r="E10" s="176">
        <f t="shared" si="3"/>
        <v>12</v>
      </c>
      <c r="F10" s="176" t="str">
        <f t="shared" si="4"/>
        <v>pm</v>
      </c>
      <c r="G10" s="176" t="s">
        <v>374</v>
      </c>
      <c r="H10" s="176" t="s">
        <v>375</v>
      </c>
      <c r="I10" s="176" t="s">
        <v>376</v>
      </c>
      <c r="J10" s="177" t="s">
        <v>22</v>
      </c>
      <c r="K10" s="178">
        <f t="shared" si="5"/>
        <v>1600</v>
      </c>
      <c r="L10" s="176"/>
      <c r="M10" s="178">
        <v>1600</v>
      </c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</row>
    <row r="11" spans="1:35" x14ac:dyDescent="0.25">
      <c r="A11" s="176">
        <v>2</v>
      </c>
      <c r="B11" s="176"/>
      <c r="C11" s="176">
        <f t="shared" si="1"/>
        <v>7</v>
      </c>
      <c r="D11" s="176">
        <f t="shared" si="2"/>
        <v>5</v>
      </c>
      <c r="E11" s="176">
        <f t="shared" si="3"/>
        <v>12</v>
      </c>
      <c r="F11" s="176" t="str">
        <f t="shared" si="4"/>
        <v>pm</v>
      </c>
      <c r="G11" s="176" t="s">
        <v>361</v>
      </c>
      <c r="H11" s="176" t="s">
        <v>362</v>
      </c>
      <c r="I11" s="176" t="s">
        <v>363</v>
      </c>
      <c r="J11" s="177" t="s">
        <v>22</v>
      </c>
      <c r="K11" s="178">
        <f t="shared" si="5"/>
        <v>1588.0546571711616</v>
      </c>
      <c r="L11" s="176"/>
      <c r="M11" s="178">
        <v>1600</v>
      </c>
      <c r="O11" s="178">
        <v>1588.0546571711616</v>
      </c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</row>
    <row r="12" spans="1:35" x14ac:dyDescent="0.25">
      <c r="A12" s="176">
        <v>4</v>
      </c>
      <c r="B12" s="176"/>
      <c r="C12" s="176">
        <f t="shared" si="1"/>
        <v>8</v>
      </c>
      <c r="D12" s="176">
        <f t="shared" si="2"/>
        <v>8</v>
      </c>
      <c r="E12" s="176">
        <f t="shared" si="3"/>
        <v>12</v>
      </c>
      <c r="F12" s="176" t="str">
        <f t="shared" si="4"/>
        <v>pm</v>
      </c>
      <c r="G12" s="176" t="s">
        <v>386</v>
      </c>
      <c r="H12" s="176" t="s">
        <v>387</v>
      </c>
      <c r="I12" s="176" t="s">
        <v>388</v>
      </c>
      <c r="J12" s="177" t="s">
        <v>22</v>
      </c>
      <c r="K12" s="178">
        <f t="shared" si="5"/>
        <v>1579.837673206011</v>
      </c>
      <c r="L12" s="176"/>
      <c r="M12" s="178">
        <v>1500</v>
      </c>
      <c r="O12" s="178"/>
      <c r="P12" s="178">
        <v>1529.0989384029981</v>
      </c>
      <c r="Q12" s="178"/>
      <c r="R12" s="178">
        <v>1587.0203486316693</v>
      </c>
      <c r="S12" s="178">
        <v>1579.837673206011</v>
      </c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</row>
    <row r="13" spans="1:35" x14ac:dyDescent="0.25">
      <c r="A13" s="176">
        <v>6</v>
      </c>
      <c r="B13" s="176"/>
      <c r="C13" s="176">
        <f t="shared" si="1"/>
        <v>9</v>
      </c>
      <c r="D13" s="176">
        <f t="shared" si="2"/>
        <v>9</v>
      </c>
      <c r="E13" s="176">
        <f t="shared" si="3"/>
        <v>12</v>
      </c>
      <c r="F13" s="176" t="str">
        <f t="shared" si="4"/>
        <v>pm</v>
      </c>
      <c r="G13" s="176" t="s">
        <v>206</v>
      </c>
      <c r="H13" s="176" t="s">
        <v>392</v>
      </c>
      <c r="I13" s="176" t="s">
        <v>205</v>
      </c>
      <c r="J13" s="177" t="s">
        <v>21</v>
      </c>
      <c r="K13" s="178">
        <f t="shared" si="5"/>
        <v>1541.7446072243681</v>
      </c>
      <c r="L13" s="176"/>
      <c r="M13" s="178">
        <v>1333.3333333333333</v>
      </c>
      <c r="O13" s="178"/>
      <c r="P13" s="178"/>
      <c r="Q13" s="178"/>
      <c r="R13" s="178">
        <v>1456.291164140775</v>
      </c>
      <c r="S13" s="178"/>
      <c r="T13" s="178">
        <v>1541.7446072243681</v>
      </c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</row>
    <row r="14" spans="1:35" x14ac:dyDescent="0.25">
      <c r="A14" s="176">
        <v>2</v>
      </c>
      <c r="B14" s="176"/>
      <c r="C14" s="176">
        <f t="shared" si="1"/>
        <v>10</v>
      </c>
      <c r="D14" s="176">
        <f t="shared" si="2"/>
        <v>10</v>
      </c>
      <c r="E14" s="176">
        <f t="shared" si="3"/>
        <v>12</v>
      </c>
      <c r="F14" s="176" t="str">
        <f t="shared" si="4"/>
        <v>pm</v>
      </c>
      <c r="G14" s="176" t="s">
        <v>372</v>
      </c>
      <c r="H14" s="176" t="s">
        <v>352</v>
      </c>
      <c r="I14" s="176" t="s">
        <v>373</v>
      </c>
      <c r="J14" s="177" t="s">
        <v>22</v>
      </c>
      <c r="K14" s="178">
        <f t="shared" si="5"/>
        <v>1536.8245779108793</v>
      </c>
      <c r="L14" s="176"/>
      <c r="M14" s="178">
        <v>1600</v>
      </c>
      <c r="O14" s="178">
        <v>1536.8245779108793</v>
      </c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</row>
    <row r="15" spans="1:35" x14ac:dyDescent="0.25">
      <c r="A15" s="176">
        <v>6</v>
      </c>
      <c r="B15" s="176"/>
      <c r="C15" s="176">
        <f t="shared" si="1"/>
        <v>11</v>
      </c>
      <c r="D15" s="176">
        <f t="shared" si="2"/>
        <v>11</v>
      </c>
      <c r="E15" s="176">
        <f t="shared" si="3"/>
        <v>12</v>
      </c>
      <c r="F15" s="176" t="str">
        <f t="shared" si="4"/>
        <v>pm</v>
      </c>
      <c r="G15" s="176" t="s">
        <v>216</v>
      </c>
      <c r="H15" s="176" t="s">
        <v>401</v>
      </c>
      <c r="I15" s="176" t="s">
        <v>215</v>
      </c>
      <c r="J15" s="177" t="s">
        <v>21</v>
      </c>
      <c r="K15" s="178">
        <f t="shared" si="5"/>
        <v>1516.8809749614643</v>
      </c>
      <c r="L15" s="176"/>
      <c r="M15" s="178">
        <v>1400</v>
      </c>
      <c r="O15" s="178"/>
      <c r="P15" s="178"/>
      <c r="Q15" s="178"/>
      <c r="R15" s="178">
        <v>1417.7394943703641</v>
      </c>
      <c r="S15" s="178"/>
      <c r="T15" s="178">
        <v>1516.8809749614643</v>
      </c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</row>
    <row r="16" spans="1:35" x14ac:dyDescent="0.25">
      <c r="A16" s="176">
        <v>3</v>
      </c>
      <c r="B16" s="176"/>
      <c r="C16" s="176">
        <f t="shared" si="1"/>
        <v>12</v>
      </c>
      <c r="D16" s="176">
        <f t="shared" si="2"/>
        <v>11</v>
      </c>
      <c r="E16" s="176">
        <f t="shared" si="3"/>
        <v>12</v>
      </c>
      <c r="F16" s="176" t="str">
        <f t="shared" si="4"/>
        <v>pm</v>
      </c>
      <c r="G16" s="176" t="s">
        <v>413</v>
      </c>
      <c r="H16" s="176" t="s">
        <v>387</v>
      </c>
      <c r="I16" s="176" t="s">
        <v>414</v>
      </c>
      <c r="J16" s="177" t="s">
        <v>21</v>
      </c>
      <c r="K16" s="178">
        <f t="shared" si="5"/>
        <v>1503.5614357480144</v>
      </c>
      <c r="L16" s="176"/>
      <c r="M16" s="178">
        <v>1400</v>
      </c>
      <c r="O16" s="178"/>
      <c r="P16" s="178"/>
      <c r="Q16" s="178"/>
      <c r="R16" s="178">
        <v>1503.5614357480144</v>
      </c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</row>
    <row r="17" spans="1:35" s="178" customFormat="1" x14ac:dyDescent="0.25">
      <c r="A17" s="176">
        <v>4</v>
      </c>
      <c r="B17" s="176"/>
      <c r="C17" s="176">
        <f t="shared" si="1"/>
        <v>13</v>
      </c>
      <c r="D17" s="176">
        <f t="shared" si="2"/>
        <v>11</v>
      </c>
      <c r="E17" s="176">
        <f t="shared" si="3"/>
        <v>12</v>
      </c>
      <c r="F17" s="176" t="str">
        <f t="shared" si="4"/>
        <v>pm</v>
      </c>
      <c r="G17" s="176" t="s">
        <v>218</v>
      </c>
      <c r="H17" s="176" t="s">
        <v>400</v>
      </c>
      <c r="I17" s="176" t="s">
        <v>217</v>
      </c>
      <c r="J17" s="177" t="s">
        <v>21</v>
      </c>
      <c r="K17" s="178">
        <f t="shared" si="5"/>
        <v>1498.9080818919695</v>
      </c>
      <c r="L17" s="176"/>
      <c r="M17" s="178">
        <v>1400</v>
      </c>
      <c r="R17" s="178">
        <v>1400.1815869502536</v>
      </c>
      <c r="T17" s="178">
        <v>1498.9080818919695</v>
      </c>
      <c r="AH17" s="175"/>
      <c r="AI17" s="175"/>
    </row>
    <row r="18" spans="1:35" s="178" customFormat="1" x14ac:dyDescent="0.25">
      <c r="A18" s="176">
        <v>4</v>
      </c>
      <c r="B18" s="176"/>
      <c r="C18" s="176">
        <f t="shared" si="1"/>
        <v>14</v>
      </c>
      <c r="D18" s="176">
        <f t="shared" si="2"/>
        <v>11</v>
      </c>
      <c r="E18" s="176">
        <f t="shared" si="3"/>
        <v>12</v>
      </c>
      <c r="F18" s="176" t="str">
        <f t="shared" si="4"/>
        <v>pm</v>
      </c>
      <c r="G18" s="176" t="s">
        <v>405</v>
      </c>
      <c r="H18" s="176" t="s">
        <v>406</v>
      </c>
      <c r="I18" s="176" t="s">
        <v>407</v>
      </c>
      <c r="J18" s="177" t="s">
        <v>21</v>
      </c>
      <c r="K18" s="178">
        <f t="shared" si="5"/>
        <v>1497.5998860297041</v>
      </c>
      <c r="L18" s="176"/>
      <c r="M18" s="178">
        <v>1400</v>
      </c>
      <c r="P18" s="178">
        <v>1437.3487614330793</v>
      </c>
      <c r="R18" s="178">
        <v>1497.5998860297041</v>
      </c>
      <c r="AH18" s="175"/>
      <c r="AI18" s="175"/>
    </row>
    <row r="19" spans="1:35" s="178" customFormat="1" x14ac:dyDescent="0.25">
      <c r="A19" s="176">
        <v>2</v>
      </c>
      <c r="B19" s="176"/>
      <c r="C19" s="176">
        <f t="shared" si="1"/>
        <v>15</v>
      </c>
      <c r="D19" s="176">
        <f t="shared" si="2"/>
        <v>15</v>
      </c>
      <c r="E19" s="176">
        <f t="shared" si="3"/>
        <v>12</v>
      </c>
      <c r="F19" s="176" t="str">
        <f t="shared" si="4"/>
        <v>pm</v>
      </c>
      <c r="G19" s="176" t="s">
        <v>389</v>
      </c>
      <c r="H19" s="176" t="s">
        <v>390</v>
      </c>
      <c r="I19" s="176" t="s">
        <v>391</v>
      </c>
      <c r="J19" s="177" t="s">
        <v>22</v>
      </c>
      <c r="K19" s="178">
        <f t="shared" si="5"/>
        <v>1495.1518906606425</v>
      </c>
      <c r="L19" s="176"/>
      <c r="M19" s="178">
        <v>1500</v>
      </c>
      <c r="R19" s="178">
        <v>1495.1518906606425</v>
      </c>
      <c r="AH19" s="175"/>
      <c r="AI19" s="175"/>
    </row>
    <row r="20" spans="1:35" s="178" customFormat="1" x14ac:dyDescent="0.25">
      <c r="A20" s="176">
        <v>3</v>
      </c>
      <c r="B20" s="176"/>
      <c r="C20" s="176">
        <f t="shared" si="1"/>
        <v>16</v>
      </c>
      <c r="D20" s="176">
        <f t="shared" si="2"/>
        <v>16</v>
      </c>
      <c r="E20" s="176">
        <f t="shared" si="3"/>
        <v>12</v>
      </c>
      <c r="F20" s="176" t="str">
        <f t="shared" si="4"/>
        <v>pm</v>
      </c>
      <c r="G20" s="176" t="s">
        <v>220</v>
      </c>
      <c r="H20" s="176" t="s">
        <v>408</v>
      </c>
      <c r="I20" s="176" t="s">
        <v>219</v>
      </c>
      <c r="J20" s="177" t="s">
        <v>21</v>
      </c>
      <c r="K20" s="178">
        <f t="shared" si="5"/>
        <v>1460.4507880808455</v>
      </c>
      <c r="L20" s="176"/>
      <c r="M20" s="178">
        <v>1400</v>
      </c>
      <c r="T20" s="178">
        <v>1460.4507880808455</v>
      </c>
      <c r="AH20" s="175"/>
      <c r="AI20" s="175"/>
    </row>
    <row r="21" spans="1:35" s="178" customFormat="1" x14ac:dyDescent="0.25">
      <c r="A21" s="176">
        <v>5</v>
      </c>
      <c r="B21" s="176"/>
      <c r="C21" s="176">
        <f t="shared" si="1"/>
        <v>17</v>
      </c>
      <c r="D21" s="176">
        <f t="shared" si="2"/>
        <v>16</v>
      </c>
      <c r="E21" s="176">
        <f t="shared" si="3"/>
        <v>12</v>
      </c>
      <c r="F21" s="176" t="str">
        <f t="shared" si="4"/>
        <v>pm</v>
      </c>
      <c r="G21" s="176" t="s">
        <v>208</v>
      </c>
      <c r="H21" s="176" t="s">
        <v>421</v>
      </c>
      <c r="I21" s="176" t="s">
        <v>207</v>
      </c>
      <c r="J21" s="177" t="s">
        <v>21</v>
      </c>
      <c r="K21" s="178">
        <f t="shared" si="5"/>
        <v>1453.397960125621</v>
      </c>
      <c r="L21" s="176"/>
      <c r="M21" s="178">
        <v>1400</v>
      </c>
      <c r="R21" s="178">
        <v>1450.7912672511281</v>
      </c>
      <c r="T21" s="178">
        <v>1453.397960125621</v>
      </c>
      <c r="AH21" s="175"/>
      <c r="AI21" s="175"/>
    </row>
    <row r="22" spans="1:35" s="178" customFormat="1" x14ac:dyDescent="0.25">
      <c r="A22" s="176">
        <v>5</v>
      </c>
      <c r="B22" s="176"/>
      <c r="C22" s="176">
        <f t="shared" si="1"/>
        <v>18</v>
      </c>
      <c r="D22" s="176">
        <f t="shared" si="2"/>
        <v>18</v>
      </c>
      <c r="E22" s="176">
        <f t="shared" si="3"/>
        <v>12</v>
      </c>
      <c r="F22" s="176" t="str">
        <f t="shared" si="4"/>
        <v>pm</v>
      </c>
      <c r="G22" s="176" t="s">
        <v>383</v>
      </c>
      <c r="H22" s="176" t="s">
        <v>384</v>
      </c>
      <c r="I22" s="176" t="s">
        <v>385</v>
      </c>
      <c r="J22" s="177" t="s">
        <v>22</v>
      </c>
      <c r="K22" s="178">
        <f t="shared" si="5"/>
        <v>1449.5507700226187</v>
      </c>
      <c r="L22" s="176"/>
      <c r="M22" s="178">
        <v>1520</v>
      </c>
      <c r="O22" s="178">
        <v>1522.1891036154591</v>
      </c>
      <c r="S22" s="178">
        <v>1449.5507700226187</v>
      </c>
      <c r="AH22" s="175"/>
      <c r="AI22" s="175"/>
    </row>
    <row r="23" spans="1:35" s="178" customFormat="1" x14ac:dyDescent="0.25">
      <c r="A23" s="176">
        <v>4</v>
      </c>
      <c r="B23" s="176"/>
      <c r="C23" s="176">
        <f t="shared" si="1"/>
        <v>19</v>
      </c>
      <c r="D23" s="176">
        <f t="shared" si="2"/>
        <v>19</v>
      </c>
      <c r="E23" s="176">
        <f t="shared" si="3"/>
        <v>12</v>
      </c>
      <c r="F23" s="176" t="str">
        <f t="shared" si="4"/>
        <v>pm</v>
      </c>
      <c r="G23" s="176" t="s">
        <v>202</v>
      </c>
      <c r="H23" s="176" t="s">
        <v>378</v>
      </c>
      <c r="I23" s="176" t="s">
        <v>201</v>
      </c>
      <c r="J23" s="177" t="s">
        <v>22</v>
      </c>
      <c r="K23" s="178">
        <f t="shared" si="5"/>
        <v>1445.0590104301564</v>
      </c>
      <c r="L23" s="176"/>
      <c r="M23" s="178">
        <v>1500</v>
      </c>
      <c r="O23" s="178">
        <v>1497.2124647290968</v>
      </c>
      <c r="S23" s="178">
        <v>1545.8627202771247</v>
      </c>
      <c r="T23" s="178">
        <v>1445.0590104301564</v>
      </c>
      <c r="AH23" s="175"/>
      <c r="AI23" s="175"/>
    </row>
    <row r="24" spans="1:35" s="178" customFormat="1" x14ac:dyDescent="0.25">
      <c r="A24" s="176">
        <v>3</v>
      </c>
      <c r="B24" s="176"/>
      <c r="C24" s="176">
        <f t="shared" si="1"/>
        <v>20</v>
      </c>
      <c r="D24" s="176">
        <f t="shared" si="2"/>
        <v>20</v>
      </c>
      <c r="E24" s="176">
        <f t="shared" si="3"/>
        <v>12</v>
      </c>
      <c r="F24" s="176" t="str">
        <f t="shared" si="4"/>
        <v>pm</v>
      </c>
      <c r="G24" s="176" t="s">
        <v>394</v>
      </c>
      <c r="H24" s="176" t="s">
        <v>355</v>
      </c>
      <c r="I24" s="176" t="s">
        <v>395</v>
      </c>
      <c r="J24" s="177" t="s">
        <v>21</v>
      </c>
      <c r="K24" s="178">
        <f t="shared" si="5"/>
        <v>1441.797756397913</v>
      </c>
      <c r="L24" s="176"/>
      <c r="M24" s="178">
        <v>1400</v>
      </c>
      <c r="P24" s="178">
        <v>1354.5958072424739</v>
      </c>
      <c r="R24" s="178">
        <v>1441.797756397913</v>
      </c>
      <c r="AH24" s="175"/>
      <c r="AI24" s="175"/>
    </row>
    <row r="25" spans="1:35" s="178" customFormat="1" x14ac:dyDescent="0.25">
      <c r="A25" s="176">
        <v>3</v>
      </c>
      <c r="B25" s="176"/>
      <c r="C25" s="176">
        <f t="shared" si="1"/>
        <v>21</v>
      </c>
      <c r="D25" s="176">
        <f t="shared" si="2"/>
        <v>20</v>
      </c>
      <c r="E25" s="176">
        <f t="shared" si="3"/>
        <v>12</v>
      </c>
      <c r="F25" s="176" t="str">
        <f t="shared" si="4"/>
        <v>pm</v>
      </c>
      <c r="G25" s="176" t="s">
        <v>398</v>
      </c>
      <c r="H25" s="176" t="s">
        <v>355</v>
      </c>
      <c r="I25" s="176" t="s">
        <v>399</v>
      </c>
      <c r="J25" s="177" t="s">
        <v>21</v>
      </c>
      <c r="K25" s="178">
        <f t="shared" si="5"/>
        <v>1441.0927735916528</v>
      </c>
      <c r="L25" s="176"/>
      <c r="M25" s="178">
        <v>1400</v>
      </c>
      <c r="R25" s="178">
        <v>1441.0927735916528</v>
      </c>
      <c r="AH25" s="175"/>
      <c r="AI25" s="175"/>
    </row>
    <row r="26" spans="1:35" s="178" customFormat="1" x14ac:dyDescent="0.25">
      <c r="A26" s="176">
        <v>6</v>
      </c>
      <c r="B26" s="176"/>
      <c r="C26" s="176">
        <f t="shared" si="1"/>
        <v>22</v>
      </c>
      <c r="D26" s="176">
        <f t="shared" si="2"/>
        <v>22</v>
      </c>
      <c r="E26" s="176">
        <f t="shared" si="3"/>
        <v>12</v>
      </c>
      <c r="F26" s="176" t="str">
        <f t="shared" si="4"/>
        <v>pm</v>
      </c>
      <c r="G26" s="176" t="s">
        <v>39</v>
      </c>
      <c r="H26" s="176" t="s">
        <v>392</v>
      </c>
      <c r="I26" s="176" t="s">
        <v>38</v>
      </c>
      <c r="J26" s="177" t="s">
        <v>21</v>
      </c>
      <c r="K26" s="178">
        <f t="shared" si="5"/>
        <v>1425.664964424519</v>
      </c>
      <c r="L26" s="176"/>
      <c r="M26" s="178">
        <v>1466.6666666666667</v>
      </c>
      <c r="R26" s="178">
        <v>1393.502057373001</v>
      </c>
      <c r="T26" s="178">
        <v>1425.664964424519</v>
      </c>
      <c r="AH26" s="175"/>
      <c r="AI26" s="175"/>
    </row>
    <row r="27" spans="1:35" s="178" customFormat="1" x14ac:dyDescent="0.25">
      <c r="A27" s="176">
        <v>6</v>
      </c>
      <c r="B27" s="176"/>
      <c r="C27" s="176">
        <f t="shared" si="1"/>
        <v>23</v>
      </c>
      <c r="D27" s="176">
        <f t="shared" si="2"/>
        <v>23</v>
      </c>
      <c r="E27" s="176">
        <f t="shared" si="3"/>
        <v>12</v>
      </c>
      <c r="F27" s="176" t="str">
        <f t="shared" si="4"/>
        <v>pm</v>
      </c>
      <c r="G27" s="176" t="s">
        <v>48</v>
      </c>
      <c r="H27" s="176" t="s">
        <v>402</v>
      </c>
      <c r="I27" s="176" t="s">
        <v>47</v>
      </c>
      <c r="J27" s="177" t="s">
        <v>21</v>
      </c>
      <c r="K27" s="178">
        <f t="shared" si="5"/>
        <v>1421.4642724843534</v>
      </c>
      <c r="L27" s="176"/>
      <c r="M27" s="178">
        <v>1400</v>
      </c>
      <c r="R27" s="178">
        <v>1375.6647897871101</v>
      </c>
      <c r="T27" s="178">
        <v>1421.4642724843534</v>
      </c>
      <c r="AH27" s="175"/>
      <c r="AI27" s="175"/>
    </row>
    <row r="28" spans="1:35" s="178" customFormat="1" x14ac:dyDescent="0.25">
      <c r="A28" s="176">
        <v>6</v>
      </c>
      <c r="B28" s="176"/>
      <c r="C28" s="176">
        <f t="shared" si="1"/>
        <v>24</v>
      </c>
      <c r="D28" s="176">
        <f t="shared" si="2"/>
        <v>23</v>
      </c>
      <c r="E28" s="176">
        <f t="shared" si="3"/>
        <v>12</v>
      </c>
      <c r="F28" s="176" t="str">
        <f t="shared" si="4"/>
        <v>pm</v>
      </c>
      <c r="G28" s="176" t="s">
        <v>214</v>
      </c>
      <c r="H28" s="176" t="s">
        <v>402</v>
      </c>
      <c r="I28" s="176" t="s">
        <v>213</v>
      </c>
      <c r="J28" s="177" t="s">
        <v>21</v>
      </c>
      <c r="K28" s="178">
        <f t="shared" si="5"/>
        <v>1400.8863763371542</v>
      </c>
      <c r="L28" s="176"/>
      <c r="M28" s="178">
        <v>1400</v>
      </c>
      <c r="R28" s="178">
        <v>1418.8311236422678</v>
      </c>
      <c r="T28" s="178">
        <v>1400.8863763371542</v>
      </c>
      <c r="AH28" s="175"/>
      <c r="AI28" s="175"/>
    </row>
    <row r="29" spans="1:35" s="178" customFormat="1" x14ac:dyDescent="0.25">
      <c r="A29" s="176">
        <v>3</v>
      </c>
      <c r="B29" s="176"/>
      <c r="C29" s="176">
        <f t="shared" si="1"/>
        <v>25</v>
      </c>
      <c r="D29" s="176">
        <f t="shared" si="2"/>
        <v>23</v>
      </c>
      <c r="E29" s="176">
        <f t="shared" si="3"/>
        <v>12</v>
      </c>
      <c r="F29" s="176" t="str">
        <f t="shared" si="4"/>
        <v>pm</v>
      </c>
      <c r="G29" s="176" t="s">
        <v>396</v>
      </c>
      <c r="H29" s="176" t="s">
        <v>355</v>
      </c>
      <c r="I29" s="176" t="s">
        <v>397</v>
      </c>
      <c r="J29" s="177" t="s">
        <v>21</v>
      </c>
      <c r="K29" s="178">
        <f t="shared" si="5"/>
        <v>1396.2512544527322</v>
      </c>
      <c r="L29" s="176"/>
      <c r="M29" s="178">
        <v>1400</v>
      </c>
      <c r="R29" s="178">
        <v>1396.2512544527322</v>
      </c>
      <c r="AH29" s="175"/>
      <c r="AI29" s="175"/>
    </row>
    <row r="30" spans="1:35" s="178" customFormat="1" x14ac:dyDescent="0.25">
      <c r="A30" s="176">
        <v>7</v>
      </c>
      <c r="B30" s="176"/>
      <c r="C30" s="176">
        <f t="shared" si="1"/>
        <v>26</v>
      </c>
      <c r="D30" s="176">
        <f t="shared" si="2"/>
        <v>26</v>
      </c>
      <c r="E30" s="176">
        <f t="shared" si="3"/>
        <v>12</v>
      </c>
      <c r="F30" s="176" t="str">
        <f t="shared" si="4"/>
        <v>pm</v>
      </c>
      <c r="G30" s="176" t="s">
        <v>57</v>
      </c>
      <c r="H30" s="176" t="s">
        <v>412</v>
      </c>
      <c r="I30" s="176" t="s">
        <v>56</v>
      </c>
      <c r="J30" s="177" t="s">
        <v>21</v>
      </c>
      <c r="K30" s="178">
        <f t="shared" si="5"/>
        <v>1391.547816818643</v>
      </c>
      <c r="L30" s="176"/>
      <c r="M30" s="178">
        <v>1371.4285714285713</v>
      </c>
      <c r="R30" s="178">
        <v>1345.1281772310635</v>
      </c>
      <c r="T30" s="178">
        <v>1391.547816818643</v>
      </c>
      <c r="AH30" s="175"/>
      <c r="AI30" s="175"/>
    </row>
    <row r="31" spans="1:35" s="178" customFormat="1" x14ac:dyDescent="0.25">
      <c r="A31" s="176">
        <v>6</v>
      </c>
      <c r="B31" s="176"/>
      <c r="C31" s="176">
        <f t="shared" si="1"/>
        <v>27</v>
      </c>
      <c r="D31" s="176">
        <f t="shared" si="2"/>
        <v>27</v>
      </c>
      <c r="E31" s="176">
        <f t="shared" si="3"/>
        <v>12</v>
      </c>
      <c r="F31" s="176" t="str">
        <f t="shared" si="4"/>
        <v>pm</v>
      </c>
      <c r="G31" s="176" t="s">
        <v>54</v>
      </c>
      <c r="H31" s="176" t="s">
        <v>412</v>
      </c>
      <c r="I31" s="176" t="s">
        <v>53</v>
      </c>
      <c r="J31" s="177" t="s">
        <v>21</v>
      </c>
      <c r="K31" s="178">
        <f t="shared" si="5"/>
        <v>1389.3253833869005</v>
      </c>
      <c r="L31" s="176"/>
      <c r="M31" s="178">
        <v>1400</v>
      </c>
      <c r="R31" s="178">
        <v>1368.3041030693962</v>
      </c>
      <c r="T31" s="178">
        <v>1389.3253833869005</v>
      </c>
      <c r="AH31" s="175"/>
      <c r="AI31" s="175"/>
    </row>
    <row r="32" spans="1:35" s="178" customFormat="1" x14ac:dyDescent="0.25">
      <c r="A32" s="176">
        <v>3</v>
      </c>
      <c r="B32" s="176"/>
      <c r="C32" s="176">
        <f t="shared" si="1"/>
        <v>28</v>
      </c>
      <c r="D32" s="176">
        <f t="shared" si="2"/>
        <v>27</v>
      </c>
      <c r="E32" s="176">
        <f t="shared" si="3"/>
        <v>12</v>
      </c>
      <c r="F32" s="176" t="str">
        <f t="shared" si="4"/>
        <v>pm</v>
      </c>
      <c r="G32" s="176" t="s">
        <v>419</v>
      </c>
      <c r="H32" s="176" t="s">
        <v>387</v>
      </c>
      <c r="I32" s="176" t="s">
        <v>420</v>
      </c>
      <c r="J32" s="177" t="s">
        <v>21</v>
      </c>
      <c r="K32" s="178">
        <f t="shared" si="5"/>
        <v>1371.0061506271329</v>
      </c>
      <c r="L32" s="176"/>
      <c r="M32" s="178">
        <v>1400</v>
      </c>
      <c r="R32" s="178">
        <v>1371.0061506271329</v>
      </c>
      <c r="AH32" s="175"/>
      <c r="AI32" s="175"/>
    </row>
    <row r="33" spans="1:35" s="178" customFormat="1" x14ac:dyDescent="0.25">
      <c r="A33" s="176">
        <v>6</v>
      </c>
      <c r="B33" s="176"/>
      <c r="C33" s="176">
        <f t="shared" si="1"/>
        <v>29</v>
      </c>
      <c r="D33" s="176">
        <f t="shared" si="2"/>
        <v>27</v>
      </c>
      <c r="E33" s="176">
        <f t="shared" si="3"/>
        <v>12</v>
      </c>
      <c r="F33" s="176" t="str">
        <f t="shared" si="4"/>
        <v>pm</v>
      </c>
      <c r="G33" s="176" t="s">
        <v>210</v>
      </c>
      <c r="H33" s="176" t="s">
        <v>412</v>
      </c>
      <c r="I33" s="176" t="s">
        <v>209</v>
      </c>
      <c r="J33" s="177" t="s">
        <v>21</v>
      </c>
      <c r="K33" s="178">
        <f t="shared" si="5"/>
        <v>1361.4639314907565</v>
      </c>
      <c r="L33" s="176"/>
      <c r="M33" s="178">
        <v>1400</v>
      </c>
      <c r="R33" s="178">
        <v>1443.6793957766529</v>
      </c>
      <c r="T33" s="178">
        <v>1361.4639314907565</v>
      </c>
      <c r="AH33" s="175"/>
      <c r="AI33" s="175"/>
    </row>
    <row r="34" spans="1:35" s="178" customFormat="1" x14ac:dyDescent="0.25">
      <c r="A34" s="176">
        <v>4</v>
      </c>
      <c r="B34" s="176"/>
      <c r="C34" s="176">
        <f t="shared" si="1"/>
        <v>30</v>
      </c>
      <c r="D34" s="176">
        <f t="shared" si="2"/>
        <v>30</v>
      </c>
      <c r="E34" s="176">
        <f t="shared" si="3"/>
        <v>12</v>
      </c>
      <c r="F34" s="176" t="str">
        <f t="shared" si="4"/>
        <v>pm</v>
      </c>
      <c r="G34" s="176" t="s">
        <v>212</v>
      </c>
      <c r="H34" s="176" t="s">
        <v>393</v>
      </c>
      <c r="I34" s="176" t="s">
        <v>211</v>
      </c>
      <c r="J34" s="177" t="s">
        <v>21</v>
      </c>
      <c r="K34" s="178">
        <f t="shared" si="5"/>
        <v>1354.9820024523272</v>
      </c>
      <c r="L34" s="176"/>
      <c r="M34" s="178">
        <v>1450</v>
      </c>
      <c r="Q34" s="178">
        <v>1426.4507672949526</v>
      </c>
      <c r="T34" s="178">
        <v>1354.9820024523272</v>
      </c>
      <c r="AH34" s="175"/>
      <c r="AI34" s="175"/>
    </row>
    <row r="35" spans="1:35" s="178" customFormat="1" x14ac:dyDescent="0.25">
      <c r="A35" s="176">
        <v>2</v>
      </c>
      <c r="B35" s="176"/>
      <c r="C35" s="176">
        <f t="shared" si="1"/>
        <v>31</v>
      </c>
      <c r="D35" s="176">
        <f t="shared" si="2"/>
        <v>31</v>
      </c>
      <c r="E35" s="176">
        <f t="shared" si="3"/>
        <v>12</v>
      </c>
      <c r="F35" s="176" t="str">
        <f t="shared" si="4"/>
        <v>pm</v>
      </c>
      <c r="G35" s="176" t="s">
        <v>415</v>
      </c>
      <c r="H35" s="176" t="s">
        <v>387</v>
      </c>
      <c r="I35" s="176" t="s">
        <v>416</v>
      </c>
      <c r="J35" s="177" t="s">
        <v>21</v>
      </c>
      <c r="K35" s="178">
        <f t="shared" si="5"/>
        <v>1339.761735911097</v>
      </c>
      <c r="L35" s="176"/>
      <c r="M35" s="178">
        <v>1400</v>
      </c>
      <c r="R35" s="178">
        <v>1339.761735911097</v>
      </c>
      <c r="AH35" s="175"/>
      <c r="AI35" s="175"/>
    </row>
    <row r="36" spans="1:35" s="178" customFormat="1" x14ac:dyDescent="0.25">
      <c r="A36" s="176">
        <v>4</v>
      </c>
      <c r="B36" s="176"/>
      <c r="C36" s="176">
        <f t="shared" si="1"/>
        <v>32</v>
      </c>
      <c r="D36" s="176">
        <f t="shared" si="2"/>
        <v>31</v>
      </c>
      <c r="E36" s="176">
        <f t="shared" si="3"/>
        <v>12</v>
      </c>
      <c r="F36" s="176" t="str">
        <f t="shared" si="4"/>
        <v>pm</v>
      </c>
      <c r="G36" s="176" t="s">
        <v>403</v>
      </c>
      <c r="H36" s="176" t="s">
        <v>358</v>
      </c>
      <c r="I36" s="176" t="s">
        <v>404</v>
      </c>
      <c r="J36" s="177" t="s">
        <v>21</v>
      </c>
      <c r="K36" s="178">
        <f t="shared" si="5"/>
        <v>1318.2541648485399</v>
      </c>
      <c r="L36" s="176"/>
      <c r="M36" s="178">
        <v>1400</v>
      </c>
      <c r="P36" s="178">
        <v>1375.0523383535012</v>
      </c>
      <c r="R36" s="178">
        <v>1318.2541648485399</v>
      </c>
      <c r="AH36" s="175"/>
      <c r="AI36" s="175"/>
    </row>
    <row r="37" spans="1:35" s="178" customFormat="1" x14ac:dyDescent="0.25">
      <c r="A37" s="176">
        <v>4</v>
      </c>
      <c r="B37" s="176"/>
      <c r="C37" s="176">
        <f t="shared" si="1"/>
        <v>33</v>
      </c>
      <c r="D37" s="176">
        <f t="shared" si="2"/>
        <v>33</v>
      </c>
      <c r="E37" s="176">
        <f t="shared" si="3"/>
        <v>12</v>
      </c>
      <c r="F37" s="176" t="str">
        <f t="shared" si="4"/>
        <v>pm</v>
      </c>
      <c r="G37" s="176" t="s">
        <v>431</v>
      </c>
      <c r="H37" s="176" t="s">
        <v>432</v>
      </c>
      <c r="I37" s="176" t="s">
        <v>433</v>
      </c>
      <c r="J37" s="177" t="s">
        <v>360</v>
      </c>
      <c r="K37" s="178">
        <f t="shared" si="5"/>
        <v>1314.5144620222545</v>
      </c>
      <c r="L37" s="176"/>
      <c r="M37" s="178">
        <v>1200</v>
      </c>
      <c r="R37" s="178">
        <v>1274.9503770355423</v>
      </c>
      <c r="T37" s="178">
        <v>1314.5144620222545</v>
      </c>
      <c r="AH37" s="175"/>
      <c r="AI37" s="175"/>
    </row>
    <row r="38" spans="1:35" s="178" customFormat="1" x14ac:dyDescent="0.25">
      <c r="A38" s="176">
        <v>6</v>
      </c>
      <c r="B38" s="176"/>
      <c r="C38" s="176">
        <f t="shared" si="1"/>
        <v>34</v>
      </c>
      <c r="D38" s="176">
        <f t="shared" si="2"/>
        <v>34</v>
      </c>
      <c r="E38" s="176">
        <f t="shared" si="3"/>
        <v>12</v>
      </c>
      <c r="F38" s="176" t="str">
        <f t="shared" si="4"/>
        <v>pm</v>
      </c>
      <c r="G38" s="176" t="s">
        <v>63</v>
      </c>
      <c r="H38" s="176" t="s">
        <v>392</v>
      </c>
      <c r="I38" s="176" t="s">
        <v>62</v>
      </c>
      <c r="J38" s="177" t="s">
        <v>21</v>
      </c>
      <c r="K38" s="178">
        <f t="shared" si="5"/>
        <v>1307.0130824494734</v>
      </c>
      <c r="L38" s="176"/>
      <c r="M38" s="178">
        <v>1400</v>
      </c>
      <c r="R38" s="178">
        <v>1321.2738836240517</v>
      </c>
      <c r="T38" s="178">
        <v>1307.0130824494734</v>
      </c>
      <c r="AH38" s="175"/>
      <c r="AI38" s="175"/>
    </row>
    <row r="39" spans="1:35" s="178" customFormat="1" x14ac:dyDescent="0.25">
      <c r="A39" s="176">
        <v>2</v>
      </c>
      <c r="B39" s="176"/>
      <c r="C39" s="176">
        <f t="shared" si="1"/>
        <v>35</v>
      </c>
      <c r="D39" s="176">
        <f t="shared" si="2"/>
        <v>35</v>
      </c>
      <c r="E39" s="176">
        <f t="shared" si="3"/>
        <v>12</v>
      </c>
      <c r="F39" s="176" t="str">
        <f t="shared" si="4"/>
        <v>pm</v>
      </c>
      <c r="G39" s="176" t="s">
        <v>423</v>
      </c>
      <c r="H39" s="176" t="s">
        <v>390</v>
      </c>
      <c r="I39" s="176" t="s">
        <v>424</v>
      </c>
      <c r="J39" s="177" t="s">
        <v>21</v>
      </c>
      <c r="K39" s="178">
        <f t="shared" si="5"/>
        <v>1293.619933628122</v>
      </c>
      <c r="L39" s="176"/>
      <c r="M39" s="178">
        <v>1300</v>
      </c>
      <c r="R39" s="178">
        <v>1293.619933628122</v>
      </c>
      <c r="AH39" s="175"/>
      <c r="AI39" s="175"/>
    </row>
    <row r="40" spans="1:35" s="178" customFormat="1" x14ac:dyDescent="0.25">
      <c r="A40" s="176">
        <v>3</v>
      </c>
      <c r="B40" s="176"/>
      <c r="C40" s="176">
        <f t="shared" si="1"/>
        <v>36</v>
      </c>
      <c r="D40" s="176">
        <f t="shared" si="2"/>
        <v>36</v>
      </c>
      <c r="E40" s="176">
        <f t="shared" si="3"/>
        <v>12</v>
      </c>
      <c r="F40" s="176" t="str">
        <f t="shared" si="4"/>
        <v>pm</v>
      </c>
      <c r="G40" s="176" t="s">
        <v>427</v>
      </c>
      <c r="H40" s="176" t="s">
        <v>355</v>
      </c>
      <c r="I40" s="176" t="s">
        <v>428</v>
      </c>
      <c r="J40" s="177" t="s">
        <v>360</v>
      </c>
      <c r="K40" s="178">
        <f t="shared" si="5"/>
        <v>1292.6373253209092</v>
      </c>
      <c r="L40" s="176"/>
      <c r="M40" s="178">
        <v>1200</v>
      </c>
      <c r="R40" s="178">
        <v>1292.6373253209092</v>
      </c>
      <c r="AH40" s="175"/>
      <c r="AI40" s="175"/>
    </row>
    <row r="41" spans="1:35" s="178" customFormat="1" x14ac:dyDescent="0.25">
      <c r="A41" s="176">
        <v>4</v>
      </c>
      <c r="B41" s="176"/>
      <c r="C41" s="176">
        <f t="shared" si="1"/>
        <v>37</v>
      </c>
      <c r="D41" s="176">
        <f t="shared" si="2"/>
        <v>37</v>
      </c>
      <c r="E41" s="176">
        <f t="shared" si="3"/>
        <v>12</v>
      </c>
      <c r="F41" s="176" t="str">
        <f t="shared" si="4"/>
        <v>pm</v>
      </c>
      <c r="G41" s="176" t="s">
        <v>24</v>
      </c>
      <c r="H41" s="176" t="s">
        <v>365</v>
      </c>
      <c r="I41" s="176" t="s">
        <v>23</v>
      </c>
      <c r="J41" s="177" t="s">
        <v>21</v>
      </c>
      <c r="K41" s="178">
        <f t="shared" si="5"/>
        <v>1289.6307267867726</v>
      </c>
      <c r="L41" s="176"/>
      <c r="M41" s="178">
        <v>1400</v>
      </c>
      <c r="T41" s="178">
        <v>1289.6307267867726</v>
      </c>
      <c r="AH41" s="175"/>
      <c r="AI41" s="175"/>
    </row>
    <row r="42" spans="1:35" s="178" customFormat="1" x14ac:dyDescent="0.25">
      <c r="A42" s="176">
        <v>6</v>
      </c>
      <c r="B42" s="176"/>
      <c r="C42" s="176">
        <f t="shared" si="1"/>
        <v>38</v>
      </c>
      <c r="D42" s="176">
        <f t="shared" si="2"/>
        <v>37</v>
      </c>
      <c r="E42" s="176">
        <f t="shared" si="3"/>
        <v>12</v>
      </c>
      <c r="F42" s="176" t="str">
        <f t="shared" si="4"/>
        <v>pm</v>
      </c>
      <c r="G42" s="176" t="s">
        <v>51</v>
      </c>
      <c r="H42" s="176" t="s">
        <v>401</v>
      </c>
      <c r="I42" s="176" t="s">
        <v>50</v>
      </c>
      <c r="J42" s="177" t="s">
        <v>21</v>
      </c>
      <c r="K42" s="178">
        <f t="shared" si="5"/>
        <v>1288.8770288740386</v>
      </c>
      <c r="L42" s="176"/>
      <c r="M42" s="178">
        <v>1400</v>
      </c>
      <c r="R42" s="178">
        <v>1373.7743082657332</v>
      </c>
      <c r="T42" s="178">
        <v>1288.8770288740386</v>
      </c>
      <c r="AH42" s="175"/>
      <c r="AI42" s="175"/>
    </row>
    <row r="43" spans="1:35" s="178" customFormat="1" x14ac:dyDescent="0.25">
      <c r="A43" s="176">
        <v>2</v>
      </c>
      <c r="B43" s="176"/>
      <c r="C43" s="176">
        <f t="shared" si="1"/>
        <v>39</v>
      </c>
      <c r="D43" s="176">
        <f t="shared" si="2"/>
        <v>37</v>
      </c>
      <c r="E43" s="176">
        <f t="shared" si="3"/>
        <v>12</v>
      </c>
      <c r="F43" s="176" t="str">
        <f t="shared" si="4"/>
        <v>pm</v>
      </c>
      <c r="G43" s="176" t="s">
        <v>417</v>
      </c>
      <c r="H43" s="176" t="s">
        <v>387</v>
      </c>
      <c r="I43" s="176" t="s">
        <v>418</v>
      </c>
      <c r="J43" s="177" t="s">
        <v>21</v>
      </c>
      <c r="K43" s="178">
        <f t="shared" si="5"/>
        <v>1279.5314323800401</v>
      </c>
      <c r="L43" s="176"/>
      <c r="M43" s="178">
        <v>1400</v>
      </c>
      <c r="R43" s="178">
        <v>1279.5314323800401</v>
      </c>
      <c r="AH43" s="175"/>
      <c r="AI43" s="175"/>
    </row>
    <row r="44" spans="1:35" s="178" customFormat="1" x14ac:dyDescent="0.25">
      <c r="A44" s="176">
        <v>3</v>
      </c>
      <c r="B44" s="176"/>
      <c r="C44" s="176">
        <f t="shared" si="1"/>
        <v>40</v>
      </c>
      <c r="D44" s="176">
        <f t="shared" si="2"/>
        <v>40</v>
      </c>
      <c r="E44" s="176">
        <f t="shared" si="3"/>
        <v>12</v>
      </c>
      <c r="F44" s="176" t="str">
        <f t="shared" si="4"/>
        <v>pm</v>
      </c>
      <c r="G44" s="176" t="s">
        <v>440</v>
      </c>
      <c r="H44" s="176" t="s">
        <v>412</v>
      </c>
      <c r="I44" s="176" t="s">
        <v>441</v>
      </c>
      <c r="J44" s="177" t="s">
        <v>360</v>
      </c>
      <c r="K44" s="178">
        <f t="shared" si="5"/>
        <v>1254.0220353337193</v>
      </c>
      <c r="L44" s="176"/>
      <c r="M44" s="178">
        <v>1200</v>
      </c>
      <c r="R44" s="178">
        <v>1238.5911205484977</v>
      </c>
      <c r="T44" s="178">
        <v>1254.0220353337193</v>
      </c>
      <c r="AH44" s="175"/>
      <c r="AI44" s="175"/>
    </row>
    <row r="45" spans="1:35" s="178" customFormat="1" x14ac:dyDescent="0.25">
      <c r="A45" s="176">
        <v>4</v>
      </c>
      <c r="B45" s="176"/>
      <c r="C45" s="176">
        <f t="shared" si="1"/>
        <v>41</v>
      </c>
      <c r="D45" s="176">
        <f t="shared" si="2"/>
        <v>40</v>
      </c>
      <c r="E45" s="176">
        <f t="shared" si="3"/>
        <v>12</v>
      </c>
      <c r="F45" s="176" t="str">
        <f t="shared" si="4"/>
        <v>pm</v>
      </c>
      <c r="G45" s="176" t="s">
        <v>436</v>
      </c>
      <c r="H45" s="176" t="s">
        <v>406</v>
      </c>
      <c r="I45" s="176" t="s">
        <v>437</v>
      </c>
      <c r="J45" s="177" t="s">
        <v>360</v>
      </c>
      <c r="K45" s="178">
        <f t="shared" si="5"/>
        <v>1237.8733435233182</v>
      </c>
      <c r="L45" s="176"/>
      <c r="M45" s="178">
        <v>1200</v>
      </c>
      <c r="R45" s="178">
        <v>1202.1576214335375</v>
      </c>
      <c r="T45" s="178">
        <v>1237.8733435233182</v>
      </c>
      <c r="AH45" s="175"/>
      <c r="AI45" s="175"/>
    </row>
    <row r="46" spans="1:35" s="178" customFormat="1" x14ac:dyDescent="0.25">
      <c r="A46" s="176">
        <v>3</v>
      </c>
      <c r="B46" s="176"/>
      <c r="C46" s="176">
        <f t="shared" si="1"/>
        <v>42</v>
      </c>
      <c r="D46" s="176">
        <f t="shared" si="2"/>
        <v>40</v>
      </c>
      <c r="E46" s="176">
        <f t="shared" si="3"/>
        <v>12</v>
      </c>
      <c r="F46" s="176" t="str">
        <f t="shared" si="4"/>
        <v>pm</v>
      </c>
      <c r="G46" s="176" t="s">
        <v>429</v>
      </c>
      <c r="H46" s="176" t="s">
        <v>355</v>
      </c>
      <c r="I46" s="176" t="s">
        <v>430</v>
      </c>
      <c r="J46" s="177" t="s">
        <v>360</v>
      </c>
      <c r="K46" s="178">
        <f t="shared" si="5"/>
        <v>1233.1715808383456</v>
      </c>
      <c r="L46" s="176"/>
      <c r="M46" s="178">
        <v>1200</v>
      </c>
      <c r="R46" s="178">
        <v>1233.1715808383456</v>
      </c>
      <c r="AH46" s="175"/>
      <c r="AI46" s="175"/>
    </row>
    <row r="47" spans="1:35" s="178" customFormat="1" x14ac:dyDescent="0.25">
      <c r="A47" s="176">
        <v>3</v>
      </c>
      <c r="B47" s="176"/>
      <c r="C47" s="176">
        <f t="shared" si="1"/>
        <v>43</v>
      </c>
      <c r="D47" s="176">
        <f t="shared" si="2"/>
        <v>40</v>
      </c>
      <c r="E47" s="176">
        <f t="shared" si="3"/>
        <v>12</v>
      </c>
      <c r="F47" s="176" t="str">
        <f t="shared" si="4"/>
        <v>pm</v>
      </c>
      <c r="G47" s="176" t="s">
        <v>453</v>
      </c>
      <c r="H47" s="176" t="s">
        <v>454</v>
      </c>
      <c r="I47" s="176" t="s">
        <v>455</v>
      </c>
      <c r="J47" s="177" t="s">
        <v>360</v>
      </c>
      <c r="K47" s="178">
        <f t="shared" si="5"/>
        <v>1231.5000238061393</v>
      </c>
      <c r="L47" s="176"/>
      <c r="M47" s="178">
        <v>1200</v>
      </c>
      <c r="R47" s="178">
        <v>1231.5000238061393</v>
      </c>
      <c r="AH47" s="175"/>
      <c r="AI47" s="175"/>
    </row>
    <row r="48" spans="1:35" s="178" customFormat="1" x14ac:dyDescent="0.25">
      <c r="A48" s="176">
        <v>4</v>
      </c>
      <c r="B48" s="176"/>
      <c r="C48" s="176">
        <f t="shared" si="1"/>
        <v>44</v>
      </c>
      <c r="D48" s="176">
        <f t="shared" si="2"/>
        <v>40</v>
      </c>
      <c r="E48" s="176">
        <f t="shared" si="3"/>
        <v>12</v>
      </c>
      <c r="F48" s="176" t="str">
        <f t="shared" si="4"/>
        <v>pm</v>
      </c>
      <c r="G48" s="176" t="s">
        <v>438</v>
      </c>
      <c r="H48" s="176" t="s">
        <v>406</v>
      </c>
      <c r="I48" s="176" t="s">
        <v>439</v>
      </c>
      <c r="J48" s="177" t="s">
        <v>360</v>
      </c>
      <c r="K48" s="178">
        <f t="shared" si="5"/>
        <v>1225.2301659580562</v>
      </c>
      <c r="L48" s="176"/>
      <c r="M48" s="178">
        <v>1200</v>
      </c>
      <c r="R48" s="178">
        <v>1203.1411394635875</v>
      </c>
      <c r="T48" s="178">
        <v>1225.2301659580562</v>
      </c>
      <c r="AH48" s="175"/>
      <c r="AI48" s="175"/>
    </row>
    <row r="49" spans="1:35" s="178" customFormat="1" x14ac:dyDescent="0.25">
      <c r="A49" s="176">
        <v>3</v>
      </c>
      <c r="B49" s="176"/>
      <c r="C49" s="176">
        <f t="shared" si="1"/>
        <v>45</v>
      </c>
      <c r="D49" s="176">
        <f t="shared" si="2"/>
        <v>40</v>
      </c>
      <c r="E49" s="176">
        <f t="shared" si="3"/>
        <v>12</v>
      </c>
      <c r="F49" s="176" t="str">
        <f t="shared" si="4"/>
        <v>pm</v>
      </c>
      <c r="G49" s="176" t="s">
        <v>425</v>
      </c>
      <c r="H49" s="176" t="s">
        <v>355</v>
      </c>
      <c r="I49" s="176" t="s">
        <v>426</v>
      </c>
      <c r="J49" s="177" t="s">
        <v>360</v>
      </c>
      <c r="K49" s="178">
        <f t="shared" si="5"/>
        <v>1208.4683851329539</v>
      </c>
      <c r="L49" s="176"/>
      <c r="M49" s="178">
        <v>1200</v>
      </c>
      <c r="R49" s="178">
        <v>1208.4683851329539</v>
      </c>
      <c r="AH49" s="175"/>
      <c r="AI49" s="175"/>
    </row>
    <row r="50" spans="1:35" s="178" customFormat="1" x14ac:dyDescent="0.25">
      <c r="A50" s="176">
        <v>2</v>
      </c>
      <c r="B50" s="176"/>
      <c r="C50" s="176">
        <f t="shared" si="1"/>
        <v>46</v>
      </c>
      <c r="D50" s="176">
        <f t="shared" si="2"/>
        <v>40</v>
      </c>
      <c r="E50" s="176">
        <f t="shared" si="3"/>
        <v>12</v>
      </c>
      <c r="F50" s="176" t="str">
        <f t="shared" si="4"/>
        <v>pm</v>
      </c>
      <c r="G50" s="176" t="s">
        <v>444</v>
      </c>
      <c r="H50" s="176" t="s">
        <v>365</v>
      </c>
      <c r="I50" s="176" t="s">
        <v>445</v>
      </c>
      <c r="J50" s="177" t="s">
        <v>360</v>
      </c>
      <c r="K50" s="178">
        <f t="shared" si="5"/>
        <v>1190.2613111223468</v>
      </c>
      <c r="L50" s="176"/>
      <c r="M50" s="178">
        <v>1200</v>
      </c>
      <c r="T50" s="178">
        <v>1190.2613111223468</v>
      </c>
      <c r="AH50" s="175"/>
      <c r="AI50" s="175"/>
    </row>
    <row r="51" spans="1:35" s="178" customFormat="1" x14ac:dyDescent="0.25">
      <c r="A51" s="176">
        <v>4</v>
      </c>
      <c r="B51" s="176"/>
      <c r="C51" s="176">
        <f t="shared" si="1"/>
        <v>47</v>
      </c>
      <c r="D51" s="176">
        <f t="shared" si="2"/>
        <v>47</v>
      </c>
      <c r="E51" s="176">
        <f t="shared" si="3"/>
        <v>12</v>
      </c>
      <c r="F51" s="176" t="str">
        <f t="shared" si="4"/>
        <v>pm</v>
      </c>
      <c r="G51" s="176" t="s">
        <v>60</v>
      </c>
      <c r="H51" s="176" t="s">
        <v>422</v>
      </c>
      <c r="I51" s="176" t="s">
        <v>59</v>
      </c>
      <c r="J51" s="177" t="s">
        <v>21</v>
      </c>
      <c r="K51" s="178">
        <f t="shared" si="5"/>
        <v>1178.6422198857679</v>
      </c>
      <c r="L51" s="176"/>
      <c r="M51" s="178">
        <v>1350</v>
      </c>
      <c r="P51" s="178">
        <v>1262.0861010337815</v>
      </c>
      <c r="R51" s="178">
        <v>1212.6460682694362</v>
      </c>
      <c r="T51" s="178">
        <v>1178.6422198857679</v>
      </c>
      <c r="AH51" s="175"/>
      <c r="AI51" s="175"/>
    </row>
    <row r="52" spans="1:35" s="178" customFormat="1" x14ac:dyDescent="0.25">
      <c r="A52" s="176">
        <v>5</v>
      </c>
      <c r="B52" s="176"/>
      <c r="C52" s="176">
        <f t="shared" si="1"/>
        <v>48</v>
      </c>
      <c r="D52" s="176">
        <f t="shared" si="2"/>
        <v>48</v>
      </c>
      <c r="E52" s="176">
        <f t="shared" si="3"/>
        <v>12</v>
      </c>
      <c r="F52" s="176" t="str">
        <f t="shared" si="4"/>
        <v>pm</v>
      </c>
      <c r="G52" s="176" t="s">
        <v>458</v>
      </c>
      <c r="H52" s="176" t="s">
        <v>392</v>
      </c>
      <c r="I52" s="176" t="s">
        <v>459</v>
      </c>
      <c r="J52" s="177" t="s">
        <v>360</v>
      </c>
      <c r="K52" s="178">
        <f t="shared" si="5"/>
        <v>1160.1293279867637</v>
      </c>
      <c r="L52" s="176"/>
      <c r="M52" s="178">
        <v>1200</v>
      </c>
      <c r="R52" s="178">
        <v>1166.3348618337313</v>
      </c>
      <c r="T52" s="178">
        <v>1160.1293279867637</v>
      </c>
      <c r="AH52" s="175"/>
      <c r="AI52" s="175"/>
    </row>
    <row r="53" spans="1:35" s="178" customFormat="1" x14ac:dyDescent="0.25">
      <c r="A53" s="176">
        <v>3</v>
      </c>
      <c r="B53" s="176"/>
      <c r="C53" s="176">
        <f t="shared" si="1"/>
        <v>49</v>
      </c>
      <c r="D53" s="176">
        <f t="shared" si="2"/>
        <v>48</v>
      </c>
      <c r="E53" s="176">
        <f t="shared" si="3"/>
        <v>12</v>
      </c>
      <c r="F53" s="176" t="str">
        <f t="shared" si="4"/>
        <v>pm</v>
      </c>
      <c r="G53" s="176" t="s">
        <v>442</v>
      </c>
      <c r="H53" s="176" t="s">
        <v>412</v>
      </c>
      <c r="I53" s="176" t="s">
        <v>443</v>
      </c>
      <c r="J53" s="177" t="s">
        <v>360</v>
      </c>
      <c r="K53" s="178">
        <f t="shared" si="5"/>
        <v>1156.9377403644455</v>
      </c>
      <c r="L53" s="176"/>
      <c r="M53" s="178">
        <v>1200</v>
      </c>
      <c r="R53" s="178">
        <v>1110.6532770275439</v>
      </c>
      <c r="T53" s="178">
        <v>1156.9377403644455</v>
      </c>
      <c r="AH53" s="175"/>
      <c r="AI53" s="175"/>
    </row>
    <row r="54" spans="1:35" s="178" customFormat="1" x14ac:dyDescent="0.25">
      <c r="A54" s="176">
        <v>4</v>
      </c>
      <c r="B54" s="176"/>
      <c r="C54" s="176">
        <f t="shared" si="1"/>
        <v>50</v>
      </c>
      <c r="D54" s="176">
        <f t="shared" si="2"/>
        <v>48</v>
      </c>
      <c r="E54" s="176">
        <f t="shared" si="3"/>
        <v>12</v>
      </c>
      <c r="F54" s="176" t="str">
        <f t="shared" si="4"/>
        <v>pm</v>
      </c>
      <c r="G54" s="176" t="s">
        <v>434</v>
      </c>
      <c r="H54" s="176" t="s">
        <v>406</v>
      </c>
      <c r="I54" s="176" t="s">
        <v>435</v>
      </c>
      <c r="J54" s="177" t="s">
        <v>360</v>
      </c>
      <c r="K54" s="178">
        <f t="shared" si="5"/>
        <v>1129.3970315328922</v>
      </c>
      <c r="L54" s="176"/>
      <c r="M54" s="178">
        <v>1200</v>
      </c>
      <c r="R54" s="178">
        <v>1157.9314597187015</v>
      </c>
      <c r="T54" s="178">
        <v>1129.3970315328922</v>
      </c>
      <c r="AH54" s="175"/>
      <c r="AI54" s="175"/>
    </row>
    <row r="55" spans="1:35" s="178" customFormat="1" x14ac:dyDescent="0.25">
      <c r="A55" s="176">
        <v>5</v>
      </c>
      <c r="B55" s="176"/>
      <c r="C55" s="176">
        <f t="shared" si="1"/>
        <v>51</v>
      </c>
      <c r="D55" s="176">
        <f t="shared" si="2"/>
        <v>48</v>
      </c>
      <c r="E55" s="176">
        <f t="shared" si="3"/>
        <v>12</v>
      </c>
      <c r="F55" s="176" t="str">
        <f t="shared" si="4"/>
        <v>pm</v>
      </c>
      <c r="G55" s="176" t="s">
        <v>456</v>
      </c>
      <c r="H55" s="176" t="s">
        <v>392</v>
      </c>
      <c r="I55" s="176" t="s">
        <v>457</v>
      </c>
      <c r="J55" s="177" t="s">
        <v>360</v>
      </c>
      <c r="K55" s="178">
        <f t="shared" si="5"/>
        <v>1124.1168813812924</v>
      </c>
      <c r="L55" s="176"/>
      <c r="M55" s="178">
        <v>1200</v>
      </c>
      <c r="R55" s="178">
        <v>1166.1154316050067</v>
      </c>
      <c r="T55" s="178">
        <v>1124.1168813812924</v>
      </c>
      <c r="AH55" s="175"/>
      <c r="AI55" s="175"/>
    </row>
    <row r="56" spans="1:35" s="178" customFormat="1" x14ac:dyDescent="0.25">
      <c r="A56" s="176">
        <v>2</v>
      </c>
      <c r="B56" s="176"/>
      <c r="C56" s="176">
        <f t="shared" si="1"/>
        <v>52</v>
      </c>
      <c r="D56" s="176">
        <f t="shared" si="2"/>
        <v>48</v>
      </c>
      <c r="E56" s="176">
        <f t="shared" si="3"/>
        <v>12</v>
      </c>
      <c r="F56" s="176" t="str">
        <f t="shared" si="4"/>
        <v>pm</v>
      </c>
      <c r="G56" s="176" t="s">
        <v>446</v>
      </c>
      <c r="H56" s="176" t="s">
        <v>365</v>
      </c>
      <c r="I56" s="176" t="s">
        <v>447</v>
      </c>
      <c r="J56" s="177" t="s">
        <v>360</v>
      </c>
      <c r="K56" s="178">
        <f t="shared" si="5"/>
        <v>1104.9764908703403</v>
      </c>
      <c r="L56" s="176"/>
      <c r="M56" s="178">
        <v>1200</v>
      </c>
      <c r="T56" s="178">
        <v>1104.9764908703403</v>
      </c>
      <c r="AH56" s="175"/>
      <c r="AI56" s="175"/>
    </row>
    <row r="57" spans="1:35" s="178" customFormat="1" x14ac:dyDescent="0.25">
      <c r="A57" s="176">
        <v>3</v>
      </c>
      <c r="B57" s="176"/>
      <c r="C57" s="176">
        <f t="shared" si="1"/>
        <v>1</v>
      </c>
      <c r="D57" s="176">
        <f t="shared" si="2"/>
        <v>1</v>
      </c>
      <c r="E57" s="176">
        <f t="shared" si="3"/>
        <v>13</v>
      </c>
      <c r="F57" s="176" t="str">
        <f t="shared" si="4"/>
        <v>pm</v>
      </c>
      <c r="G57" s="176" t="s">
        <v>463</v>
      </c>
      <c r="H57" s="176" t="s">
        <v>355</v>
      </c>
      <c r="I57" s="176" t="s">
        <v>464</v>
      </c>
      <c r="J57" s="177" t="s">
        <v>22</v>
      </c>
      <c r="K57" s="178">
        <f t="shared" si="5"/>
        <v>2152.6882339125423</v>
      </c>
      <c r="L57" s="176"/>
      <c r="M57" s="178">
        <v>2000</v>
      </c>
      <c r="O57" s="178">
        <v>2152.6882339125423</v>
      </c>
      <c r="AH57" s="175"/>
      <c r="AI57" s="175"/>
    </row>
    <row r="58" spans="1:35" s="178" customFormat="1" x14ac:dyDescent="0.25">
      <c r="A58" s="176">
        <v>3</v>
      </c>
      <c r="B58" s="176"/>
      <c r="C58" s="176">
        <f t="shared" si="1"/>
        <v>2</v>
      </c>
      <c r="D58" s="176">
        <f t="shared" si="2"/>
        <v>1</v>
      </c>
      <c r="E58" s="176">
        <f t="shared" si="3"/>
        <v>13</v>
      </c>
      <c r="F58" s="176" t="str">
        <f t="shared" si="4"/>
        <v>pm</v>
      </c>
      <c r="G58" s="176" t="s">
        <v>481</v>
      </c>
      <c r="H58" s="176" t="s">
        <v>378</v>
      </c>
      <c r="I58" s="176" t="s">
        <v>482</v>
      </c>
      <c r="J58" s="177" t="s">
        <v>22</v>
      </c>
      <c r="K58" s="178">
        <f t="shared" si="5"/>
        <v>2100.0545135197281</v>
      </c>
      <c r="L58" s="176"/>
      <c r="M58" s="178">
        <v>2000</v>
      </c>
      <c r="O58" s="178">
        <v>2039.0534480015622</v>
      </c>
      <c r="S58" s="178">
        <v>2100.0545135197281</v>
      </c>
      <c r="AH58" s="175"/>
      <c r="AI58" s="175"/>
    </row>
    <row r="59" spans="1:35" s="178" customFormat="1" x14ac:dyDescent="0.25">
      <c r="A59" s="176">
        <v>5</v>
      </c>
      <c r="B59" s="176"/>
      <c r="C59" s="176">
        <f t="shared" si="1"/>
        <v>3</v>
      </c>
      <c r="D59" s="176">
        <f t="shared" si="2"/>
        <v>1</v>
      </c>
      <c r="E59" s="176">
        <f t="shared" si="3"/>
        <v>13</v>
      </c>
      <c r="F59" s="176" t="str">
        <f t="shared" si="4"/>
        <v>pm</v>
      </c>
      <c r="G59" s="176" t="s">
        <v>467</v>
      </c>
      <c r="H59" s="176" t="s">
        <v>400</v>
      </c>
      <c r="I59" s="176" t="s">
        <v>468</v>
      </c>
      <c r="J59" s="177" t="s">
        <v>22</v>
      </c>
      <c r="K59" s="178">
        <f t="shared" si="5"/>
        <v>2090.0660361022765</v>
      </c>
      <c r="L59" s="176"/>
      <c r="M59" s="178">
        <v>2000</v>
      </c>
      <c r="O59" s="178">
        <v>2090.0660361022765</v>
      </c>
      <c r="AH59" s="175"/>
      <c r="AI59" s="175"/>
    </row>
    <row r="60" spans="1:35" s="178" customFormat="1" x14ac:dyDescent="0.25">
      <c r="A60" s="176">
        <v>2</v>
      </c>
      <c r="B60" s="176"/>
      <c r="C60" s="176">
        <f t="shared" si="1"/>
        <v>4</v>
      </c>
      <c r="D60" s="176">
        <f t="shared" si="2"/>
        <v>1</v>
      </c>
      <c r="E60" s="176">
        <f t="shared" si="3"/>
        <v>13</v>
      </c>
      <c r="F60" s="176" t="str">
        <f t="shared" si="4"/>
        <v>pm</v>
      </c>
      <c r="G60" s="176" t="s">
        <v>483</v>
      </c>
      <c r="H60" s="176" t="s">
        <v>375</v>
      </c>
      <c r="I60" s="176" t="s">
        <v>484</v>
      </c>
      <c r="J60" s="177" t="s">
        <v>22</v>
      </c>
      <c r="K60" s="178">
        <f t="shared" si="5"/>
        <v>2033.2515181332528</v>
      </c>
      <c r="L60" s="176"/>
      <c r="M60" s="178">
        <v>2000</v>
      </c>
      <c r="S60" s="178">
        <v>2033.2515181332528</v>
      </c>
      <c r="AH60" s="175"/>
      <c r="AI60" s="175"/>
    </row>
    <row r="61" spans="1:35" s="178" customFormat="1" x14ac:dyDescent="0.25">
      <c r="A61" s="176">
        <v>4</v>
      </c>
      <c r="B61" s="176"/>
      <c r="C61" s="176">
        <f t="shared" si="1"/>
        <v>5</v>
      </c>
      <c r="D61" s="176">
        <f t="shared" si="2"/>
        <v>1</v>
      </c>
      <c r="E61" s="176">
        <f t="shared" si="3"/>
        <v>13</v>
      </c>
      <c r="F61" s="176" t="str">
        <f t="shared" si="4"/>
        <v>pm</v>
      </c>
      <c r="G61" s="176" t="s">
        <v>471</v>
      </c>
      <c r="H61" s="176" t="s">
        <v>412</v>
      </c>
      <c r="I61" s="176" t="s">
        <v>472</v>
      </c>
      <c r="J61" s="177" t="s">
        <v>22</v>
      </c>
      <c r="K61" s="178">
        <f t="shared" si="5"/>
        <v>2000</v>
      </c>
      <c r="L61" s="176"/>
      <c r="M61" s="178">
        <v>2000</v>
      </c>
      <c r="AH61" s="175"/>
      <c r="AI61" s="175"/>
    </row>
    <row r="62" spans="1:35" s="178" customFormat="1" x14ac:dyDescent="0.25">
      <c r="A62" s="176">
        <v>7</v>
      </c>
      <c r="B62" s="176"/>
      <c r="C62" s="176">
        <f t="shared" si="1"/>
        <v>6</v>
      </c>
      <c r="D62" s="176">
        <f t="shared" si="2"/>
        <v>1</v>
      </c>
      <c r="E62" s="176">
        <f t="shared" si="3"/>
        <v>13</v>
      </c>
      <c r="F62" s="176" t="str">
        <f t="shared" si="4"/>
        <v>pm</v>
      </c>
      <c r="G62" s="176" t="s">
        <v>469</v>
      </c>
      <c r="H62" s="176" t="s">
        <v>401</v>
      </c>
      <c r="I62" s="176" t="s">
        <v>470</v>
      </c>
      <c r="J62" s="177" t="s">
        <v>22</v>
      </c>
      <c r="K62" s="178">
        <f t="shared" si="5"/>
        <v>1958.1634755038049</v>
      </c>
      <c r="L62" s="176"/>
      <c r="M62" s="178">
        <v>2000</v>
      </c>
      <c r="O62" s="178">
        <v>1943.416124532403</v>
      </c>
      <c r="Q62" s="178">
        <v>1966.1656268304903</v>
      </c>
      <c r="S62" s="178">
        <v>1958.1634755038049</v>
      </c>
      <c r="AH62" s="175"/>
      <c r="AI62" s="175"/>
    </row>
    <row r="63" spans="1:35" s="178" customFormat="1" x14ac:dyDescent="0.25">
      <c r="A63" s="176">
        <v>4</v>
      </c>
      <c r="B63" s="176"/>
      <c r="C63" s="176">
        <f t="shared" si="1"/>
        <v>7</v>
      </c>
      <c r="D63" s="176">
        <f t="shared" si="2"/>
        <v>1</v>
      </c>
      <c r="E63" s="176">
        <f t="shared" si="3"/>
        <v>13</v>
      </c>
      <c r="F63" s="176" t="str">
        <f t="shared" si="4"/>
        <v>pm</v>
      </c>
      <c r="G63" s="176" t="s">
        <v>465</v>
      </c>
      <c r="H63" s="176" t="s">
        <v>355</v>
      </c>
      <c r="I63" s="176" t="s">
        <v>466</v>
      </c>
      <c r="J63" s="177" t="s">
        <v>22</v>
      </c>
      <c r="K63" s="178">
        <f t="shared" si="5"/>
        <v>1942.7428613495103</v>
      </c>
      <c r="L63" s="176"/>
      <c r="M63" s="178">
        <v>2000</v>
      </c>
      <c r="O63" s="178">
        <v>1942.7428613495103</v>
      </c>
      <c r="AH63" s="175"/>
      <c r="AI63" s="175"/>
    </row>
    <row r="64" spans="1:35" s="178" customFormat="1" x14ac:dyDescent="0.25">
      <c r="A64" s="176">
        <v>3</v>
      </c>
      <c r="B64" s="176"/>
      <c r="C64" s="176">
        <f t="shared" si="1"/>
        <v>8</v>
      </c>
      <c r="D64" s="176">
        <f t="shared" si="2"/>
        <v>1</v>
      </c>
      <c r="E64" s="176">
        <f t="shared" si="3"/>
        <v>13</v>
      </c>
      <c r="F64" s="176" t="str">
        <f t="shared" si="4"/>
        <v>pm</v>
      </c>
      <c r="G64" s="176" t="s">
        <v>460</v>
      </c>
      <c r="H64" s="176" t="s">
        <v>461</v>
      </c>
      <c r="I64" s="176" t="s">
        <v>462</v>
      </c>
      <c r="J64" s="177" t="s">
        <v>22</v>
      </c>
      <c r="K64" s="178">
        <f t="shared" si="5"/>
        <v>1937.4919528089513</v>
      </c>
      <c r="L64" s="176"/>
      <c r="M64" s="178">
        <v>2000</v>
      </c>
      <c r="O64" s="178">
        <v>1937.4919528089513</v>
      </c>
      <c r="AH64" s="175"/>
      <c r="AI64" s="175"/>
    </row>
    <row r="65" spans="1:35" s="178" customFormat="1" x14ac:dyDescent="0.25">
      <c r="A65" s="176">
        <v>4</v>
      </c>
      <c r="B65" s="176"/>
      <c r="C65" s="176">
        <f t="shared" si="1"/>
        <v>9</v>
      </c>
      <c r="D65" s="176">
        <f t="shared" si="2"/>
        <v>9</v>
      </c>
      <c r="E65" s="176">
        <f t="shared" si="3"/>
        <v>13</v>
      </c>
      <c r="F65" s="176" t="str">
        <f t="shared" si="4"/>
        <v>pm</v>
      </c>
      <c r="G65" s="176" t="s">
        <v>487</v>
      </c>
      <c r="H65" s="176" t="s">
        <v>378</v>
      </c>
      <c r="I65" s="176" t="s">
        <v>488</v>
      </c>
      <c r="J65" s="177" t="s">
        <v>22</v>
      </c>
      <c r="K65" s="178">
        <f t="shared" si="5"/>
        <v>1896.502812306353</v>
      </c>
      <c r="L65" s="176"/>
      <c r="M65" s="178">
        <v>1900</v>
      </c>
      <c r="O65" s="178">
        <v>1896.502812306353</v>
      </c>
      <c r="AH65" s="175"/>
      <c r="AI65" s="175"/>
    </row>
    <row r="66" spans="1:35" s="178" customFormat="1" x14ac:dyDescent="0.25">
      <c r="A66" s="176">
        <v>3</v>
      </c>
      <c r="B66" s="176"/>
      <c r="C66" s="176">
        <f t="shared" ref="C66:C129" si="6">IF(E66=E65,C65+1,1)</f>
        <v>10</v>
      </c>
      <c r="D66" s="176">
        <f t="shared" ref="D66:D129" si="7">IF(M66=M65,D65,C66)</f>
        <v>10</v>
      </c>
      <c r="E66" s="176">
        <f t="shared" ref="E66:E129" si="8">10+VALUE(RIGHT(LEFT(G66,3),1))</f>
        <v>13</v>
      </c>
      <c r="F66" s="176" t="str">
        <f t="shared" ref="F66:F129" si="9">RIGHT(G66,2) &amp; IF(A66&lt;2,"x","")</f>
        <v>pm</v>
      </c>
      <c r="G66" s="176" t="s">
        <v>491</v>
      </c>
      <c r="H66" s="176" t="s">
        <v>375</v>
      </c>
      <c r="I66" s="176" t="s">
        <v>492</v>
      </c>
      <c r="J66" s="177" t="s">
        <v>21</v>
      </c>
      <c r="K66" s="178">
        <f t="shared" ref="K66:K129" si="10">LOOKUP(1E+100,M66:AC66)</f>
        <v>1889.9786980074723</v>
      </c>
      <c r="L66" s="176"/>
      <c r="M66" s="178">
        <v>1733.3333333333333</v>
      </c>
      <c r="O66" s="178">
        <v>1854.2018399827273</v>
      </c>
      <c r="R66" s="178">
        <v>1889.9786980074723</v>
      </c>
      <c r="AH66" s="175"/>
      <c r="AI66" s="175"/>
    </row>
    <row r="67" spans="1:35" s="178" customFormat="1" x14ac:dyDescent="0.25">
      <c r="A67" s="176">
        <v>7</v>
      </c>
      <c r="B67" s="176"/>
      <c r="C67" s="176">
        <f t="shared" si="6"/>
        <v>11</v>
      </c>
      <c r="D67" s="176">
        <f t="shared" si="7"/>
        <v>11</v>
      </c>
      <c r="E67" s="176">
        <f t="shared" si="8"/>
        <v>13</v>
      </c>
      <c r="F67" s="176" t="str">
        <f t="shared" si="9"/>
        <v>pm</v>
      </c>
      <c r="G67" s="176" t="s">
        <v>485</v>
      </c>
      <c r="H67" s="176" t="s">
        <v>392</v>
      </c>
      <c r="I67" s="176" t="s">
        <v>486</v>
      </c>
      <c r="J67" s="177" t="s">
        <v>22</v>
      </c>
      <c r="K67" s="178">
        <f t="shared" si="10"/>
        <v>1873.5532472996633</v>
      </c>
      <c r="L67" s="176"/>
      <c r="M67" s="178">
        <v>1942.8571428571429</v>
      </c>
      <c r="Q67" s="178">
        <v>1852.3713067755587</v>
      </c>
      <c r="S67" s="178">
        <v>1873.5532472996633</v>
      </c>
      <c r="AH67" s="175"/>
      <c r="AI67" s="175"/>
    </row>
    <row r="68" spans="1:35" s="178" customFormat="1" x14ac:dyDescent="0.25">
      <c r="A68" s="176">
        <v>5</v>
      </c>
      <c r="B68" s="176"/>
      <c r="C68" s="176">
        <f t="shared" si="6"/>
        <v>12</v>
      </c>
      <c r="D68" s="176">
        <f t="shared" si="7"/>
        <v>12</v>
      </c>
      <c r="E68" s="176">
        <f t="shared" si="8"/>
        <v>13</v>
      </c>
      <c r="F68" s="176" t="str">
        <f t="shared" si="9"/>
        <v>pm</v>
      </c>
      <c r="G68" s="176" t="s">
        <v>509</v>
      </c>
      <c r="H68" s="176" t="s">
        <v>408</v>
      </c>
      <c r="I68" s="176" t="s">
        <v>510</v>
      </c>
      <c r="J68" s="177" t="s">
        <v>21</v>
      </c>
      <c r="K68" s="178">
        <f t="shared" si="10"/>
        <v>1846.0824249958619</v>
      </c>
      <c r="L68" s="176"/>
      <c r="M68" s="178">
        <v>1600</v>
      </c>
      <c r="P68" s="178">
        <v>1715.7263580857598</v>
      </c>
      <c r="R68" s="178">
        <v>1789.2595678161492</v>
      </c>
      <c r="T68" s="178">
        <v>1846.0824249958619</v>
      </c>
      <c r="AH68" s="175"/>
      <c r="AI68" s="175"/>
    </row>
    <row r="69" spans="1:35" s="178" customFormat="1" x14ac:dyDescent="0.25">
      <c r="A69" s="176">
        <v>3</v>
      </c>
      <c r="B69" s="176"/>
      <c r="C69" s="176">
        <f t="shared" si="6"/>
        <v>13</v>
      </c>
      <c r="D69" s="176">
        <f t="shared" si="7"/>
        <v>13</v>
      </c>
      <c r="E69" s="176">
        <f t="shared" si="8"/>
        <v>13</v>
      </c>
      <c r="F69" s="176" t="str">
        <f t="shared" si="9"/>
        <v>pm</v>
      </c>
      <c r="G69" s="176" t="s">
        <v>479</v>
      </c>
      <c r="H69" s="176" t="s">
        <v>352</v>
      </c>
      <c r="I69" s="176" t="s">
        <v>480</v>
      </c>
      <c r="J69" s="177" t="s">
        <v>22</v>
      </c>
      <c r="K69" s="178">
        <f t="shared" si="10"/>
        <v>1821.6037506813182</v>
      </c>
      <c r="L69" s="176"/>
      <c r="M69" s="178">
        <v>2000</v>
      </c>
      <c r="O69" s="178">
        <v>1915.8645173769876</v>
      </c>
      <c r="S69" s="178">
        <v>1821.6037506813182</v>
      </c>
      <c r="AH69" s="175"/>
      <c r="AI69" s="175"/>
    </row>
    <row r="70" spans="1:35" s="178" customFormat="1" x14ac:dyDescent="0.25">
      <c r="A70" s="176">
        <v>6</v>
      </c>
      <c r="B70" s="176"/>
      <c r="C70" s="176">
        <f t="shared" si="6"/>
        <v>14</v>
      </c>
      <c r="D70" s="176">
        <f t="shared" si="7"/>
        <v>14</v>
      </c>
      <c r="E70" s="176">
        <f t="shared" si="8"/>
        <v>13</v>
      </c>
      <c r="F70" s="176" t="str">
        <f t="shared" si="9"/>
        <v>pm</v>
      </c>
      <c r="G70" s="176" t="s">
        <v>497</v>
      </c>
      <c r="H70" s="176" t="s">
        <v>408</v>
      </c>
      <c r="I70" s="176" t="s">
        <v>498</v>
      </c>
      <c r="J70" s="177" t="s">
        <v>21</v>
      </c>
      <c r="K70" s="178">
        <f t="shared" si="10"/>
        <v>1804.7578750763826</v>
      </c>
      <c r="L70" s="176"/>
      <c r="M70" s="178">
        <v>1666.6666666666667</v>
      </c>
      <c r="P70" s="178">
        <v>1728.1310461413079</v>
      </c>
      <c r="T70" s="178">
        <v>1804.7578750763826</v>
      </c>
      <c r="AH70" s="175"/>
      <c r="AI70" s="175"/>
    </row>
    <row r="71" spans="1:35" s="178" customFormat="1" x14ac:dyDescent="0.25">
      <c r="A71" s="176">
        <v>5</v>
      </c>
      <c r="B71" s="176"/>
      <c r="C71" s="176">
        <f t="shared" si="6"/>
        <v>15</v>
      </c>
      <c r="D71" s="176">
        <f t="shared" si="7"/>
        <v>15</v>
      </c>
      <c r="E71" s="176">
        <f t="shared" si="8"/>
        <v>13</v>
      </c>
      <c r="F71" s="176" t="str">
        <f t="shared" si="9"/>
        <v>pm</v>
      </c>
      <c r="G71" s="176" t="s">
        <v>525</v>
      </c>
      <c r="H71" s="176" t="s">
        <v>421</v>
      </c>
      <c r="I71" s="176" t="s">
        <v>526</v>
      </c>
      <c r="J71" s="177" t="s">
        <v>21</v>
      </c>
      <c r="K71" s="178">
        <f t="shared" si="10"/>
        <v>1726.3713626144149</v>
      </c>
      <c r="L71" s="176"/>
      <c r="M71" s="178">
        <v>1600</v>
      </c>
      <c r="R71" s="178">
        <v>1647.4740230165003</v>
      </c>
      <c r="T71" s="178">
        <v>1726.3713626144149</v>
      </c>
      <c r="AH71" s="175"/>
      <c r="AI71" s="175"/>
    </row>
    <row r="72" spans="1:35" s="178" customFormat="1" x14ac:dyDescent="0.25">
      <c r="A72" s="176">
        <v>3</v>
      </c>
      <c r="B72" s="176"/>
      <c r="C72" s="176">
        <f t="shared" si="6"/>
        <v>16</v>
      </c>
      <c r="D72" s="176">
        <f t="shared" si="7"/>
        <v>15</v>
      </c>
      <c r="E72" s="176">
        <f t="shared" si="8"/>
        <v>13</v>
      </c>
      <c r="F72" s="176" t="str">
        <f t="shared" si="9"/>
        <v>pm</v>
      </c>
      <c r="G72" s="176" t="s">
        <v>499</v>
      </c>
      <c r="H72" s="176" t="s">
        <v>355</v>
      </c>
      <c r="I72" s="176" t="s">
        <v>500</v>
      </c>
      <c r="J72" s="177" t="s">
        <v>21</v>
      </c>
      <c r="K72" s="178">
        <f t="shared" si="10"/>
        <v>1684.9021174510051</v>
      </c>
      <c r="L72" s="176"/>
      <c r="M72" s="178">
        <v>1600</v>
      </c>
      <c r="P72" s="178">
        <v>1559.7550744981997</v>
      </c>
      <c r="R72" s="178">
        <v>1684.9021174510051</v>
      </c>
      <c r="AH72" s="175"/>
      <c r="AI72" s="175"/>
    </row>
    <row r="73" spans="1:35" s="178" customFormat="1" x14ac:dyDescent="0.25">
      <c r="A73" s="176">
        <v>4</v>
      </c>
      <c r="B73" s="176"/>
      <c r="C73" s="176">
        <f t="shared" si="6"/>
        <v>17</v>
      </c>
      <c r="D73" s="176">
        <f t="shared" si="7"/>
        <v>17</v>
      </c>
      <c r="E73" s="176">
        <f t="shared" si="8"/>
        <v>13</v>
      </c>
      <c r="F73" s="176" t="str">
        <f t="shared" si="9"/>
        <v>pm</v>
      </c>
      <c r="G73" s="176" t="s">
        <v>493</v>
      </c>
      <c r="H73" s="176" t="s">
        <v>378</v>
      </c>
      <c r="I73" s="176" t="s">
        <v>494</v>
      </c>
      <c r="J73" s="177" t="s">
        <v>21</v>
      </c>
      <c r="K73" s="178">
        <f t="shared" si="10"/>
        <v>1669.2299346493558</v>
      </c>
      <c r="L73" s="176"/>
      <c r="M73" s="178">
        <v>1700</v>
      </c>
      <c r="O73" s="178">
        <v>1693.6375418300127</v>
      </c>
      <c r="R73" s="178">
        <v>1657.3872938785414</v>
      </c>
      <c r="T73" s="178">
        <v>1669.2299346493558</v>
      </c>
      <c r="AH73" s="175"/>
      <c r="AI73" s="175"/>
    </row>
    <row r="74" spans="1:35" s="178" customFormat="1" x14ac:dyDescent="0.25">
      <c r="A74" s="176">
        <v>3</v>
      </c>
      <c r="B74" s="176"/>
      <c r="C74" s="176">
        <f t="shared" si="6"/>
        <v>18</v>
      </c>
      <c r="D74" s="176">
        <f t="shared" si="7"/>
        <v>18</v>
      </c>
      <c r="E74" s="176">
        <f t="shared" si="8"/>
        <v>13</v>
      </c>
      <c r="F74" s="176" t="str">
        <f t="shared" si="9"/>
        <v>pm</v>
      </c>
      <c r="G74" s="176" t="s">
        <v>501</v>
      </c>
      <c r="H74" s="176" t="s">
        <v>355</v>
      </c>
      <c r="I74" s="176" t="s">
        <v>502</v>
      </c>
      <c r="J74" s="177" t="s">
        <v>21</v>
      </c>
      <c r="K74" s="178">
        <f t="shared" si="10"/>
        <v>1663.7820960089477</v>
      </c>
      <c r="L74" s="176"/>
      <c r="M74" s="178">
        <v>1600</v>
      </c>
      <c r="P74" s="178">
        <v>1590.1315477575743</v>
      </c>
      <c r="R74" s="178">
        <v>1663.7820960089477</v>
      </c>
      <c r="AH74" s="175"/>
      <c r="AI74" s="175"/>
    </row>
    <row r="75" spans="1:35" s="178" customFormat="1" x14ac:dyDescent="0.25">
      <c r="A75" s="176">
        <v>5</v>
      </c>
      <c r="B75" s="176"/>
      <c r="C75" s="176">
        <f t="shared" si="6"/>
        <v>19</v>
      </c>
      <c r="D75" s="176">
        <f t="shared" si="7"/>
        <v>18</v>
      </c>
      <c r="E75" s="176">
        <f t="shared" si="8"/>
        <v>13</v>
      </c>
      <c r="F75" s="176" t="str">
        <f t="shared" si="9"/>
        <v>pm</v>
      </c>
      <c r="G75" s="176" t="s">
        <v>505</v>
      </c>
      <c r="H75" s="176" t="s">
        <v>400</v>
      </c>
      <c r="I75" s="176" t="s">
        <v>506</v>
      </c>
      <c r="J75" s="177" t="s">
        <v>21</v>
      </c>
      <c r="K75" s="178">
        <f t="shared" si="10"/>
        <v>1640.1661561444348</v>
      </c>
      <c r="L75" s="176"/>
      <c r="M75" s="178">
        <v>1600</v>
      </c>
      <c r="P75" s="178">
        <v>1633.9324219018492</v>
      </c>
      <c r="R75" s="178">
        <v>1640.1661561444348</v>
      </c>
      <c r="AH75" s="175"/>
      <c r="AI75" s="175"/>
    </row>
    <row r="76" spans="1:35" s="178" customFormat="1" x14ac:dyDescent="0.25">
      <c r="A76" s="176">
        <v>4</v>
      </c>
      <c r="B76" s="176"/>
      <c r="C76" s="176">
        <f t="shared" si="6"/>
        <v>20</v>
      </c>
      <c r="D76" s="176">
        <f t="shared" si="7"/>
        <v>18</v>
      </c>
      <c r="E76" s="176">
        <f t="shared" si="8"/>
        <v>13</v>
      </c>
      <c r="F76" s="176" t="str">
        <f t="shared" si="9"/>
        <v>pm</v>
      </c>
      <c r="G76" s="176" t="s">
        <v>507</v>
      </c>
      <c r="H76" s="176" t="s">
        <v>406</v>
      </c>
      <c r="I76" s="176" t="s">
        <v>508</v>
      </c>
      <c r="J76" s="177" t="s">
        <v>21</v>
      </c>
      <c r="K76" s="178">
        <f t="shared" si="10"/>
        <v>1638.9168688111979</v>
      </c>
      <c r="L76" s="176"/>
      <c r="M76" s="178">
        <v>1600</v>
      </c>
      <c r="P76" s="178">
        <v>1552.9187728513743</v>
      </c>
      <c r="R76" s="178">
        <v>1638.9168688111979</v>
      </c>
      <c r="AH76" s="175"/>
      <c r="AI76" s="175"/>
    </row>
    <row r="77" spans="1:35" s="178" customFormat="1" x14ac:dyDescent="0.25">
      <c r="A77" s="176">
        <v>5</v>
      </c>
      <c r="B77" s="176"/>
      <c r="C77" s="176">
        <f t="shared" si="6"/>
        <v>21</v>
      </c>
      <c r="D77" s="176">
        <f t="shared" si="7"/>
        <v>18</v>
      </c>
      <c r="E77" s="176">
        <f t="shared" si="8"/>
        <v>13</v>
      </c>
      <c r="F77" s="176" t="str">
        <f t="shared" si="9"/>
        <v>pm</v>
      </c>
      <c r="G77" s="176" t="s">
        <v>516</v>
      </c>
      <c r="H77" s="176" t="s">
        <v>515</v>
      </c>
      <c r="I77" s="176" t="s">
        <v>517</v>
      </c>
      <c r="J77" s="177" t="s">
        <v>21</v>
      </c>
      <c r="K77" s="178">
        <f t="shared" si="10"/>
        <v>1624.3375045624421</v>
      </c>
      <c r="L77" s="176"/>
      <c r="M77" s="178">
        <v>1600</v>
      </c>
      <c r="R77" s="178">
        <v>1624.3375045624421</v>
      </c>
      <c r="AH77" s="175"/>
      <c r="AI77" s="175"/>
    </row>
    <row r="78" spans="1:35" s="178" customFormat="1" x14ac:dyDescent="0.25">
      <c r="A78" s="176">
        <v>6</v>
      </c>
      <c r="B78" s="176"/>
      <c r="C78" s="176">
        <f t="shared" si="6"/>
        <v>22</v>
      </c>
      <c r="D78" s="176">
        <f t="shared" si="7"/>
        <v>22</v>
      </c>
      <c r="E78" s="176">
        <f t="shared" si="8"/>
        <v>13</v>
      </c>
      <c r="F78" s="176" t="str">
        <f t="shared" si="9"/>
        <v>pm</v>
      </c>
      <c r="G78" s="176" t="s">
        <v>495</v>
      </c>
      <c r="H78" s="176" t="s">
        <v>461</v>
      </c>
      <c r="I78" s="176" t="s">
        <v>496</v>
      </c>
      <c r="J78" s="177" t="s">
        <v>21</v>
      </c>
      <c r="K78" s="178">
        <f t="shared" si="10"/>
        <v>1623.8204049929316</v>
      </c>
      <c r="L78" s="176"/>
      <c r="M78" s="178">
        <v>1666.6666666666667</v>
      </c>
      <c r="O78" s="178">
        <v>1693.5789788646412</v>
      </c>
      <c r="R78" s="178">
        <v>1641.6440767325234</v>
      </c>
      <c r="T78" s="178">
        <v>1623.8204049929316</v>
      </c>
      <c r="AH78" s="175"/>
      <c r="AI78" s="175"/>
    </row>
    <row r="79" spans="1:35" s="178" customFormat="1" x14ac:dyDescent="0.25">
      <c r="A79" s="176">
        <v>7</v>
      </c>
      <c r="B79" s="176"/>
      <c r="C79" s="176">
        <f t="shared" si="6"/>
        <v>23</v>
      </c>
      <c r="D79" s="176">
        <f t="shared" si="7"/>
        <v>23</v>
      </c>
      <c r="E79" s="176">
        <f t="shared" si="8"/>
        <v>13</v>
      </c>
      <c r="F79" s="176" t="str">
        <f t="shared" si="9"/>
        <v>pm</v>
      </c>
      <c r="G79" s="176" t="s">
        <v>234</v>
      </c>
      <c r="H79" s="176" t="s">
        <v>518</v>
      </c>
      <c r="I79" s="176" t="s">
        <v>233</v>
      </c>
      <c r="J79" s="177" t="s">
        <v>21</v>
      </c>
      <c r="K79" s="178">
        <f t="shared" si="10"/>
        <v>1622.9329591490934</v>
      </c>
      <c r="L79" s="176"/>
      <c r="M79" s="178">
        <v>1600</v>
      </c>
      <c r="P79" s="178">
        <v>1540.0355769325172</v>
      </c>
      <c r="R79" s="178">
        <v>1576.7047718940707</v>
      </c>
      <c r="T79" s="178">
        <v>1622.9329591490934</v>
      </c>
      <c r="AH79" s="175"/>
      <c r="AI79" s="175"/>
    </row>
    <row r="80" spans="1:35" s="178" customFormat="1" x14ac:dyDescent="0.25">
      <c r="A80" s="176">
        <v>6</v>
      </c>
      <c r="B80" s="176"/>
      <c r="C80" s="176">
        <f t="shared" si="6"/>
        <v>24</v>
      </c>
      <c r="D80" s="176">
        <f t="shared" si="7"/>
        <v>23</v>
      </c>
      <c r="E80" s="176">
        <f t="shared" si="8"/>
        <v>13</v>
      </c>
      <c r="F80" s="176" t="str">
        <f t="shared" si="9"/>
        <v>pm</v>
      </c>
      <c r="G80" s="176" t="s">
        <v>236</v>
      </c>
      <c r="H80" s="176" t="s">
        <v>412</v>
      </c>
      <c r="I80" s="176" t="s">
        <v>235</v>
      </c>
      <c r="J80" s="177" t="s">
        <v>21</v>
      </c>
      <c r="K80" s="178">
        <f t="shared" si="10"/>
        <v>1616.1193355748426</v>
      </c>
      <c r="L80" s="176"/>
      <c r="M80" s="178">
        <v>1600</v>
      </c>
      <c r="R80" s="178">
        <v>1568.3090521625732</v>
      </c>
      <c r="T80" s="178">
        <v>1616.1193355748426</v>
      </c>
      <c r="AH80" s="175"/>
      <c r="AI80" s="175"/>
    </row>
    <row r="81" spans="1:35" s="178" customFormat="1" x14ac:dyDescent="0.25">
      <c r="A81" s="176">
        <v>5</v>
      </c>
      <c r="B81" s="176"/>
      <c r="C81" s="176">
        <f t="shared" si="6"/>
        <v>25</v>
      </c>
      <c r="D81" s="176">
        <f t="shared" si="7"/>
        <v>23</v>
      </c>
      <c r="E81" s="176">
        <f t="shared" si="8"/>
        <v>13</v>
      </c>
      <c r="F81" s="176" t="str">
        <f t="shared" si="9"/>
        <v>pm</v>
      </c>
      <c r="G81" s="176" t="s">
        <v>527</v>
      </c>
      <c r="H81" s="176" t="s">
        <v>528</v>
      </c>
      <c r="I81" s="176" t="s">
        <v>529</v>
      </c>
      <c r="J81" s="177" t="s">
        <v>21</v>
      </c>
      <c r="K81" s="178">
        <f t="shared" si="10"/>
        <v>1613.0329052350071</v>
      </c>
      <c r="L81" s="176"/>
      <c r="M81" s="178">
        <v>1600</v>
      </c>
      <c r="R81" s="178">
        <v>1639.4730821157075</v>
      </c>
      <c r="T81" s="178">
        <v>1613.0329052350071</v>
      </c>
      <c r="AH81" s="175"/>
      <c r="AI81" s="175"/>
    </row>
    <row r="82" spans="1:35" s="178" customFormat="1" x14ac:dyDescent="0.25">
      <c r="A82" s="176">
        <v>4</v>
      </c>
      <c r="B82" s="176"/>
      <c r="C82" s="176">
        <f t="shared" si="6"/>
        <v>26</v>
      </c>
      <c r="D82" s="176">
        <f t="shared" si="7"/>
        <v>23</v>
      </c>
      <c r="E82" s="176">
        <f t="shared" si="8"/>
        <v>13</v>
      </c>
      <c r="F82" s="176" t="str">
        <f t="shared" si="9"/>
        <v>pm</v>
      </c>
      <c r="G82" s="176" t="s">
        <v>513</v>
      </c>
      <c r="H82" s="176" t="s">
        <v>365</v>
      </c>
      <c r="I82" s="176" t="s">
        <v>514</v>
      </c>
      <c r="J82" s="177" t="s">
        <v>21</v>
      </c>
      <c r="K82" s="178">
        <f t="shared" si="10"/>
        <v>1611.1186992330199</v>
      </c>
      <c r="L82" s="176"/>
      <c r="M82" s="178">
        <v>1600</v>
      </c>
      <c r="T82" s="178">
        <v>1611.1186992330199</v>
      </c>
      <c r="AH82" s="175"/>
      <c r="AI82" s="175"/>
    </row>
    <row r="83" spans="1:35" s="178" customFormat="1" x14ac:dyDescent="0.25">
      <c r="A83" s="176">
        <v>3</v>
      </c>
      <c r="B83" s="176"/>
      <c r="C83" s="176">
        <f t="shared" si="6"/>
        <v>27</v>
      </c>
      <c r="D83" s="176">
        <f t="shared" si="7"/>
        <v>23</v>
      </c>
      <c r="E83" s="176">
        <f t="shared" si="8"/>
        <v>13</v>
      </c>
      <c r="F83" s="176" t="str">
        <f t="shared" si="9"/>
        <v>pm</v>
      </c>
      <c r="G83" s="176" t="s">
        <v>503</v>
      </c>
      <c r="H83" s="176" t="s">
        <v>355</v>
      </c>
      <c r="I83" s="176" t="s">
        <v>504</v>
      </c>
      <c r="J83" s="177" t="s">
        <v>21</v>
      </c>
      <c r="K83" s="178">
        <f t="shared" si="10"/>
        <v>1602.913856020094</v>
      </c>
      <c r="L83" s="176"/>
      <c r="M83" s="178">
        <v>1600</v>
      </c>
      <c r="R83" s="178">
        <v>1602.913856020094</v>
      </c>
      <c r="AH83" s="175"/>
      <c r="AI83" s="175"/>
    </row>
    <row r="84" spans="1:35" s="178" customFormat="1" x14ac:dyDescent="0.25">
      <c r="A84" s="176">
        <v>3</v>
      </c>
      <c r="B84" s="176"/>
      <c r="C84" s="176">
        <f t="shared" si="6"/>
        <v>28</v>
      </c>
      <c r="D84" s="176">
        <f t="shared" si="7"/>
        <v>23</v>
      </c>
      <c r="E84" s="176">
        <f t="shared" si="8"/>
        <v>13</v>
      </c>
      <c r="F84" s="176" t="str">
        <f t="shared" si="9"/>
        <v>pm</v>
      </c>
      <c r="G84" s="176" t="s">
        <v>530</v>
      </c>
      <c r="H84" s="176" t="s">
        <v>390</v>
      </c>
      <c r="I84" s="176" t="s">
        <v>531</v>
      </c>
      <c r="J84" s="177" t="s">
        <v>21</v>
      </c>
      <c r="K84" s="178">
        <f t="shared" si="10"/>
        <v>1600</v>
      </c>
      <c r="L84" s="176"/>
      <c r="M84" s="178">
        <v>1600</v>
      </c>
      <c r="AH84" s="175"/>
      <c r="AI84" s="175"/>
    </row>
    <row r="85" spans="1:35" s="178" customFormat="1" x14ac:dyDescent="0.25">
      <c r="A85" s="176">
        <v>6</v>
      </c>
      <c r="B85" s="176"/>
      <c r="C85" s="176">
        <f t="shared" si="6"/>
        <v>29</v>
      </c>
      <c r="D85" s="176">
        <f t="shared" si="7"/>
        <v>23</v>
      </c>
      <c r="E85" s="176">
        <f t="shared" si="8"/>
        <v>13</v>
      </c>
      <c r="F85" s="176" t="str">
        <f t="shared" si="9"/>
        <v>pm</v>
      </c>
      <c r="G85" s="176" t="s">
        <v>523</v>
      </c>
      <c r="H85" s="176" t="s">
        <v>392</v>
      </c>
      <c r="I85" s="176" t="s">
        <v>524</v>
      </c>
      <c r="J85" s="177" t="s">
        <v>21</v>
      </c>
      <c r="K85" s="178">
        <f t="shared" si="10"/>
        <v>1595.6889931925523</v>
      </c>
      <c r="L85" s="176"/>
      <c r="M85" s="178">
        <v>1600</v>
      </c>
      <c r="R85" s="178">
        <v>1616.8234096527883</v>
      </c>
      <c r="T85" s="178">
        <v>1595.6889931925523</v>
      </c>
      <c r="AH85" s="175"/>
      <c r="AI85" s="175"/>
    </row>
    <row r="86" spans="1:35" s="178" customFormat="1" x14ac:dyDescent="0.25">
      <c r="A86" s="176">
        <v>3</v>
      </c>
      <c r="B86" s="176"/>
      <c r="C86" s="176">
        <f t="shared" si="6"/>
        <v>30</v>
      </c>
      <c r="D86" s="176">
        <f t="shared" si="7"/>
        <v>23</v>
      </c>
      <c r="E86" s="176">
        <f t="shared" si="8"/>
        <v>13</v>
      </c>
      <c r="F86" s="176" t="str">
        <f t="shared" si="9"/>
        <v>pm</v>
      </c>
      <c r="G86" s="176" t="s">
        <v>519</v>
      </c>
      <c r="H86" s="176" t="s">
        <v>454</v>
      </c>
      <c r="I86" s="176" t="s">
        <v>520</v>
      </c>
      <c r="J86" s="177" t="s">
        <v>21</v>
      </c>
      <c r="K86" s="178">
        <f t="shared" si="10"/>
        <v>1590.7069587238871</v>
      </c>
      <c r="L86" s="176"/>
      <c r="M86" s="178">
        <v>1600</v>
      </c>
      <c r="R86" s="178">
        <v>1590.7069587238871</v>
      </c>
      <c r="AH86" s="175"/>
      <c r="AI86" s="175"/>
    </row>
    <row r="87" spans="1:35" s="178" customFormat="1" x14ac:dyDescent="0.25">
      <c r="A87" s="176">
        <v>3</v>
      </c>
      <c r="B87" s="176"/>
      <c r="C87" s="176">
        <f t="shared" si="6"/>
        <v>31</v>
      </c>
      <c r="D87" s="176">
        <f t="shared" si="7"/>
        <v>31</v>
      </c>
      <c r="E87" s="176">
        <f t="shared" si="8"/>
        <v>13</v>
      </c>
      <c r="F87" s="176" t="str">
        <f t="shared" si="9"/>
        <v>pm</v>
      </c>
      <c r="G87" s="176" t="s">
        <v>489</v>
      </c>
      <c r="H87" s="176" t="s">
        <v>387</v>
      </c>
      <c r="I87" s="176" t="s">
        <v>490</v>
      </c>
      <c r="J87" s="177" t="s">
        <v>21</v>
      </c>
      <c r="K87" s="178">
        <f t="shared" si="10"/>
        <v>1581.2933664625068</v>
      </c>
      <c r="L87" s="176"/>
      <c r="M87" s="178">
        <v>1733.3333333333333</v>
      </c>
      <c r="R87" s="178">
        <v>1596.5625330002313</v>
      </c>
      <c r="S87" s="178">
        <v>1581.2933664625068</v>
      </c>
      <c r="AH87" s="175"/>
      <c r="AI87" s="175"/>
    </row>
    <row r="88" spans="1:35" s="178" customFormat="1" x14ac:dyDescent="0.25">
      <c r="A88" s="176">
        <v>4</v>
      </c>
      <c r="B88" s="176"/>
      <c r="C88" s="176">
        <f t="shared" si="6"/>
        <v>32</v>
      </c>
      <c r="D88" s="176">
        <f t="shared" si="7"/>
        <v>32</v>
      </c>
      <c r="E88" s="176">
        <f t="shared" si="8"/>
        <v>13</v>
      </c>
      <c r="F88" s="176" t="str">
        <f t="shared" si="9"/>
        <v>pm</v>
      </c>
      <c r="G88" s="176" t="s">
        <v>521</v>
      </c>
      <c r="H88" s="176" t="s">
        <v>522</v>
      </c>
      <c r="I88" s="176" t="s">
        <v>229</v>
      </c>
      <c r="J88" s="177" t="s">
        <v>21</v>
      </c>
      <c r="K88" s="178">
        <f t="shared" si="10"/>
        <v>1543.1249027046999</v>
      </c>
      <c r="L88" s="176"/>
      <c r="M88" s="178">
        <v>1600</v>
      </c>
      <c r="P88" s="178">
        <v>1546.0358684980845</v>
      </c>
      <c r="T88" s="178">
        <v>1543.1249027046999</v>
      </c>
      <c r="AH88" s="175"/>
      <c r="AI88" s="175"/>
    </row>
    <row r="89" spans="1:35" s="178" customFormat="1" x14ac:dyDescent="0.25">
      <c r="A89" s="176">
        <v>6</v>
      </c>
      <c r="B89" s="176"/>
      <c r="C89" s="176">
        <f t="shared" si="6"/>
        <v>33</v>
      </c>
      <c r="D89" s="176">
        <f t="shared" si="7"/>
        <v>32</v>
      </c>
      <c r="E89" s="176">
        <f t="shared" si="8"/>
        <v>13</v>
      </c>
      <c r="F89" s="176" t="str">
        <f t="shared" si="9"/>
        <v>pm</v>
      </c>
      <c r="G89" s="176" t="s">
        <v>511</v>
      </c>
      <c r="H89" s="176" t="s">
        <v>412</v>
      </c>
      <c r="I89" s="176" t="s">
        <v>512</v>
      </c>
      <c r="J89" s="177" t="s">
        <v>21</v>
      </c>
      <c r="K89" s="178">
        <f t="shared" si="10"/>
        <v>1520.7107114660023</v>
      </c>
      <c r="L89" s="176"/>
      <c r="M89" s="178">
        <v>1600</v>
      </c>
      <c r="R89" s="178">
        <v>1624.823853549269</v>
      </c>
      <c r="T89" s="178">
        <v>1520.7107114660023</v>
      </c>
      <c r="AH89" s="175"/>
      <c r="AI89" s="175"/>
    </row>
    <row r="90" spans="1:35" s="178" customFormat="1" x14ac:dyDescent="0.25">
      <c r="A90" s="176">
        <v>6</v>
      </c>
      <c r="B90" s="176"/>
      <c r="C90" s="176">
        <f t="shared" si="6"/>
        <v>34</v>
      </c>
      <c r="D90" s="176">
        <f t="shared" si="7"/>
        <v>32</v>
      </c>
      <c r="E90" s="176">
        <f t="shared" si="8"/>
        <v>13</v>
      </c>
      <c r="F90" s="176" t="str">
        <f t="shared" si="9"/>
        <v>pm</v>
      </c>
      <c r="G90" s="176" t="s">
        <v>238</v>
      </c>
      <c r="H90" s="176" t="s">
        <v>401</v>
      </c>
      <c r="I90" s="176" t="s">
        <v>237</v>
      </c>
      <c r="J90" s="177" t="s">
        <v>21</v>
      </c>
      <c r="K90" s="178">
        <f t="shared" si="10"/>
        <v>1509.7586404382946</v>
      </c>
      <c r="L90" s="176"/>
      <c r="M90" s="178">
        <v>1600</v>
      </c>
      <c r="R90" s="178">
        <v>1568.2233091455873</v>
      </c>
      <c r="T90" s="178">
        <v>1509.7586404382946</v>
      </c>
      <c r="AH90" s="175"/>
      <c r="AI90" s="175"/>
    </row>
    <row r="91" spans="1:35" s="178" customFormat="1" x14ac:dyDescent="0.25">
      <c r="A91" s="176">
        <v>5</v>
      </c>
      <c r="B91" s="176"/>
      <c r="C91" s="176">
        <f t="shared" si="6"/>
        <v>35</v>
      </c>
      <c r="D91" s="176">
        <f t="shared" si="7"/>
        <v>32</v>
      </c>
      <c r="E91" s="176">
        <f t="shared" si="8"/>
        <v>13</v>
      </c>
      <c r="F91" s="176" t="str">
        <f t="shared" si="9"/>
        <v>pm</v>
      </c>
      <c r="G91" s="176" t="s">
        <v>240</v>
      </c>
      <c r="H91" s="176" t="s">
        <v>515</v>
      </c>
      <c r="I91" s="176" t="s">
        <v>239</v>
      </c>
      <c r="J91" s="177" t="s">
        <v>21</v>
      </c>
      <c r="K91" s="178">
        <f t="shared" si="10"/>
        <v>1471.7276842658753</v>
      </c>
      <c r="L91" s="176"/>
      <c r="M91" s="178">
        <v>1600</v>
      </c>
      <c r="R91" s="178">
        <v>1540.9289312215133</v>
      </c>
      <c r="T91" s="178">
        <v>1471.7276842658753</v>
      </c>
      <c r="AH91" s="175"/>
      <c r="AI91" s="175"/>
    </row>
    <row r="92" spans="1:35" s="178" customFormat="1" x14ac:dyDescent="0.25">
      <c r="A92" s="176">
        <v>6</v>
      </c>
      <c r="B92" s="176"/>
      <c r="C92" s="176">
        <f t="shared" si="6"/>
        <v>36</v>
      </c>
      <c r="D92" s="176">
        <f t="shared" si="7"/>
        <v>32</v>
      </c>
      <c r="E92" s="176">
        <f t="shared" si="8"/>
        <v>13</v>
      </c>
      <c r="F92" s="176" t="str">
        <f t="shared" si="9"/>
        <v>pm</v>
      </c>
      <c r="G92" s="176" t="s">
        <v>242</v>
      </c>
      <c r="H92" s="176" t="s">
        <v>392</v>
      </c>
      <c r="I92" s="176" t="s">
        <v>241</v>
      </c>
      <c r="J92" s="177" t="s">
        <v>21</v>
      </c>
      <c r="K92" s="178">
        <f t="shared" si="10"/>
        <v>1466.8482393616123</v>
      </c>
      <c r="L92" s="176"/>
      <c r="M92" s="178">
        <v>1600</v>
      </c>
      <c r="R92" s="178">
        <v>1511.9591340892896</v>
      </c>
      <c r="T92" s="178">
        <v>1466.8482393616123</v>
      </c>
      <c r="AH92" s="175"/>
      <c r="AI92" s="175"/>
    </row>
    <row r="93" spans="1:35" s="178" customFormat="1" x14ac:dyDescent="0.25">
      <c r="A93" s="176">
        <v>6</v>
      </c>
      <c r="B93" s="176"/>
      <c r="C93" s="176">
        <f t="shared" si="6"/>
        <v>37</v>
      </c>
      <c r="D93" s="176">
        <f t="shared" si="7"/>
        <v>32</v>
      </c>
      <c r="E93" s="176">
        <f t="shared" si="8"/>
        <v>13</v>
      </c>
      <c r="F93" s="176" t="str">
        <f t="shared" si="9"/>
        <v>pm</v>
      </c>
      <c r="G93" s="176" t="s">
        <v>204</v>
      </c>
      <c r="H93" s="176" t="s">
        <v>412</v>
      </c>
      <c r="I93" s="176" t="s">
        <v>203</v>
      </c>
      <c r="J93" s="177" t="s">
        <v>21</v>
      </c>
      <c r="K93" s="178">
        <f t="shared" si="10"/>
        <v>1401.235994520837</v>
      </c>
      <c r="L93" s="176"/>
      <c r="M93" s="178">
        <v>1600</v>
      </c>
      <c r="R93" s="178">
        <v>1475.1822078119806</v>
      </c>
      <c r="T93" s="178">
        <v>1401.235994520837</v>
      </c>
      <c r="AH93" s="175"/>
      <c r="AI93" s="175"/>
    </row>
    <row r="94" spans="1:35" s="178" customFormat="1" x14ac:dyDescent="0.25">
      <c r="A94" s="176">
        <v>3</v>
      </c>
      <c r="B94" s="176"/>
      <c r="C94" s="176">
        <f t="shared" si="6"/>
        <v>38</v>
      </c>
      <c r="D94" s="176">
        <f t="shared" si="7"/>
        <v>38</v>
      </c>
      <c r="E94" s="176">
        <f t="shared" si="8"/>
        <v>13</v>
      </c>
      <c r="F94" s="176" t="str">
        <f t="shared" si="9"/>
        <v>pm</v>
      </c>
      <c r="G94" s="176" t="s">
        <v>532</v>
      </c>
      <c r="H94" s="176" t="s">
        <v>406</v>
      </c>
      <c r="I94" s="176" t="s">
        <v>533</v>
      </c>
      <c r="J94" s="177" t="s">
        <v>360</v>
      </c>
      <c r="K94" s="178">
        <f t="shared" si="10"/>
        <v>1278.4897521966338</v>
      </c>
      <c r="L94" s="176"/>
      <c r="M94" s="178">
        <v>1200</v>
      </c>
      <c r="R94" s="178">
        <v>1251.7655011857189</v>
      </c>
      <c r="T94" s="178">
        <v>1278.4897521966338</v>
      </c>
      <c r="AH94" s="175"/>
      <c r="AI94" s="175"/>
    </row>
    <row r="95" spans="1:35" s="178" customFormat="1" x14ac:dyDescent="0.25">
      <c r="A95" s="176">
        <v>2</v>
      </c>
      <c r="B95" s="176"/>
      <c r="C95" s="176">
        <f t="shared" si="6"/>
        <v>1</v>
      </c>
      <c r="D95" s="176">
        <f t="shared" si="7"/>
        <v>1</v>
      </c>
      <c r="E95" s="176">
        <f t="shared" si="8"/>
        <v>14</v>
      </c>
      <c r="F95" s="176" t="str">
        <f t="shared" si="9"/>
        <v>pm</v>
      </c>
      <c r="G95" s="176" t="s">
        <v>589</v>
      </c>
      <c r="H95" s="176" t="s">
        <v>390</v>
      </c>
      <c r="I95" s="176" t="s">
        <v>590</v>
      </c>
      <c r="J95" s="177" t="s">
        <v>22</v>
      </c>
      <c r="K95" s="178">
        <f t="shared" si="10"/>
        <v>2312.9812528642774</v>
      </c>
      <c r="L95" s="176"/>
      <c r="M95" s="178">
        <v>2200</v>
      </c>
      <c r="O95" s="178">
        <v>2312.9812528642774</v>
      </c>
      <c r="AH95" s="175"/>
      <c r="AI95" s="175"/>
    </row>
    <row r="96" spans="1:35" s="178" customFormat="1" x14ac:dyDescent="0.25">
      <c r="A96" s="176">
        <v>2</v>
      </c>
      <c r="B96" s="176"/>
      <c r="C96" s="176">
        <f t="shared" si="6"/>
        <v>2</v>
      </c>
      <c r="D96" s="176">
        <f t="shared" si="7"/>
        <v>1</v>
      </c>
      <c r="E96" s="176">
        <f t="shared" si="8"/>
        <v>14</v>
      </c>
      <c r="F96" s="176" t="str">
        <f t="shared" si="9"/>
        <v>pm</v>
      </c>
      <c r="G96" s="176" t="s">
        <v>534</v>
      </c>
      <c r="H96" s="176" t="s">
        <v>362</v>
      </c>
      <c r="I96" s="176" t="s">
        <v>535</v>
      </c>
      <c r="J96" s="177" t="s">
        <v>22</v>
      </c>
      <c r="K96" s="178">
        <f t="shared" si="10"/>
        <v>2311.0807161779258</v>
      </c>
      <c r="L96" s="176"/>
      <c r="M96" s="178">
        <v>2200</v>
      </c>
      <c r="S96" s="178">
        <v>2311.0807161779258</v>
      </c>
      <c r="AH96" s="175"/>
      <c r="AI96" s="175"/>
    </row>
    <row r="97" spans="1:35" s="178" customFormat="1" x14ac:dyDescent="0.25">
      <c r="A97" s="176">
        <v>2</v>
      </c>
      <c r="B97" s="176"/>
      <c r="C97" s="176">
        <f t="shared" si="6"/>
        <v>3</v>
      </c>
      <c r="D97" s="176">
        <f t="shared" si="7"/>
        <v>1</v>
      </c>
      <c r="E97" s="176">
        <f t="shared" si="8"/>
        <v>14</v>
      </c>
      <c r="F97" s="176" t="str">
        <f t="shared" si="9"/>
        <v>pm</v>
      </c>
      <c r="G97" s="176" t="s">
        <v>573</v>
      </c>
      <c r="H97" s="176" t="s">
        <v>387</v>
      </c>
      <c r="I97" s="176" t="s">
        <v>574</v>
      </c>
      <c r="J97" s="177" t="s">
        <v>22</v>
      </c>
      <c r="K97" s="178">
        <f t="shared" si="10"/>
        <v>2267.1704673081986</v>
      </c>
      <c r="L97" s="176"/>
      <c r="M97" s="178">
        <v>2200</v>
      </c>
      <c r="S97" s="178">
        <v>2267.1704673081986</v>
      </c>
      <c r="AH97" s="175"/>
      <c r="AI97" s="175"/>
    </row>
    <row r="98" spans="1:35" s="178" customFormat="1" x14ac:dyDescent="0.25">
      <c r="A98" s="176">
        <v>6</v>
      </c>
      <c r="B98" s="176"/>
      <c r="C98" s="176">
        <f t="shared" si="6"/>
        <v>4</v>
      </c>
      <c r="D98" s="176">
        <f t="shared" si="7"/>
        <v>1</v>
      </c>
      <c r="E98" s="176">
        <f t="shared" si="8"/>
        <v>14</v>
      </c>
      <c r="F98" s="176" t="str">
        <f t="shared" si="9"/>
        <v>pm</v>
      </c>
      <c r="G98" s="176" t="s">
        <v>173</v>
      </c>
      <c r="H98" s="176" t="s">
        <v>518</v>
      </c>
      <c r="I98" s="176" t="s">
        <v>172</v>
      </c>
      <c r="J98" s="177" t="s">
        <v>21</v>
      </c>
      <c r="K98" s="178">
        <f t="shared" si="10"/>
        <v>2259.1775396240569</v>
      </c>
      <c r="L98" s="178">
        <v>1866.6666666666667</v>
      </c>
      <c r="M98" s="178">
        <v>2200</v>
      </c>
      <c r="P98" s="178">
        <v>2232.5282669272556</v>
      </c>
      <c r="T98" s="178">
        <v>2259.1775396240569</v>
      </c>
      <c r="AH98" s="175"/>
      <c r="AI98" s="175"/>
    </row>
    <row r="99" spans="1:35" s="178" customFormat="1" x14ac:dyDescent="0.25">
      <c r="A99" s="176">
        <v>2</v>
      </c>
      <c r="B99" s="176"/>
      <c r="C99" s="176">
        <f t="shared" si="6"/>
        <v>5</v>
      </c>
      <c r="D99" s="176">
        <f t="shared" si="7"/>
        <v>1</v>
      </c>
      <c r="E99" s="176">
        <f t="shared" si="8"/>
        <v>14</v>
      </c>
      <c r="F99" s="176" t="str">
        <f t="shared" si="9"/>
        <v>pm</v>
      </c>
      <c r="G99" s="176" t="s">
        <v>587</v>
      </c>
      <c r="H99" s="176" t="s">
        <v>375</v>
      </c>
      <c r="I99" s="176" t="s">
        <v>588</v>
      </c>
      <c r="J99" s="177" t="s">
        <v>22</v>
      </c>
      <c r="K99" s="178">
        <f t="shared" si="10"/>
        <v>2257.5203872558918</v>
      </c>
      <c r="L99" s="176"/>
      <c r="M99" s="178">
        <v>2200</v>
      </c>
      <c r="O99" s="178">
        <v>2257.5203872558918</v>
      </c>
      <c r="AH99" s="175"/>
      <c r="AI99" s="175"/>
    </row>
    <row r="100" spans="1:35" s="178" customFormat="1" x14ac:dyDescent="0.25">
      <c r="A100" s="176">
        <v>3</v>
      </c>
      <c r="B100" s="176"/>
      <c r="C100" s="176">
        <f t="shared" si="6"/>
        <v>6</v>
      </c>
      <c r="D100" s="176">
        <f t="shared" si="7"/>
        <v>1</v>
      </c>
      <c r="E100" s="176">
        <f t="shared" si="8"/>
        <v>14</v>
      </c>
      <c r="F100" s="176" t="str">
        <f t="shared" si="9"/>
        <v>pm</v>
      </c>
      <c r="G100" s="176" t="s">
        <v>540</v>
      </c>
      <c r="H100" s="176" t="s">
        <v>355</v>
      </c>
      <c r="I100" s="176" t="s">
        <v>541</v>
      </c>
      <c r="J100" s="177" t="s">
        <v>22</v>
      </c>
      <c r="K100" s="178">
        <f t="shared" si="10"/>
        <v>2257.1292784787197</v>
      </c>
      <c r="L100" s="176"/>
      <c r="M100" s="178">
        <v>2200</v>
      </c>
      <c r="O100" s="178">
        <v>2257.1292784787197</v>
      </c>
      <c r="AH100" s="175"/>
      <c r="AI100" s="175"/>
    </row>
    <row r="101" spans="1:35" s="178" customFormat="1" x14ac:dyDescent="0.25">
      <c r="A101" s="176">
        <v>5</v>
      </c>
      <c r="B101" s="176"/>
      <c r="C101" s="176">
        <f t="shared" si="6"/>
        <v>7</v>
      </c>
      <c r="D101" s="176">
        <f t="shared" si="7"/>
        <v>1</v>
      </c>
      <c r="E101" s="176">
        <f t="shared" si="8"/>
        <v>14</v>
      </c>
      <c r="F101" s="176" t="str">
        <f t="shared" si="9"/>
        <v>pm</v>
      </c>
      <c r="G101" s="176" t="s">
        <v>546</v>
      </c>
      <c r="H101" s="176" t="s">
        <v>401</v>
      </c>
      <c r="I101" s="176" t="s">
        <v>547</v>
      </c>
      <c r="J101" s="177" t="s">
        <v>22</v>
      </c>
      <c r="K101" s="178">
        <f t="shared" si="10"/>
        <v>2250.3476060341486</v>
      </c>
      <c r="L101" s="176"/>
      <c r="M101" s="178">
        <v>2200</v>
      </c>
      <c r="O101" s="178">
        <v>2180.5987194531212</v>
      </c>
      <c r="S101" s="178">
        <v>2250.3476060341486</v>
      </c>
      <c r="AH101" s="175"/>
      <c r="AI101" s="175"/>
    </row>
    <row r="102" spans="1:35" s="178" customFormat="1" x14ac:dyDescent="0.25">
      <c r="A102" s="176">
        <v>4</v>
      </c>
      <c r="B102" s="176"/>
      <c r="C102" s="176">
        <f t="shared" si="6"/>
        <v>8</v>
      </c>
      <c r="D102" s="176">
        <f t="shared" si="7"/>
        <v>1</v>
      </c>
      <c r="E102" s="176">
        <f t="shared" si="8"/>
        <v>14</v>
      </c>
      <c r="F102" s="176" t="str">
        <f t="shared" si="9"/>
        <v>pm</v>
      </c>
      <c r="G102" s="176" t="s">
        <v>579</v>
      </c>
      <c r="H102" s="176" t="s">
        <v>378</v>
      </c>
      <c r="I102" s="176" t="s">
        <v>580</v>
      </c>
      <c r="J102" s="177" t="s">
        <v>22</v>
      </c>
      <c r="K102" s="178">
        <f t="shared" si="10"/>
        <v>2234.6390291425291</v>
      </c>
      <c r="L102" s="176"/>
      <c r="M102" s="178">
        <v>2200</v>
      </c>
      <c r="O102" s="178">
        <v>2237.4859062594396</v>
      </c>
      <c r="S102" s="178">
        <v>2234.6390291425291</v>
      </c>
      <c r="AH102" s="175"/>
      <c r="AI102" s="175"/>
    </row>
    <row r="103" spans="1:35" s="178" customFormat="1" x14ac:dyDescent="0.25">
      <c r="A103" s="176">
        <v>3</v>
      </c>
      <c r="B103" s="176"/>
      <c r="C103" s="176">
        <f t="shared" si="6"/>
        <v>9</v>
      </c>
      <c r="D103" s="176">
        <f t="shared" si="7"/>
        <v>1</v>
      </c>
      <c r="E103" s="176">
        <f t="shared" si="8"/>
        <v>14</v>
      </c>
      <c r="F103" s="176" t="str">
        <f t="shared" si="9"/>
        <v>pm</v>
      </c>
      <c r="G103" s="176" t="s">
        <v>575</v>
      </c>
      <c r="H103" s="176" t="s">
        <v>387</v>
      </c>
      <c r="I103" s="176" t="s">
        <v>576</v>
      </c>
      <c r="J103" s="177" t="s">
        <v>22</v>
      </c>
      <c r="K103" s="178">
        <f t="shared" si="10"/>
        <v>2229.3799913634903</v>
      </c>
      <c r="L103" s="176"/>
      <c r="M103" s="178">
        <v>2200</v>
      </c>
      <c r="S103" s="178">
        <v>2229.3799913634903</v>
      </c>
      <c r="AH103" s="175"/>
      <c r="AI103" s="175"/>
    </row>
    <row r="104" spans="1:35" s="178" customFormat="1" x14ac:dyDescent="0.25">
      <c r="A104" s="176">
        <v>5</v>
      </c>
      <c r="B104" s="176"/>
      <c r="C104" s="176">
        <f t="shared" si="6"/>
        <v>10</v>
      </c>
      <c r="D104" s="176">
        <f t="shared" si="7"/>
        <v>1</v>
      </c>
      <c r="E104" s="176">
        <f t="shared" si="8"/>
        <v>14</v>
      </c>
      <c r="F104" s="176" t="str">
        <f t="shared" si="9"/>
        <v>pm</v>
      </c>
      <c r="G104" s="176" t="s">
        <v>583</v>
      </c>
      <c r="H104" s="176" t="s">
        <v>392</v>
      </c>
      <c r="I104" s="176" t="s">
        <v>584</v>
      </c>
      <c r="J104" s="177" t="s">
        <v>22</v>
      </c>
      <c r="K104" s="178">
        <f t="shared" si="10"/>
        <v>2214.1140087089798</v>
      </c>
      <c r="L104" s="176"/>
      <c r="M104" s="178">
        <v>2200</v>
      </c>
      <c r="S104" s="178">
        <v>2214.1140087089798</v>
      </c>
      <c r="AH104" s="175"/>
      <c r="AI104" s="175"/>
    </row>
    <row r="105" spans="1:35" s="178" customFormat="1" x14ac:dyDescent="0.25">
      <c r="A105" s="176">
        <v>3</v>
      </c>
      <c r="B105" s="176"/>
      <c r="C105" s="176">
        <f t="shared" si="6"/>
        <v>11</v>
      </c>
      <c r="D105" s="176">
        <f t="shared" si="7"/>
        <v>1</v>
      </c>
      <c r="E105" s="176">
        <f t="shared" si="8"/>
        <v>14</v>
      </c>
      <c r="F105" s="176" t="str">
        <f t="shared" si="9"/>
        <v>pm</v>
      </c>
      <c r="G105" s="176" t="s">
        <v>569</v>
      </c>
      <c r="H105" s="176" t="s">
        <v>567</v>
      </c>
      <c r="I105" s="176" t="s">
        <v>570</v>
      </c>
      <c r="J105" s="177" t="s">
        <v>22</v>
      </c>
      <c r="K105" s="178">
        <f t="shared" si="10"/>
        <v>2202.1728034434786</v>
      </c>
      <c r="L105" s="176"/>
      <c r="M105" s="178">
        <v>2200</v>
      </c>
      <c r="O105" s="178">
        <v>2202.1728034434786</v>
      </c>
      <c r="AH105" s="175"/>
      <c r="AI105" s="175"/>
    </row>
    <row r="106" spans="1:35" s="178" customFormat="1" x14ac:dyDescent="0.25">
      <c r="A106" s="176">
        <v>3</v>
      </c>
      <c r="B106" s="176"/>
      <c r="C106" s="176">
        <f t="shared" si="6"/>
        <v>12</v>
      </c>
      <c r="D106" s="176">
        <f t="shared" si="7"/>
        <v>12</v>
      </c>
      <c r="E106" s="176">
        <f t="shared" si="8"/>
        <v>14</v>
      </c>
      <c r="F106" s="176" t="str">
        <f t="shared" si="9"/>
        <v>pm</v>
      </c>
      <c r="G106" s="176" t="s">
        <v>601</v>
      </c>
      <c r="H106" s="176" t="s">
        <v>375</v>
      </c>
      <c r="I106" s="176" t="s">
        <v>602</v>
      </c>
      <c r="J106" s="177" t="s">
        <v>22</v>
      </c>
      <c r="K106" s="178">
        <f t="shared" si="10"/>
        <v>2201.9753930179209</v>
      </c>
      <c r="L106" s="176"/>
      <c r="M106" s="178">
        <v>2066.6666666666665</v>
      </c>
      <c r="O106" s="178">
        <v>2201.9753930179209</v>
      </c>
      <c r="AH106" s="175"/>
      <c r="AI106" s="175"/>
    </row>
    <row r="107" spans="1:35" s="178" customFormat="1" x14ac:dyDescent="0.25">
      <c r="A107" s="176">
        <v>4</v>
      </c>
      <c r="B107" s="176"/>
      <c r="C107" s="176">
        <f t="shared" si="6"/>
        <v>13</v>
      </c>
      <c r="D107" s="176">
        <f t="shared" si="7"/>
        <v>13</v>
      </c>
      <c r="E107" s="176">
        <f t="shared" si="8"/>
        <v>14</v>
      </c>
      <c r="F107" s="176" t="str">
        <f t="shared" si="9"/>
        <v>pm</v>
      </c>
      <c r="G107" s="176" t="s">
        <v>556</v>
      </c>
      <c r="H107" s="176" t="s">
        <v>412</v>
      </c>
      <c r="I107" s="176" t="s">
        <v>557</v>
      </c>
      <c r="J107" s="177" t="s">
        <v>22</v>
      </c>
      <c r="K107" s="178">
        <f t="shared" si="10"/>
        <v>2200</v>
      </c>
      <c r="L107" s="176"/>
      <c r="M107" s="178">
        <v>2200</v>
      </c>
      <c r="AH107" s="175"/>
      <c r="AI107" s="175"/>
    </row>
    <row r="108" spans="1:35" s="178" customFormat="1" x14ac:dyDescent="0.25">
      <c r="A108" s="176">
        <v>4</v>
      </c>
      <c r="B108" s="176"/>
      <c r="C108" s="176">
        <f t="shared" si="6"/>
        <v>14</v>
      </c>
      <c r="D108" s="176">
        <f t="shared" si="7"/>
        <v>13</v>
      </c>
      <c r="E108" s="176">
        <f t="shared" si="8"/>
        <v>14</v>
      </c>
      <c r="F108" s="176" t="str">
        <f t="shared" si="9"/>
        <v>pm</v>
      </c>
      <c r="G108" s="176" t="s">
        <v>562</v>
      </c>
      <c r="H108" s="176" t="s">
        <v>412</v>
      </c>
      <c r="I108" s="176" t="s">
        <v>563</v>
      </c>
      <c r="J108" s="177" t="s">
        <v>22</v>
      </c>
      <c r="K108" s="178">
        <f t="shared" si="10"/>
        <v>2200</v>
      </c>
      <c r="L108" s="176"/>
      <c r="M108" s="178">
        <v>2200</v>
      </c>
      <c r="AH108" s="175"/>
      <c r="AI108" s="175"/>
    </row>
    <row r="109" spans="1:35" s="178" customFormat="1" x14ac:dyDescent="0.25">
      <c r="A109" s="176">
        <v>4</v>
      </c>
      <c r="B109" s="176"/>
      <c r="C109" s="176">
        <f t="shared" si="6"/>
        <v>15</v>
      </c>
      <c r="D109" s="176">
        <f t="shared" si="7"/>
        <v>13</v>
      </c>
      <c r="E109" s="176">
        <f t="shared" si="8"/>
        <v>14</v>
      </c>
      <c r="F109" s="176" t="str">
        <f t="shared" si="9"/>
        <v>pm</v>
      </c>
      <c r="G109" s="176" t="s">
        <v>564</v>
      </c>
      <c r="H109" s="176" t="s">
        <v>365</v>
      </c>
      <c r="I109" s="176" t="s">
        <v>565</v>
      </c>
      <c r="J109" s="177" t="s">
        <v>22</v>
      </c>
      <c r="K109" s="178">
        <f t="shared" si="10"/>
        <v>2200</v>
      </c>
      <c r="L109" s="176"/>
      <c r="M109" s="178">
        <v>2200</v>
      </c>
      <c r="AH109" s="175"/>
      <c r="AI109" s="175"/>
    </row>
    <row r="110" spans="1:35" s="178" customFormat="1" x14ac:dyDescent="0.25">
      <c r="A110" s="176">
        <v>6</v>
      </c>
      <c r="B110" s="176"/>
      <c r="C110" s="176">
        <f t="shared" si="6"/>
        <v>16</v>
      </c>
      <c r="D110" s="176">
        <f t="shared" si="7"/>
        <v>13</v>
      </c>
      <c r="E110" s="176">
        <f t="shared" si="8"/>
        <v>14</v>
      </c>
      <c r="F110" s="176" t="str">
        <f t="shared" si="9"/>
        <v>pm</v>
      </c>
      <c r="G110" s="176" t="s">
        <v>548</v>
      </c>
      <c r="H110" s="176" t="s">
        <v>401</v>
      </c>
      <c r="I110" s="176" t="s">
        <v>549</v>
      </c>
      <c r="J110" s="177" t="s">
        <v>22</v>
      </c>
      <c r="K110" s="178">
        <f t="shared" si="10"/>
        <v>2195.9003251665326</v>
      </c>
      <c r="L110" s="176"/>
      <c r="M110" s="178">
        <v>2200</v>
      </c>
      <c r="O110" s="178">
        <v>2136.9547286873108</v>
      </c>
      <c r="Q110" s="178">
        <v>2208.3131101752324</v>
      </c>
      <c r="S110" s="178">
        <v>2195.9003251665326</v>
      </c>
      <c r="AH110" s="175"/>
      <c r="AI110" s="175"/>
    </row>
    <row r="111" spans="1:35" s="178" customFormat="1" x14ac:dyDescent="0.25">
      <c r="A111" s="176">
        <v>5</v>
      </c>
      <c r="B111" s="176"/>
      <c r="C111" s="176">
        <f t="shared" si="6"/>
        <v>17</v>
      </c>
      <c r="D111" s="176">
        <f t="shared" si="7"/>
        <v>13</v>
      </c>
      <c r="E111" s="176">
        <f t="shared" si="8"/>
        <v>14</v>
      </c>
      <c r="F111" s="176" t="str">
        <f t="shared" si="9"/>
        <v>pm</v>
      </c>
      <c r="G111" s="176" t="s">
        <v>554</v>
      </c>
      <c r="H111" s="176" t="s">
        <v>412</v>
      </c>
      <c r="I111" s="176" t="s">
        <v>555</v>
      </c>
      <c r="J111" s="177" t="s">
        <v>22</v>
      </c>
      <c r="K111" s="178">
        <f t="shared" si="10"/>
        <v>2192.5369343564885</v>
      </c>
      <c r="L111" s="176"/>
      <c r="M111" s="178">
        <v>2200</v>
      </c>
      <c r="O111" s="178">
        <v>2192.5369343564885</v>
      </c>
      <c r="AH111" s="175"/>
      <c r="AI111" s="175"/>
    </row>
    <row r="112" spans="1:35" s="178" customFormat="1" x14ac:dyDescent="0.25">
      <c r="A112" s="176">
        <v>4</v>
      </c>
      <c r="B112" s="176"/>
      <c r="C112" s="176">
        <f t="shared" si="6"/>
        <v>18</v>
      </c>
      <c r="D112" s="176">
        <f t="shared" si="7"/>
        <v>13</v>
      </c>
      <c r="E112" s="176">
        <f t="shared" si="8"/>
        <v>14</v>
      </c>
      <c r="F112" s="176" t="str">
        <f t="shared" si="9"/>
        <v>pm</v>
      </c>
      <c r="G112" s="176" t="s">
        <v>581</v>
      </c>
      <c r="H112" s="176" t="s">
        <v>378</v>
      </c>
      <c r="I112" s="176" t="s">
        <v>582</v>
      </c>
      <c r="J112" s="177" t="s">
        <v>22</v>
      </c>
      <c r="K112" s="178">
        <f t="shared" si="10"/>
        <v>2180.5396784301838</v>
      </c>
      <c r="L112" s="176"/>
      <c r="M112" s="178">
        <v>2200</v>
      </c>
      <c r="O112" s="178">
        <v>2210.6639227494029</v>
      </c>
      <c r="S112" s="178">
        <v>2180.5396784301838</v>
      </c>
      <c r="AH112" s="175"/>
      <c r="AI112" s="175"/>
    </row>
    <row r="113" spans="1:35" s="178" customFormat="1" x14ac:dyDescent="0.25">
      <c r="A113" s="176">
        <v>2</v>
      </c>
      <c r="B113" s="176"/>
      <c r="C113" s="176">
        <f t="shared" si="6"/>
        <v>19</v>
      </c>
      <c r="D113" s="176">
        <f t="shared" si="7"/>
        <v>13</v>
      </c>
      <c r="E113" s="176">
        <f t="shared" si="8"/>
        <v>14</v>
      </c>
      <c r="F113" s="176" t="str">
        <f t="shared" si="9"/>
        <v>pm</v>
      </c>
      <c r="G113" s="176" t="s">
        <v>591</v>
      </c>
      <c r="H113" s="176" t="s">
        <v>362</v>
      </c>
      <c r="I113" s="176" t="s">
        <v>592</v>
      </c>
      <c r="J113" s="177" t="s">
        <v>22</v>
      </c>
      <c r="K113" s="178">
        <f t="shared" si="10"/>
        <v>2175.4488963954454</v>
      </c>
      <c r="L113" s="176"/>
      <c r="M113" s="178">
        <v>2200</v>
      </c>
      <c r="O113" s="178">
        <v>2175.4488963954454</v>
      </c>
      <c r="AH113" s="175"/>
      <c r="AI113" s="175"/>
    </row>
    <row r="114" spans="1:35" s="178" customFormat="1" x14ac:dyDescent="0.25">
      <c r="A114" s="176">
        <v>4</v>
      </c>
      <c r="B114" s="176"/>
      <c r="C114" s="176">
        <f t="shared" si="6"/>
        <v>20</v>
      </c>
      <c r="D114" s="176">
        <f t="shared" si="7"/>
        <v>13</v>
      </c>
      <c r="E114" s="176">
        <f t="shared" si="8"/>
        <v>14</v>
      </c>
      <c r="F114" s="176" t="str">
        <f t="shared" si="9"/>
        <v>pm</v>
      </c>
      <c r="G114" s="176" t="s">
        <v>542</v>
      </c>
      <c r="H114" s="176" t="s">
        <v>355</v>
      </c>
      <c r="I114" s="176" t="s">
        <v>543</v>
      </c>
      <c r="J114" s="177" t="s">
        <v>22</v>
      </c>
      <c r="K114" s="178">
        <f t="shared" si="10"/>
        <v>2175.0809426337946</v>
      </c>
      <c r="L114" s="176"/>
      <c r="M114" s="178">
        <v>2200</v>
      </c>
      <c r="O114" s="178">
        <v>2175.0809426337946</v>
      </c>
      <c r="AH114" s="175"/>
      <c r="AI114" s="175"/>
    </row>
    <row r="115" spans="1:35" s="178" customFormat="1" x14ac:dyDescent="0.25">
      <c r="A115" s="176">
        <v>5</v>
      </c>
      <c r="B115" s="176"/>
      <c r="C115" s="176">
        <f t="shared" si="6"/>
        <v>21</v>
      </c>
      <c r="D115" s="176">
        <f t="shared" si="7"/>
        <v>13</v>
      </c>
      <c r="E115" s="176">
        <f t="shared" si="8"/>
        <v>14</v>
      </c>
      <c r="F115" s="176" t="str">
        <f t="shared" si="9"/>
        <v>pm</v>
      </c>
      <c r="G115" s="176" t="s">
        <v>544</v>
      </c>
      <c r="H115" s="176" t="s">
        <v>400</v>
      </c>
      <c r="I115" s="176" t="s">
        <v>545</v>
      </c>
      <c r="J115" s="177" t="s">
        <v>22</v>
      </c>
      <c r="K115" s="178">
        <f t="shared" si="10"/>
        <v>2166.7823153530389</v>
      </c>
      <c r="L115" s="176"/>
      <c r="M115" s="178">
        <v>2200</v>
      </c>
      <c r="O115" s="178">
        <v>2166.7823153530389</v>
      </c>
      <c r="AH115" s="175"/>
      <c r="AI115" s="175"/>
    </row>
    <row r="116" spans="1:35" s="178" customFormat="1" x14ac:dyDescent="0.25">
      <c r="A116" s="176">
        <v>3</v>
      </c>
      <c r="B116" s="176"/>
      <c r="C116" s="176">
        <f t="shared" si="6"/>
        <v>22</v>
      </c>
      <c r="D116" s="176">
        <f t="shared" si="7"/>
        <v>13</v>
      </c>
      <c r="E116" s="176">
        <f t="shared" si="8"/>
        <v>14</v>
      </c>
      <c r="F116" s="176" t="str">
        <f t="shared" si="9"/>
        <v>pm</v>
      </c>
      <c r="G116" s="176" t="s">
        <v>566</v>
      </c>
      <c r="H116" s="176" t="s">
        <v>567</v>
      </c>
      <c r="I116" s="176" t="s">
        <v>568</v>
      </c>
      <c r="J116" s="177" t="s">
        <v>22</v>
      </c>
      <c r="K116" s="178">
        <f t="shared" si="10"/>
        <v>2156.2324864205407</v>
      </c>
      <c r="L116" s="176"/>
      <c r="M116" s="178">
        <v>2200</v>
      </c>
      <c r="O116" s="178">
        <v>2156.2324864205407</v>
      </c>
      <c r="AH116" s="175"/>
      <c r="AI116" s="175"/>
    </row>
    <row r="117" spans="1:35" s="178" customFormat="1" x14ac:dyDescent="0.25">
      <c r="A117" s="176">
        <v>6</v>
      </c>
      <c r="B117" s="176"/>
      <c r="C117" s="176">
        <f t="shared" si="6"/>
        <v>23</v>
      </c>
      <c r="D117" s="176">
        <f t="shared" si="7"/>
        <v>23</v>
      </c>
      <c r="E117" s="176">
        <f t="shared" si="8"/>
        <v>14</v>
      </c>
      <c r="F117" s="176" t="str">
        <f t="shared" si="9"/>
        <v>pm</v>
      </c>
      <c r="G117" s="176" t="s">
        <v>246</v>
      </c>
      <c r="H117" s="176" t="s">
        <v>408</v>
      </c>
      <c r="I117" s="176" t="s">
        <v>245</v>
      </c>
      <c r="J117" s="177" t="s">
        <v>21</v>
      </c>
      <c r="K117" s="178">
        <f t="shared" si="10"/>
        <v>2125.9014593645511</v>
      </c>
      <c r="L117" s="176"/>
      <c r="M117" s="178">
        <v>2000</v>
      </c>
      <c r="P117" s="178">
        <v>2046.5213833507919</v>
      </c>
      <c r="R117" s="178">
        <v>2056.3147376237139</v>
      </c>
      <c r="T117" s="178">
        <v>2125.9014593645511</v>
      </c>
      <c r="AH117" s="175"/>
      <c r="AI117" s="175"/>
    </row>
    <row r="118" spans="1:35" s="178" customFormat="1" x14ac:dyDescent="0.25">
      <c r="A118" s="176">
        <v>2</v>
      </c>
      <c r="B118" s="176"/>
      <c r="C118" s="176">
        <f t="shared" si="6"/>
        <v>24</v>
      </c>
      <c r="D118" s="176">
        <f t="shared" si="7"/>
        <v>24</v>
      </c>
      <c r="E118" s="176">
        <f t="shared" si="8"/>
        <v>14</v>
      </c>
      <c r="F118" s="176" t="str">
        <f t="shared" si="9"/>
        <v>pm</v>
      </c>
      <c r="G118" s="176" t="s">
        <v>538</v>
      </c>
      <c r="H118" s="176" t="s">
        <v>461</v>
      </c>
      <c r="I118" s="176" t="s">
        <v>539</v>
      </c>
      <c r="J118" s="177" t="s">
        <v>22</v>
      </c>
      <c r="K118" s="178">
        <f t="shared" si="10"/>
        <v>2120.4974639095253</v>
      </c>
      <c r="L118" s="176"/>
      <c r="M118" s="178">
        <v>2200</v>
      </c>
      <c r="O118" s="178">
        <v>2120.4974639095253</v>
      </c>
      <c r="AH118" s="175"/>
      <c r="AI118" s="175"/>
    </row>
    <row r="119" spans="1:35" s="178" customFormat="1" x14ac:dyDescent="0.25">
      <c r="A119" s="176">
        <v>2</v>
      </c>
      <c r="B119" s="176"/>
      <c r="C119" s="176">
        <f t="shared" si="6"/>
        <v>25</v>
      </c>
      <c r="D119" s="176">
        <f t="shared" si="7"/>
        <v>25</v>
      </c>
      <c r="E119" s="176">
        <f t="shared" si="8"/>
        <v>14</v>
      </c>
      <c r="F119" s="176" t="str">
        <f t="shared" si="9"/>
        <v>pm</v>
      </c>
      <c r="G119" s="176" t="s">
        <v>599</v>
      </c>
      <c r="H119" s="176" t="s">
        <v>454</v>
      </c>
      <c r="I119" s="176" t="s">
        <v>600</v>
      </c>
      <c r="J119" s="177" t="s">
        <v>22</v>
      </c>
      <c r="K119" s="178">
        <f t="shared" si="10"/>
        <v>2113.396842419188</v>
      </c>
      <c r="L119" s="176"/>
      <c r="M119" s="178">
        <v>2100</v>
      </c>
      <c r="O119" s="178">
        <v>2113.396842419188</v>
      </c>
      <c r="AH119" s="175"/>
      <c r="AI119" s="175"/>
    </row>
    <row r="120" spans="1:35" s="178" customFormat="1" x14ac:dyDescent="0.25">
      <c r="A120" s="176">
        <v>4</v>
      </c>
      <c r="B120" s="176"/>
      <c r="C120" s="176">
        <f t="shared" si="6"/>
        <v>26</v>
      </c>
      <c r="D120" s="176">
        <f t="shared" si="7"/>
        <v>26</v>
      </c>
      <c r="E120" s="176">
        <f t="shared" si="8"/>
        <v>14</v>
      </c>
      <c r="F120" s="176" t="str">
        <f t="shared" si="9"/>
        <v>pm</v>
      </c>
      <c r="G120" s="176" t="s">
        <v>594</v>
      </c>
      <c r="H120" s="176" t="s">
        <v>390</v>
      </c>
      <c r="I120" s="176" t="s">
        <v>595</v>
      </c>
      <c r="J120" s="177" t="s">
        <v>22</v>
      </c>
      <c r="K120" s="178">
        <f t="shared" si="10"/>
        <v>2111.5716033290137</v>
      </c>
      <c r="L120" s="176"/>
      <c r="M120" s="178">
        <v>2150</v>
      </c>
      <c r="S120" s="178">
        <v>2111.5716033290137</v>
      </c>
      <c r="AH120" s="175"/>
      <c r="AI120" s="175"/>
    </row>
    <row r="121" spans="1:35" s="178" customFormat="1" x14ac:dyDescent="0.25">
      <c r="A121" s="176">
        <v>2</v>
      </c>
      <c r="B121" s="176"/>
      <c r="C121" s="176">
        <f t="shared" si="6"/>
        <v>27</v>
      </c>
      <c r="D121" s="176">
        <f t="shared" si="7"/>
        <v>27</v>
      </c>
      <c r="E121" s="176">
        <f t="shared" si="8"/>
        <v>14</v>
      </c>
      <c r="F121" s="176" t="str">
        <f t="shared" si="9"/>
        <v>pm</v>
      </c>
      <c r="G121" s="176" t="s">
        <v>552</v>
      </c>
      <c r="H121" s="176" t="s">
        <v>410</v>
      </c>
      <c r="I121" s="176" t="s">
        <v>553</v>
      </c>
      <c r="J121" s="177" t="s">
        <v>22</v>
      </c>
      <c r="K121" s="178">
        <f t="shared" si="10"/>
        <v>2104.8159469865618</v>
      </c>
      <c r="L121" s="176"/>
      <c r="M121" s="178">
        <v>2200</v>
      </c>
      <c r="O121" s="178">
        <v>2104.8159469865618</v>
      </c>
      <c r="AH121" s="175"/>
      <c r="AI121" s="175"/>
    </row>
    <row r="122" spans="1:35" s="178" customFormat="1" x14ac:dyDescent="0.25">
      <c r="A122" s="176">
        <v>5</v>
      </c>
      <c r="B122" s="176"/>
      <c r="C122" s="176">
        <f t="shared" si="6"/>
        <v>28</v>
      </c>
      <c r="D122" s="176">
        <f t="shared" si="7"/>
        <v>27</v>
      </c>
      <c r="E122" s="176">
        <f t="shared" si="8"/>
        <v>14</v>
      </c>
      <c r="F122" s="176" t="str">
        <f t="shared" si="9"/>
        <v>pm</v>
      </c>
      <c r="G122" s="176" t="s">
        <v>585</v>
      </c>
      <c r="H122" s="176" t="s">
        <v>392</v>
      </c>
      <c r="I122" s="176" t="s">
        <v>586</v>
      </c>
      <c r="J122" s="177" t="s">
        <v>22</v>
      </c>
      <c r="K122" s="178">
        <f t="shared" si="10"/>
        <v>2101.7123322867064</v>
      </c>
      <c r="L122" s="176"/>
      <c r="M122" s="178">
        <v>2200</v>
      </c>
      <c r="S122" s="178">
        <v>2101.7123322867064</v>
      </c>
      <c r="AH122" s="175"/>
      <c r="AI122" s="175"/>
    </row>
    <row r="123" spans="1:35" s="178" customFormat="1" x14ac:dyDescent="0.25">
      <c r="A123" s="176">
        <v>4</v>
      </c>
      <c r="B123" s="176"/>
      <c r="C123" s="176">
        <f t="shared" si="6"/>
        <v>29</v>
      </c>
      <c r="D123" s="176">
        <f t="shared" si="7"/>
        <v>29</v>
      </c>
      <c r="E123" s="176">
        <f t="shared" si="8"/>
        <v>14</v>
      </c>
      <c r="F123" s="176" t="str">
        <f t="shared" si="9"/>
        <v>pm</v>
      </c>
      <c r="G123" s="176" t="s">
        <v>596</v>
      </c>
      <c r="H123" s="176" t="s">
        <v>597</v>
      </c>
      <c r="I123" s="176" t="s">
        <v>598</v>
      </c>
      <c r="J123" s="177" t="s">
        <v>22</v>
      </c>
      <c r="K123" s="178">
        <f t="shared" si="10"/>
        <v>2100</v>
      </c>
      <c r="L123" s="176"/>
      <c r="M123" s="178">
        <v>2100</v>
      </c>
      <c r="AH123" s="175"/>
      <c r="AI123" s="175"/>
    </row>
    <row r="124" spans="1:35" s="178" customFormat="1" x14ac:dyDescent="0.25">
      <c r="A124" s="176">
        <v>3</v>
      </c>
      <c r="B124" s="176"/>
      <c r="C124" s="176">
        <f t="shared" si="6"/>
        <v>30</v>
      </c>
      <c r="D124" s="176">
        <f t="shared" si="7"/>
        <v>30</v>
      </c>
      <c r="E124" s="176">
        <f t="shared" si="8"/>
        <v>14</v>
      </c>
      <c r="F124" s="176" t="str">
        <f t="shared" si="9"/>
        <v>pm</v>
      </c>
      <c r="G124" s="176" t="s">
        <v>536</v>
      </c>
      <c r="H124" s="176" t="s">
        <v>362</v>
      </c>
      <c r="I124" s="176" t="s">
        <v>537</v>
      </c>
      <c r="J124" s="177" t="s">
        <v>22</v>
      </c>
      <c r="K124" s="178">
        <f t="shared" si="10"/>
        <v>2092.2750042388857</v>
      </c>
      <c r="L124" s="176"/>
      <c r="M124" s="178">
        <v>2200</v>
      </c>
      <c r="S124" s="178">
        <v>2092.2750042388857</v>
      </c>
      <c r="AH124" s="175"/>
      <c r="AI124" s="175"/>
    </row>
    <row r="125" spans="1:35" s="178" customFormat="1" x14ac:dyDescent="0.25">
      <c r="A125" s="176">
        <v>6</v>
      </c>
      <c r="B125" s="176"/>
      <c r="C125" s="176">
        <f t="shared" si="6"/>
        <v>31</v>
      </c>
      <c r="D125" s="176">
        <f t="shared" si="7"/>
        <v>30</v>
      </c>
      <c r="E125" s="176">
        <f t="shared" si="8"/>
        <v>14</v>
      </c>
      <c r="F125" s="176" t="str">
        <f t="shared" si="9"/>
        <v>pm</v>
      </c>
      <c r="G125" s="176" t="s">
        <v>558</v>
      </c>
      <c r="H125" s="176" t="s">
        <v>412</v>
      </c>
      <c r="I125" s="176" t="s">
        <v>559</v>
      </c>
      <c r="J125" s="177" t="s">
        <v>22</v>
      </c>
      <c r="K125" s="178">
        <f t="shared" si="10"/>
        <v>2076.1154229393692</v>
      </c>
      <c r="L125" s="176"/>
      <c r="M125" s="178">
        <v>2200</v>
      </c>
      <c r="Q125" s="178">
        <v>2163.7344821514484</v>
      </c>
      <c r="S125" s="178">
        <v>2076.1154229393692</v>
      </c>
      <c r="AH125" s="175"/>
      <c r="AI125" s="175"/>
    </row>
    <row r="126" spans="1:35" s="178" customFormat="1" x14ac:dyDescent="0.25">
      <c r="A126" s="176">
        <v>5</v>
      </c>
      <c r="B126" s="176"/>
      <c r="C126" s="176">
        <f t="shared" si="6"/>
        <v>32</v>
      </c>
      <c r="D126" s="176">
        <f t="shared" si="7"/>
        <v>32</v>
      </c>
      <c r="E126" s="176">
        <f t="shared" si="8"/>
        <v>14</v>
      </c>
      <c r="F126" s="176" t="str">
        <f t="shared" si="9"/>
        <v>pm</v>
      </c>
      <c r="G126" s="176" t="s">
        <v>603</v>
      </c>
      <c r="H126" s="176" t="s">
        <v>384</v>
      </c>
      <c r="I126" s="176" t="s">
        <v>604</v>
      </c>
      <c r="J126" s="177" t="s">
        <v>22</v>
      </c>
      <c r="K126" s="178">
        <f t="shared" si="10"/>
        <v>2065.5934655640858</v>
      </c>
      <c r="L126" s="176"/>
      <c r="M126" s="178">
        <v>2040</v>
      </c>
      <c r="O126" s="178">
        <v>2039.2796529523846</v>
      </c>
      <c r="S126" s="178">
        <v>2065.5934655640858</v>
      </c>
      <c r="AH126" s="175"/>
      <c r="AI126" s="175"/>
    </row>
    <row r="127" spans="1:35" s="178" customFormat="1" x14ac:dyDescent="0.25">
      <c r="A127" s="176">
        <v>6</v>
      </c>
      <c r="B127" s="176"/>
      <c r="C127" s="176">
        <f t="shared" si="6"/>
        <v>33</v>
      </c>
      <c r="D127" s="176">
        <f t="shared" si="7"/>
        <v>33</v>
      </c>
      <c r="E127" s="176">
        <f t="shared" si="8"/>
        <v>14</v>
      </c>
      <c r="F127" s="176" t="str">
        <f t="shared" si="9"/>
        <v>pm</v>
      </c>
      <c r="G127" s="176" t="s">
        <v>248</v>
      </c>
      <c r="H127" s="176" t="s">
        <v>368</v>
      </c>
      <c r="I127" s="176" t="s">
        <v>247</v>
      </c>
      <c r="J127" s="177" t="s">
        <v>21</v>
      </c>
      <c r="K127" s="178">
        <f t="shared" si="10"/>
        <v>2033.1069131537579</v>
      </c>
      <c r="L127" s="176"/>
      <c r="M127" s="178">
        <v>1800</v>
      </c>
      <c r="P127" s="178">
        <v>1884.515075674077</v>
      </c>
      <c r="R127" s="178">
        <v>1952.1722411424284</v>
      </c>
      <c r="T127" s="178">
        <v>2033.1069131537579</v>
      </c>
      <c r="AH127" s="175"/>
      <c r="AI127" s="175"/>
    </row>
    <row r="128" spans="1:35" s="178" customFormat="1" x14ac:dyDescent="0.25">
      <c r="A128" s="176">
        <v>6</v>
      </c>
      <c r="B128" s="176"/>
      <c r="C128" s="176">
        <f t="shared" si="6"/>
        <v>34</v>
      </c>
      <c r="D128" s="176">
        <f t="shared" si="7"/>
        <v>34</v>
      </c>
      <c r="E128" s="176">
        <f t="shared" si="8"/>
        <v>14</v>
      </c>
      <c r="F128" s="176" t="str">
        <f t="shared" si="9"/>
        <v>pm</v>
      </c>
      <c r="G128" s="176" t="s">
        <v>560</v>
      </c>
      <c r="H128" s="176" t="s">
        <v>412</v>
      </c>
      <c r="I128" s="176" t="s">
        <v>561</v>
      </c>
      <c r="J128" s="177" t="s">
        <v>22</v>
      </c>
      <c r="K128" s="178">
        <f t="shared" si="10"/>
        <v>1955.6661733617088</v>
      </c>
      <c r="L128" s="176"/>
      <c r="M128" s="178">
        <v>2200</v>
      </c>
      <c r="Q128" s="178">
        <v>2088.3530041259473</v>
      </c>
      <c r="S128" s="178">
        <v>1955.6661733617088</v>
      </c>
      <c r="AH128" s="175"/>
      <c r="AI128" s="175"/>
    </row>
    <row r="129" spans="1:35" s="178" customFormat="1" x14ac:dyDescent="0.25">
      <c r="A129" s="176">
        <v>5</v>
      </c>
      <c r="B129" s="176"/>
      <c r="C129" s="176">
        <f t="shared" si="6"/>
        <v>35</v>
      </c>
      <c r="D129" s="176">
        <f t="shared" si="7"/>
        <v>35</v>
      </c>
      <c r="E129" s="176">
        <f t="shared" si="8"/>
        <v>14</v>
      </c>
      <c r="F129" s="176" t="str">
        <f t="shared" si="9"/>
        <v>pm</v>
      </c>
      <c r="G129" s="176" t="s">
        <v>260</v>
      </c>
      <c r="H129" s="176" t="s">
        <v>421</v>
      </c>
      <c r="I129" s="176" t="s">
        <v>259</v>
      </c>
      <c r="J129" s="177" t="s">
        <v>21</v>
      </c>
      <c r="K129" s="178">
        <f t="shared" si="10"/>
        <v>1947.5770451023341</v>
      </c>
      <c r="L129" s="176"/>
      <c r="M129" s="178">
        <v>1800</v>
      </c>
      <c r="R129" s="178">
        <v>1876.31367263991</v>
      </c>
      <c r="T129" s="178">
        <v>1947.5770451023341</v>
      </c>
      <c r="AH129" s="175"/>
      <c r="AI129" s="175"/>
    </row>
    <row r="130" spans="1:35" s="178" customFormat="1" x14ac:dyDescent="0.25">
      <c r="A130" s="176">
        <v>3</v>
      </c>
      <c r="B130" s="176"/>
      <c r="C130" s="176">
        <f t="shared" ref="C130:C193" si="11">IF(E130=E129,C129+1,1)</f>
        <v>36</v>
      </c>
      <c r="D130" s="176">
        <f t="shared" ref="D130:D193" si="12">IF(M130=M129,D129,C130)</f>
        <v>36</v>
      </c>
      <c r="E130" s="176">
        <f t="shared" ref="E130:E193" si="13">10+VALUE(RIGHT(LEFT(G130,3),1))</f>
        <v>14</v>
      </c>
      <c r="F130" s="176" t="str">
        <f t="shared" ref="F130:F193" si="14">RIGHT(G130,2) &amp; IF(A130&lt;2,"x","")</f>
        <v>pm</v>
      </c>
      <c r="G130" s="176" t="s">
        <v>250</v>
      </c>
      <c r="H130" s="176" t="s">
        <v>614</v>
      </c>
      <c r="I130" s="176" t="s">
        <v>249</v>
      </c>
      <c r="J130" s="177" t="s">
        <v>21</v>
      </c>
      <c r="K130" s="178">
        <f t="shared" ref="K130:K193" si="15">LOOKUP(1E+100,M130:AC130)</f>
        <v>1929.3910828969913</v>
      </c>
      <c r="L130" s="176"/>
      <c r="M130" s="178">
        <v>1933.3333333333333</v>
      </c>
      <c r="P130" s="178">
        <v>1921.8901473006756</v>
      </c>
      <c r="T130" s="178">
        <v>1929.3910828969913</v>
      </c>
      <c r="AH130" s="175"/>
      <c r="AI130" s="175"/>
    </row>
    <row r="131" spans="1:35" s="178" customFormat="1" x14ac:dyDescent="0.25">
      <c r="A131" s="176">
        <v>5</v>
      </c>
      <c r="B131" s="176"/>
      <c r="C131" s="176">
        <f t="shared" si="11"/>
        <v>37</v>
      </c>
      <c r="D131" s="176">
        <f t="shared" si="12"/>
        <v>37</v>
      </c>
      <c r="E131" s="176">
        <f t="shared" si="13"/>
        <v>14</v>
      </c>
      <c r="F131" s="176" t="str">
        <f t="shared" si="14"/>
        <v>pm</v>
      </c>
      <c r="G131" s="176" t="s">
        <v>258</v>
      </c>
      <c r="H131" s="176" t="s">
        <v>515</v>
      </c>
      <c r="I131" s="176" t="s">
        <v>257</v>
      </c>
      <c r="J131" s="177" t="s">
        <v>21</v>
      </c>
      <c r="K131" s="178">
        <f t="shared" si="15"/>
        <v>1928.6532904156654</v>
      </c>
      <c r="L131" s="176"/>
      <c r="M131" s="178">
        <v>1880</v>
      </c>
      <c r="S131" s="178">
        <v>1918.746719402327</v>
      </c>
      <c r="T131" s="178">
        <v>1928.6532904156654</v>
      </c>
      <c r="AH131" s="175"/>
      <c r="AI131" s="175"/>
    </row>
    <row r="132" spans="1:35" s="178" customFormat="1" x14ac:dyDescent="0.25">
      <c r="A132" s="176">
        <v>3</v>
      </c>
      <c r="B132" s="176"/>
      <c r="C132" s="176">
        <f t="shared" si="11"/>
        <v>38</v>
      </c>
      <c r="D132" s="176">
        <f t="shared" si="12"/>
        <v>38</v>
      </c>
      <c r="E132" s="176">
        <f t="shared" si="13"/>
        <v>14</v>
      </c>
      <c r="F132" s="176" t="str">
        <f t="shared" si="14"/>
        <v>pm</v>
      </c>
      <c r="G132" s="176" t="s">
        <v>611</v>
      </c>
      <c r="H132" s="176" t="s">
        <v>612</v>
      </c>
      <c r="I132" s="176" t="s">
        <v>613</v>
      </c>
      <c r="J132" s="177" t="s">
        <v>21</v>
      </c>
      <c r="K132" s="178">
        <f t="shared" si="15"/>
        <v>1916.9532749111102</v>
      </c>
      <c r="L132" s="176"/>
      <c r="M132" s="178">
        <v>1933.3333333333333</v>
      </c>
      <c r="O132" s="175"/>
      <c r="P132" s="175"/>
      <c r="Q132" s="175">
        <v>1916.9532749111102</v>
      </c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</row>
    <row r="133" spans="1:35" s="178" customFormat="1" x14ac:dyDescent="0.25">
      <c r="A133" s="176">
        <v>5</v>
      </c>
      <c r="B133" s="176"/>
      <c r="C133" s="176">
        <f t="shared" si="11"/>
        <v>39</v>
      </c>
      <c r="D133" s="176">
        <f t="shared" si="12"/>
        <v>39</v>
      </c>
      <c r="E133" s="176">
        <f t="shared" si="13"/>
        <v>14</v>
      </c>
      <c r="F133" s="176" t="str">
        <f t="shared" si="14"/>
        <v>pm</v>
      </c>
      <c r="G133" s="176" t="s">
        <v>605</v>
      </c>
      <c r="H133" s="176" t="s">
        <v>384</v>
      </c>
      <c r="I133" s="176" t="s">
        <v>606</v>
      </c>
      <c r="J133" s="177" t="s">
        <v>22</v>
      </c>
      <c r="K133" s="178">
        <f t="shared" si="15"/>
        <v>1894.2272816119016</v>
      </c>
      <c r="L133" s="176"/>
      <c r="M133" s="178">
        <v>2040</v>
      </c>
      <c r="O133" s="178">
        <v>1896.3415220391612</v>
      </c>
      <c r="S133" s="178">
        <v>1894.2272816119016</v>
      </c>
      <c r="AH133" s="175"/>
      <c r="AI133" s="175"/>
    </row>
    <row r="134" spans="1:35" s="178" customFormat="1" x14ac:dyDescent="0.25">
      <c r="A134" s="176">
        <v>3</v>
      </c>
      <c r="B134" s="176"/>
      <c r="C134" s="176">
        <f t="shared" si="11"/>
        <v>40</v>
      </c>
      <c r="D134" s="176">
        <f t="shared" si="12"/>
        <v>40</v>
      </c>
      <c r="E134" s="176">
        <f t="shared" si="13"/>
        <v>14</v>
      </c>
      <c r="F134" s="176" t="str">
        <f t="shared" si="14"/>
        <v>pm</v>
      </c>
      <c r="G134" s="176" t="s">
        <v>620</v>
      </c>
      <c r="H134" s="176" t="s">
        <v>355</v>
      </c>
      <c r="I134" s="176" t="s">
        <v>621</v>
      </c>
      <c r="J134" s="177" t="s">
        <v>21</v>
      </c>
      <c r="K134" s="178">
        <f t="shared" si="15"/>
        <v>1890.6902473066109</v>
      </c>
      <c r="L134" s="176"/>
      <c r="M134" s="178">
        <v>1800</v>
      </c>
      <c r="R134" s="178">
        <v>1890.6902473066109</v>
      </c>
      <c r="AH134" s="175"/>
      <c r="AI134" s="175"/>
    </row>
    <row r="135" spans="1:35" s="178" customFormat="1" x14ac:dyDescent="0.25">
      <c r="A135" s="176">
        <v>4</v>
      </c>
      <c r="B135" s="176"/>
      <c r="C135" s="176">
        <f t="shared" si="11"/>
        <v>41</v>
      </c>
      <c r="D135" s="176">
        <f t="shared" si="12"/>
        <v>41</v>
      </c>
      <c r="E135" s="176">
        <f t="shared" si="13"/>
        <v>14</v>
      </c>
      <c r="F135" s="176" t="str">
        <f t="shared" si="14"/>
        <v>pm</v>
      </c>
      <c r="G135" s="176" t="s">
        <v>609</v>
      </c>
      <c r="H135" s="176" t="s">
        <v>378</v>
      </c>
      <c r="I135" s="176" t="s">
        <v>610</v>
      </c>
      <c r="J135" s="177" t="s">
        <v>21</v>
      </c>
      <c r="K135" s="178">
        <f t="shared" si="15"/>
        <v>1890.3332168465452</v>
      </c>
      <c r="L135" s="176"/>
      <c r="M135" s="178">
        <v>2000</v>
      </c>
      <c r="O135" s="178">
        <v>1987.3948411288115</v>
      </c>
      <c r="R135" s="178">
        <v>1890.3332168465452</v>
      </c>
      <c r="AH135" s="175"/>
      <c r="AI135" s="175"/>
    </row>
    <row r="136" spans="1:35" s="178" customFormat="1" x14ac:dyDescent="0.25">
      <c r="A136" s="176">
        <v>2</v>
      </c>
      <c r="B136" s="176"/>
      <c r="C136" s="176">
        <f t="shared" si="11"/>
        <v>42</v>
      </c>
      <c r="D136" s="176">
        <f t="shared" si="12"/>
        <v>42</v>
      </c>
      <c r="E136" s="176">
        <f t="shared" si="13"/>
        <v>14</v>
      </c>
      <c r="F136" s="176" t="str">
        <f t="shared" si="14"/>
        <v>pm</v>
      </c>
      <c r="G136" s="176" t="s">
        <v>632</v>
      </c>
      <c r="H136" s="176" t="s">
        <v>387</v>
      </c>
      <c r="I136" s="176" t="s">
        <v>633</v>
      </c>
      <c r="J136" s="177" t="s">
        <v>21</v>
      </c>
      <c r="K136" s="178">
        <f t="shared" si="15"/>
        <v>1883.6554537840855</v>
      </c>
      <c r="L136" s="176"/>
      <c r="M136" s="178">
        <v>1800</v>
      </c>
      <c r="R136" s="178">
        <v>1883.6554537840855</v>
      </c>
      <c r="AH136" s="175"/>
      <c r="AI136" s="175"/>
    </row>
    <row r="137" spans="1:35" s="178" customFormat="1" x14ac:dyDescent="0.25">
      <c r="A137" s="176">
        <v>6</v>
      </c>
      <c r="B137" s="176"/>
      <c r="C137" s="176">
        <f t="shared" si="11"/>
        <v>43</v>
      </c>
      <c r="D137" s="176">
        <f t="shared" si="12"/>
        <v>43</v>
      </c>
      <c r="E137" s="176">
        <f t="shared" si="13"/>
        <v>14</v>
      </c>
      <c r="F137" s="176" t="str">
        <f t="shared" si="14"/>
        <v>pm</v>
      </c>
      <c r="G137" s="176" t="s">
        <v>607</v>
      </c>
      <c r="H137" s="176" t="s">
        <v>422</v>
      </c>
      <c r="I137" s="176" t="s">
        <v>608</v>
      </c>
      <c r="J137" s="177" t="s">
        <v>21</v>
      </c>
      <c r="K137" s="178">
        <f t="shared" si="15"/>
        <v>1878.2752759660921</v>
      </c>
      <c r="L137" s="176"/>
      <c r="M137" s="178">
        <v>2000</v>
      </c>
      <c r="P137" s="178">
        <v>1895.6498384460454</v>
      </c>
      <c r="S137" s="178">
        <v>1878.2752759660921</v>
      </c>
      <c r="AH137" s="175"/>
      <c r="AI137" s="175"/>
    </row>
    <row r="138" spans="1:35" s="178" customFormat="1" x14ac:dyDescent="0.25">
      <c r="A138" s="176">
        <v>5</v>
      </c>
      <c r="B138" s="176"/>
      <c r="C138" s="176">
        <f t="shared" si="11"/>
        <v>44</v>
      </c>
      <c r="D138" s="176">
        <f t="shared" si="12"/>
        <v>44</v>
      </c>
      <c r="E138" s="176">
        <f t="shared" si="13"/>
        <v>14</v>
      </c>
      <c r="F138" s="176" t="str">
        <f t="shared" si="14"/>
        <v>pm</v>
      </c>
      <c r="G138" s="176" t="s">
        <v>622</v>
      </c>
      <c r="H138" s="176" t="s">
        <v>400</v>
      </c>
      <c r="I138" s="176" t="s">
        <v>623</v>
      </c>
      <c r="J138" s="177" t="s">
        <v>21</v>
      </c>
      <c r="K138" s="178">
        <f t="shared" si="15"/>
        <v>1866.2716900036432</v>
      </c>
      <c r="L138" s="176"/>
      <c r="M138" s="178">
        <v>1800</v>
      </c>
      <c r="P138" s="178">
        <v>1853.5993664092457</v>
      </c>
      <c r="R138" s="178">
        <v>1866.2716900036432</v>
      </c>
      <c r="AH138" s="175"/>
      <c r="AI138" s="175"/>
    </row>
    <row r="139" spans="1:35" s="178" customFormat="1" x14ac:dyDescent="0.25">
      <c r="A139" s="176">
        <v>3</v>
      </c>
      <c r="B139" s="176"/>
      <c r="C139" s="176">
        <f t="shared" si="11"/>
        <v>45</v>
      </c>
      <c r="D139" s="176">
        <f t="shared" si="12"/>
        <v>44</v>
      </c>
      <c r="E139" s="176">
        <f t="shared" si="13"/>
        <v>14</v>
      </c>
      <c r="F139" s="176" t="str">
        <f t="shared" si="14"/>
        <v>pm</v>
      </c>
      <c r="G139" s="176" t="s">
        <v>616</v>
      </c>
      <c r="H139" s="176" t="s">
        <v>355</v>
      </c>
      <c r="I139" s="176" t="s">
        <v>617</v>
      </c>
      <c r="J139" s="177" t="s">
        <v>21</v>
      </c>
      <c r="K139" s="178">
        <f t="shared" si="15"/>
        <v>1862.9777228164949</v>
      </c>
      <c r="L139" s="176"/>
      <c r="M139" s="178">
        <v>1800</v>
      </c>
      <c r="P139" s="178">
        <v>1841.8890710091171</v>
      </c>
      <c r="R139" s="178">
        <v>1862.9777228164949</v>
      </c>
      <c r="AH139" s="175"/>
      <c r="AI139" s="175"/>
    </row>
    <row r="140" spans="1:35" s="178" customFormat="1" x14ac:dyDescent="0.25">
      <c r="A140" s="176">
        <v>7</v>
      </c>
      <c r="B140" s="176"/>
      <c r="C140" s="176">
        <f t="shared" si="11"/>
        <v>46</v>
      </c>
      <c r="D140" s="176">
        <f t="shared" si="12"/>
        <v>44</v>
      </c>
      <c r="E140" s="176">
        <f t="shared" si="13"/>
        <v>14</v>
      </c>
      <c r="F140" s="176" t="str">
        <f t="shared" si="14"/>
        <v>pm</v>
      </c>
      <c r="G140" s="176" t="s">
        <v>254</v>
      </c>
      <c r="H140" s="176" t="s">
        <v>401</v>
      </c>
      <c r="I140" s="176" t="s">
        <v>253</v>
      </c>
      <c r="J140" s="177" t="s">
        <v>21</v>
      </c>
      <c r="K140" s="178">
        <f t="shared" si="15"/>
        <v>1852.5892192097544</v>
      </c>
      <c r="L140" s="176"/>
      <c r="M140" s="178">
        <v>1800</v>
      </c>
      <c r="P140" s="178">
        <v>1835.2847547112133</v>
      </c>
      <c r="R140" s="178">
        <v>1889.110814092702</v>
      </c>
      <c r="T140" s="178">
        <v>1852.5892192097544</v>
      </c>
      <c r="AH140" s="175"/>
      <c r="AI140" s="175"/>
    </row>
    <row r="141" spans="1:35" s="178" customFormat="1" x14ac:dyDescent="0.25">
      <c r="A141" s="176">
        <v>4</v>
      </c>
      <c r="B141" s="176"/>
      <c r="C141" s="176">
        <f t="shared" si="11"/>
        <v>47</v>
      </c>
      <c r="D141" s="176">
        <f t="shared" si="12"/>
        <v>44</v>
      </c>
      <c r="E141" s="176">
        <f t="shared" si="13"/>
        <v>14</v>
      </c>
      <c r="F141" s="176" t="str">
        <f t="shared" si="14"/>
        <v>pm</v>
      </c>
      <c r="G141" s="176" t="s">
        <v>624</v>
      </c>
      <c r="H141" s="176" t="s">
        <v>406</v>
      </c>
      <c r="I141" s="176" t="s">
        <v>625</v>
      </c>
      <c r="J141" s="177" t="s">
        <v>21</v>
      </c>
      <c r="K141" s="178">
        <f t="shared" si="15"/>
        <v>1851.9753031841728</v>
      </c>
      <c r="L141" s="176"/>
      <c r="M141" s="178">
        <v>1800</v>
      </c>
      <c r="P141" s="178">
        <v>1819.9309139814898</v>
      </c>
      <c r="R141" s="178">
        <v>1851.9753031841728</v>
      </c>
      <c r="AH141" s="175"/>
      <c r="AI141" s="175"/>
    </row>
    <row r="142" spans="1:35" s="178" customFormat="1" x14ac:dyDescent="0.25">
      <c r="A142" s="176">
        <v>5</v>
      </c>
      <c r="B142" s="176"/>
      <c r="C142" s="176">
        <f t="shared" si="11"/>
        <v>48</v>
      </c>
      <c r="D142" s="176">
        <f t="shared" si="12"/>
        <v>44</v>
      </c>
      <c r="E142" s="176">
        <f t="shared" si="13"/>
        <v>14</v>
      </c>
      <c r="F142" s="176" t="str">
        <f t="shared" si="14"/>
        <v>pm</v>
      </c>
      <c r="G142" s="176" t="s">
        <v>268</v>
      </c>
      <c r="H142" s="176" t="s">
        <v>421</v>
      </c>
      <c r="I142" s="176" t="s">
        <v>267</v>
      </c>
      <c r="J142" s="177" t="s">
        <v>21</v>
      </c>
      <c r="K142" s="178">
        <f t="shared" si="15"/>
        <v>1842.3261282509975</v>
      </c>
      <c r="L142" s="176"/>
      <c r="M142" s="178">
        <v>1800</v>
      </c>
      <c r="O142" s="175"/>
      <c r="P142" s="175"/>
      <c r="Q142" s="175"/>
      <c r="R142" s="175">
        <v>1809.8475028761886</v>
      </c>
      <c r="S142" s="175"/>
      <c r="T142" s="175">
        <v>1842.3261282509975</v>
      </c>
      <c r="U142" s="175"/>
      <c r="V142" s="175"/>
      <c r="W142" s="175"/>
      <c r="X142" s="175"/>
      <c r="Y142" s="175"/>
      <c r="Z142" s="175"/>
      <c r="AA142" s="175"/>
      <c r="AB142" s="175"/>
      <c r="AC142" s="175"/>
      <c r="AH142" s="175"/>
      <c r="AI142" s="175"/>
    </row>
    <row r="143" spans="1:35" s="178" customFormat="1" x14ac:dyDescent="0.25">
      <c r="A143" s="176">
        <v>3</v>
      </c>
      <c r="B143" s="176"/>
      <c r="C143" s="176">
        <f t="shared" si="11"/>
        <v>49</v>
      </c>
      <c r="D143" s="176">
        <f t="shared" si="12"/>
        <v>44</v>
      </c>
      <c r="E143" s="176">
        <f t="shared" si="13"/>
        <v>14</v>
      </c>
      <c r="F143" s="176" t="str">
        <f t="shared" si="14"/>
        <v>pm</v>
      </c>
      <c r="G143" s="176" t="s">
        <v>630</v>
      </c>
      <c r="H143" s="176" t="s">
        <v>387</v>
      </c>
      <c r="I143" s="176" t="s">
        <v>631</v>
      </c>
      <c r="J143" s="177" t="s">
        <v>21</v>
      </c>
      <c r="K143" s="178">
        <f t="shared" si="15"/>
        <v>1828.715389683282</v>
      </c>
      <c r="L143" s="176"/>
      <c r="M143" s="178">
        <v>1800</v>
      </c>
      <c r="R143" s="178">
        <v>1828.715389683282</v>
      </c>
      <c r="AH143" s="175"/>
      <c r="AI143" s="175"/>
    </row>
    <row r="144" spans="1:35" s="178" customFormat="1" x14ac:dyDescent="0.25">
      <c r="A144" s="176">
        <v>3</v>
      </c>
      <c r="B144" s="176"/>
      <c r="C144" s="176">
        <f t="shared" si="11"/>
        <v>50</v>
      </c>
      <c r="D144" s="176">
        <f t="shared" si="12"/>
        <v>50</v>
      </c>
      <c r="E144" s="176">
        <f t="shared" si="13"/>
        <v>14</v>
      </c>
      <c r="F144" s="176" t="str">
        <f t="shared" si="14"/>
        <v>pm</v>
      </c>
      <c r="G144" s="176" t="s">
        <v>252</v>
      </c>
      <c r="H144" s="176" t="s">
        <v>461</v>
      </c>
      <c r="I144" s="176" t="s">
        <v>251</v>
      </c>
      <c r="J144" s="177" t="s">
        <v>21</v>
      </c>
      <c r="K144" s="178">
        <f t="shared" si="15"/>
        <v>1819.6878315091337</v>
      </c>
      <c r="L144" s="176"/>
      <c r="M144" s="178">
        <v>1933.3333333333333</v>
      </c>
      <c r="O144" s="178">
        <v>1895.4654161275282</v>
      </c>
      <c r="T144" s="178">
        <v>1819.6878315091337</v>
      </c>
      <c r="AH144" s="175"/>
      <c r="AI144" s="175"/>
    </row>
    <row r="145" spans="1:35" s="178" customFormat="1" x14ac:dyDescent="0.25">
      <c r="A145" s="176">
        <v>6</v>
      </c>
      <c r="B145" s="176"/>
      <c r="C145" s="176">
        <f t="shared" si="11"/>
        <v>51</v>
      </c>
      <c r="D145" s="176">
        <f t="shared" si="12"/>
        <v>51</v>
      </c>
      <c r="E145" s="176">
        <f t="shared" si="13"/>
        <v>14</v>
      </c>
      <c r="F145" s="176" t="str">
        <f t="shared" si="14"/>
        <v>pm</v>
      </c>
      <c r="G145" s="176" t="s">
        <v>264</v>
      </c>
      <c r="H145" s="176" t="s">
        <v>392</v>
      </c>
      <c r="I145" s="176" t="s">
        <v>263</v>
      </c>
      <c r="J145" s="177" t="s">
        <v>21</v>
      </c>
      <c r="K145" s="178">
        <f t="shared" si="15"/>
        <v>1811.9546724182255</v>
      </c>
      <c r="L145" s="176"/>
      <c r="M145" s="178">
        <v>1800</v>
      </c>
      <c r="R145" s="178">
        <v>1805.8700188425732</v>
      </c>
      <c r="T145" s="178">
        <v>1811.9546724182255</v>
      </c>
      <c r="AH145" s="175"/>
      <c r="AI145" s="175"/>
    </row>
    <row r="146" spans="1:35" s="178" customFormat="1" x14ac:dyDescent="0.25">
      <c r="A146" s="176">
        <v>2</v>
      </c>
      <c r="B146" s="176"/>
      <c r="C146" s="176">
        <f t="shared" si="11"/>
        <v>52</v>
      </c>
      <c r="D146" s="176">
        <f t="shared" si="12"/>
        <v>51</v>
      </c>
      <c r="E146" s="176">
        <f t="shared" si="13"/>
        <v>14</v>
      </c>
      <c r="F146" s="176" t="str">
        <f t="shared" si="14"/>
        <v>pm</v>
      </c>
      <c r="G146" s="176" t="s">
        <v>626</v>
      </c>
      <c r="H146" s="176" t="s">
        <v>449</v>
      </c>
      <c r="I146" s="176" t="s">
        <v>627</v>
      </c>
      <c r="J146" s="177" t="s">
        <v>21</v>
      </c>
      <c r="K146" s="178">
        <f t="shared" si="15"/>
        <v>1800</v>
      </c>
      <c r="L146" s="176"/>
      <c r="M146" s="178">
        <v>1800</v>
      </c>
      <c r="AH146" s="175"/>
      <c r="AI146" s="175"/>
    </row>
    <row r="147" spans="1:35" s="178" customFormat="1" x14ac:dyDescent="0.25">
      <c r="A147" s="176">
        <v>5</v>
      </c>
      <c r="B147" s="176"/>
      <c r="C147" s="176">
        <f t="shared" si="11"/>
        <v>53</v>
      </c>
      <c r="D147" s="176">
        <f t="shared" si="12"/>
        <v>51</v>
      </c>
      <c r="E147" s="176">
        <f t="shared" si="13"/>
        <v>14</v>
      </c>
      <c r="F147" s="176" t="str">
        <f t="shared" si="14"/>
        <v>pm</v>
      </c>
      <c r="G147" s="176" t="s">
        <v>634</v>
      </c>
      <c r="H147" s="176" t="s">
        <v>522</v>
      </c>
      <c r="I147" s="176" t="s">
        <v>635</v>
      </c>
      <c r="J147" s="177" t="s">
        <v>21</v>
      </c>
      <c r="K147" s="178">
        <f t="shared" si="15"/>
        <v>1792.2971263265672</v>
      </c>
      <c r="L147" s="176"/>
      <c r="M147" s="178">
        <v>1800</v>
      </c>
      <c r="P147" s="178">
        <v>1772.9124733588862</v>
      </c>
      <c r="R147" s="178">
        <v>1792.2971263265672</v>
      </c>
      <c r="AH147" s="175"/>
      <c r="AI147" s="175"/>
    </row>
    <row r="148" spans="1:35" s="178" customFormat="1" x14ac:dyDescent="0.25">
      <c r="A148" s="176">
        <v>6</v>
      </c>
      <c r="B148" s="176"/>
      <c r="C148" s="176">
        <f t="shared" si="11"/>
        <v>54</v>
      </c>
      <c r="D148" s="176">
        <f t="shared" si="12"/>
        <v>51</v>
      </c>
      <c r="E148" s="176">
        <f t="shared" si="13"/>
        <v>14</v>
      </c>
      <c r="F148" s="176" t="str">
        <f t="shared" si="14"/>
        <v>pm</v>
      </c>
      <c r="G148" s="176" t="s">
        <v>282</v>
      </c>
      <c r="H148" s="176" t="s">
        <v>402</v>
      </c>
      <c r="I148" s="176" t="s">
        <v>281</v>
      </c>
      <c r="J148" s="177" t="s">
        <v>21</v>
      </c>
      <c r="K148" s="178">
        <f t="shared" si="15"/>
        <v>1791.8211586686618</v>
      </c>
      <c r="L148" s="176"/>
      <c r="M148" s="178">
        <v>1800</v>
      </c>
      <c r="R148" s="178">
        <v>1729.7293688033053</v>
      </c>
      <c r="T148" s="178">
        <v>1791.8211586686618</v>
      </c>
      <c r="AH148" s="175"/>
      <c r="AI148" s="175"/>
    </row>
    <row r="149" spans="1:35" s="178" customFormat="1" x14ac:dyDescent="0.25">
      <c r="A149" s="176">
        <v>3</v>
      </c>
      <c r="B149" s="176"/>
      <c r="C149" s="176">
        <f t="shared" si="11"/>
        <v>55</v>
      </c>
      <c r="D149" s="176">
        <f t="shared" si="12"/>
        <v>51</v>
      </c>
      <c r="E149" s="176">
        <f t="shared" si="13"/>
        <v>14</v>
      </c>
      <c r="F149" s="176" t="str">
        <f t="shared" si="14"/>
        <v>pm</v>
      </c>
      <c r="G149" s="176" t="s">
        <v>618</v>
      </c>
      <c r="H149" s="176" t="s">
        <v>355</v>
      </c>
      <c r="I149" s="176" t="s">
        <v>619</v>
      </c>
      <c r="J149" s="177" t="s">
        <v>21</v>
      </c>
      <c r="K149" s="178">
        <f t="shared" si="15"/>
        <v>1787.9889007294696</v>
      </c>
      <c r="L149" s="176"/>
      <c r="M149" s="178">
        <v>1800</v>
      </c>
      <c r="P149" s="178">
        <v>1836.7243012650156</v>
      </c>
      <c r="R149" s="178">
        <v>1787.9889007294696</v>
      </c>
      <c r="AH149" s="175"/>
      <c r="AI149" s="175"/>
    </row>
    <row r="150" spans="1:35" s="178" customFormat="1" x14ac:dyDescent="0.25">
      <c r="A150" s="176">
        <v>4</v>
      </c>
      <c r="B150" s="176"/>
      <c r="C150" s="176">
        <f t="shared" si="11"/>
        <v>56</v>
      </c>
      <c r="D150" s="176">
        <f t="shared" si="12"/>
        <v>56</v>
      </c>
      <c r="E150" s="176">
        <f t="shared" si="13"/>
        <v>14</v>
      </c>
      <c r="F150" s="176" t="str">
        <f t="shared" si="14"/>
        <v>pm</v>
      </c>
      <c r="G150" s="176" t="s">
        <v>256</v>
      </c>
      <c r="H150" s="176" t="s">
        <v>393</v>
      </c>
      <c r="I150" s="176" t="s">
        <v>255</v>
      </c>
      <c r="J150" s="177" t="s">
        <v>21</v>
      </c>
      <c r="K150" s="178">
        <f t="shared" si="15"/>
        <v>1780.8711874278245</v>
      </c>
      <c r="L150" s="176"/>
      <c r="M150" s="178">
        <v>1900</v>
      </c>
      <c r="Q150" s="178">
        <v>1885.2929818149187</v>
      </c>
      <c r="T150" s="178">
        <v>1780.8711874278245</v>
      </c>
      <c r="AH150" s="175"/>
      <c r="AI150" s="175"/>
    </row>
    <row r="151" spans="1:35" s="178" customFormat="1" x14ac:dyDescent="0.25">
      <c r="A151" s="176">
        <v>6</v>
      </c>
      <c r="B151" s="176"/>
      <c r="C151" s="176">
        <f t="shared" si="11"/>
        <v>57</v>
      </c>
      <c r="D151" s="176">
        <f t="shared" si="12"/>
        <v>57</v>
      </c>
      <c r="E151" s="176">
        <f t="shared" si="13"/>
        <v>14</v>
      </c>
      <c r="F151" s="176" t="str">
        <f t="shared" si="14"/>
        <v>pm</v>
      </c>
      <c r="G151" s="176" t="s">
        <v>262</v>
      </c>
      <c r="H151" s="176" t="s">
        <v>615</v>
      </c>
      <c r="I151" s="176" t="s">
        <v>261</v>
      </c>
      <c r="J151" s="177" t="s">
        <v>21</v>
      </c>
      <c r="K151" s="178">
        <f t="shared" si="15"/>
        <v>1780.5921122747741</v>
      </c>
      <c r="L151" s="176"/>
      <c r="M151" s="178">
        <v>1800</v>
      </c>
      <c r="P151" s="178">
        <v>1729.4670159274219</v>
      </c>
      <c r="R151" s="178">
        <v>1809.1480647862352</v>
      </c>
      <c r="T151" s="178">
        <v>1780.5921122747741</v>
      </c>
      <c r="AH151" s="175"/>
      <c r="AI151" s="175"/>
    </row>
    <row r="152" spans="1:35" s="178" customFormat="1" x14ac:dyDescent="0.25">
      <c r="A152" s="176">
        <v>2</v>
      </c>
      <c r="B152" s="176"/>
      <c r="C152" s="176">
        <f t="shared" si="11"/>
        <v>58</v>
      </c>
      <c r="D152" s="176">
        <f t="shared" si="12"/>
        <v>57</v>
      </c>
      <c r="E152" s="176">
        <f t="shared" si="13"/>
        <v>14</v>
      </c>
      <c r="F152" s="176" t="str">
        <f t="shared" si="14"/>
        <v>pm</v>
      </c>
      <c r="G152" s="176" t="s">
        <v>628</v>
      </c>
      <c r="H152" s="176" t="s">
        <v>387</v>
      </c>
      <c r="I152" s="176" t="s">
        <v>629</v>
      </c>
      <c r="J152" s="177" t="s">
        <v>21</v>
      </c>
      <c r="K152" s="178">
        <f t="shared" si="15"/>
        <v>1772.6800095339315</v>
      </c>
      <c r="L152" s="176"/>
      <c r="M152" s="178">
        <v>1800</v>
      </c>
      <c r="R152" s="178">
        <v>1763.399773723718</v>
      </c>
      <c r="S152" s="178">
        <v>1772.6800095339315</v>
      </c>
      <c r="AH152" s="175"/>
      <c r="AI152" s="175"/>
    </row>
    <row r="153" spans="1:35" s="178" customFormat="1" x14ac:dyDescent="0.25">
      <c r="A153" s="176">
        <v>6</v>
      </c>
      <c r="B153" s="176"/>
      <c r="C153" s="176">
        <f t="shared" si="11"/>
        <v>59</v>
      </c>
      <c r="D153" s="176">
        <f t="shared" si="12"/>
        <v>57</v>
      </c>
      <c r="E153" s="176">
        <f t="shared" si="13"/>
        <v>14</v>
      </c>
      <c r="F153" s="176" t="str">
        <f t="shared" si="14"/>
        <v>pm</v>
      </c>
      <c r="G153" s="176" t="s">
        <v>278</v>
      </c>
      <c r="H153" s="176" t="s">
        <v>412</v>
      </c>
      <c r="I153" s="176" t="s">
        <v>277</v>
      </c>
      <c r="J153" s="177" t="s">
        <v>21</v>
      </c>
      <c r="K153" s="178">
        <f t="shared" si="15"/>
        <v>1746.2697448355425</v>
      </c>
      <c r="L153" s="176"/>
      <c r="M153" s="178">
        <v>1800</v>
      </c>
      <c r="R153" s="178">
        <v>1746.3122871137466</v>
      </c>
      <c r="T153" s="178">
        <v>1746.2697448355425</v>
      </c>
      <c r="AH153" s="175"/>
      <c r="AI153" s="175"/>
    </row>
    <row r="154" spans="1:35" s="178" customFormat="1" x14ac:dyDescent="0.25">
      <c r="A154" s="176">
        <v>6</v>
      </c>
      <c r="B154" s="176"/>
      <c r="C154" s="176">
        <f t="shared" si="11"/>
        <v>60</v>
      </c>
      <c r="D154" s="176">
        <f t="shared" si="12"/>
        <v>57</v>
      </c>
      <c r="E154" s="176">
        <f t="shared" si="13"/>
        <v>14</v>
      </c>
      <c r="F154" s="176" t="str">
        <f t="shared" si="14"/>
        <v>pm</v>
      </c>
      <c r="G154" s="176" t="s">
        <v>286</v>
      </c>
      <c r="H154" s="176" t="s">
        <v>392</v>
      </c>
      <c r="I154" s="176" t="s">
        <v>285</v>
      </c>
      <c r="J154" s="177" t="s">
        <v>21</v>
      </c>
      <c r="K154" s="178">
        <f t="shared" si="15"/>
        <v>1737.4411214731022</v>
      </c>
      <c r="L154" s="176"/>
      <c r="M154" s="178">
        <v>1800</v>
      </c>
      <c r="R154" s="178">
        <v>1694.4816920998894</v>
      </c>
      <c r="T154" s="178">
        <v>1737.4411214731022</v>
      </c>
      <c r="AH154" s="175"/>
      <c r="AI154" s="175"/>
    </row>
    <row r="155" spans="1:35" s="178" customFormat="1" x14ac:dyDescent="0.25">
      <c r="A155" s="176">
        <v>6</v>
      </c>
      <c r="B155" s="176"/>
      <c r="C155" s="176">
        <f t="shared" si="11"/>
        <v>61</v>
      </c>
      <c r="D155" s="176">
        <f t="shared" si="12"/>
        <v>57</v>
      </c>
      <c r="E155" s="176">
        <f t="shared" si="13"/>
        <v>14</v>
      </c>
      <c r="F155" s="176" t="str">
        <f t="shared" si="14"/>
        <v>pm</v>
      </c>
      <c r="G155" s="176" t="s">
        <v>272</v>
      </c>
      <c r="H155" s="176" t="s">
        <v>402</v>
      </c>
      <c r="I155" s="176" t="s">
        <v>271</v>
      </c>
      <c r="J155" s="177" t="s">
        <v>21</v>
      </c>
      <c r="K155" s="178">
        <f t="shared" si="15"/>
        <v>1696.7559274545094</v>
      </c>
      <c r="L155" s="176"/>
      <c r="M155" s="178">
        <v>1800</v>
      </c>
      <c r="R155" s="178">
        <v>1773.2758988569869</v>
      </c>
      <c r="T155" s="178">
        <v>1696.7559274545094</v>
      </c>
      <c r="AH155" s="175"/>
      <c r="AI155" s="175"/>
    </row>
    <row r="156" spans="1:35" s="178" customFormat="1" x14ac:dyDescent="0.25">
      <c r="A156" s="176">
        <v>4</v>
      </c>
      <c r="B156" s="176"/>
      <c r="C156" s="176">
        <f t="shared" si="11"/>
        <v>62</v>
      </c>
      <c r="D156" s="176">
        <f t="shared" si="12"/>
        <v>57</v>
      </c>
      <c r="E156" s="176">
        <f t="shared" si="13"/>
        <v>14</v>
      </c>
      <c r="F156" s="176" t="str">
        <f t="shared" si="14"/>
        <v>pm</v>
      </c>
      <c r="G156" s="176" t="s">
        <v>276</v>
      </c>
      <c r="H156" s="176" t="s">
        <v>401</v>
      </c>
      <c r="I156" s="176" t="s">
        <v>275</v>
      </c>
      <c r="J156" s="177" t="s">
        <v>21</v>
      </c>
      <c r="K156" s="178">
        <f t="shared" si="15"/>
        <v>1685.4617602962937</v>
      </c>
      <c r="L156" s="176"/>
      <c r="M156" s="178">
        <v>1800</v>
      </c>
      <c r="R156" s="178">
        <v>1748.8001298774316</v>
      </c>
      <c r="T156" s="178">
        <v>1685.4617602962937</v>
      </c>
      <c r="AH156" s="175"/>
      <c r="AI156" s="175"/>
    </row>
    <row r="157" spans="1:35" s="178" customFormat="1" x14ac:dyDescent="0.25">
      <c r="A157" s="176">
        <v>4</v>
      </c>
      <c r="B157" s="176"/>
      <c r="C157" s="176">
        <f t="shared" si="11"/>
        <v>63</v>
      </c>
      <c r="D157" s="176">
        <f t="shared" si="12"/>
        <v>57</v>
      </c>
      <c r="E157" s="176">
        <f t="shared" si="13"/>
        <v>14</v>
      </c>
      <c r="F157" s="176" t="str">
        <f t="shared" si="14"/>
        <v>pm</v>
      </c>
      <c r="G157" s="176" t="s">
        <v>280</v>
      </c>
      <c r="H157" s="176" t="s">
        <v>422</v>
      </c>
      <c r="I157" s="176" t="s">
        <v>279</v>
      </c>
      <c r="J157" s="177" t="s">
        <v>21</v>
      </c>
      <c r="K157" s="178">
        <f t="shared" si="15"/>
        <v>1654.9795718834444</v>
      </c>
      <c r="L157" s="176"/>
      <c r="M157" s="178">
        <v>1800</v>
      </c>
      <c r="P157" s="178">
        <v>1733.1802264513806</v>
      </c>
      <c r="T157" s="178">
        <v>1654.9795718834444</v>
      </c>
      <c r="AH157" s="175"/>
      <c r="AI157" s="175"/>
    </row>
    <row r="158" spans="1:35" s="178" customFormat="1" x14ac:dyDescent="0.25">
      <c r="A158" s="176">
        <v>5</v>
      </c>
      <c r="B158" s="176"/>
      <c r="C158" s="176">
        <f t="shared" si="11"/>
        <v>64</v>
      </c>
      <c r="D158" s="176">
        <f t="shared" si="12"/>
        <v>57</v>
      </c>
      <c r="E158" s="176">
        <f t="shared" si="13"/>
        <v>14</v>
      </c>
      <c r="F158" s="176" t="str">
        <f t="shared" si="14"/>
        <v>pm</v>
      </c>
      <c r="G158" s="176" t="s">
        <v>284</v>
      </c>
      <c r="H158" s="176" t="s">
        <v>528</v>
      </c>
      <c r="I158" s="176" t="s">
        <v>283</v>
      </c>
      <c r="J158" s="177" t="s">
        <v>21</v>
      </c>
      <c r="K158" s="178">
        <f t="shared" si="15"/>
        <v>1614.0203729802658</v>
      </c>
      <c r="L158" s="176"/>
      <c r="M158" s="178">
        <v>1800</v>
      </c>
      <c r="R158" s="178">
        <v>1705.4420103544176</v>
      </c>
      <c r="T158" s="178">
        <v>1614.0203729802658</v>
      </c>
      <c r="AH158" s="175"/>
      <c r="AI158" s="175"/>
    </row>
    <row r="159" spans="1:35" s="178" customFormat="1" x14ac:dyDescent="0.25">
      <c r="A159" s="176">
        <v>7</v>
      </c>
      <c r="B159" s="176"/>
      <c r="C159" s="176">
        <f t="shared" si="11"/>
        <v>65</v>
      </c>
      <c r="D159" s="176">
        <f t="shared" si="12"/>
        <v>57</v>
      </c>
      <c r="E159" s="176">
        <f t="shared" si="13"/>
        <v>14</v>
      </c>
      <c r="F159" s="176" t="str">
        <f t="shared" si="14"/>
        <v>pm</v>
      </c>
      <c r="G159" s="176" t="s">
        <v>228</v>
      </c>
      <c r="H159" s="176" t="s">
        <v>401</v>
      </c>
      <c r="I159" s="176" t="s">
        <v>227</v>
      </c>
      <c r="J159" s="177" t="s">
        <v>21</v>
      </c>
      <c r="K159" s="178">
        <f t="shared" si="15"/>
        <v>1515.9353141743402</v>
      </c>
      <c r="L159" s="176"/>
      <c r="M159" s="178">
        <v>1800</v>
      </c>
      <c r="P159" s="178">
        <v>1729.2404985207163</v>
      </c>
      <c r="R159" s="178">
        <v>1648.5261762534274</v>
      </c>
      <c r="T159" s="178">
        <v>1515.9353141743402</v>
      </c>
      <c r="AH159" s="175"/>
      <c r="AI159" s="175"/>
    </row>
    <row r="160" spans="1:35" s="178" customFormat="1" x14ac:dyDescent="0.25">
      <c r="A160" s="176">
        <v>3</v>
      </c>
      <c r="B160" s="176"/>
      <c r="C160" s="176">
        <f t="shared" si="11"/>
        <v>1</v>
      </c>
      <c r="D160" s="176">
        <f t="shared" si="12"/>
        <v>1</v>
      </c>
      <c r="E160" s="176">
        <f t="shared" si="13"/>
        <v>15</v>
      </c>
      <c r="F160" s="176" t="str">
        <f t="shared" si="14"/>
        <v>pm</v>
      </c>
      <c r="G160" s="176" t="s">
        <v>653</v>
      </c>
      <c r="H160" s="176" t="s">
        <v>355</v>
      </c>
      <c r="I160" s="176" t="s">
        <v>654</v>
      </c>
      <c r="J160" s="177" t="s">
        <v>22</v>
      </c>
      <c r="K160" s="178">
        <f t="shared" si="15"/>
        <v>2602.4800707292979</v>
      </c>
      <c r="L160" s="176"/>
      <c r="M160" s="178">
        <v>2400</v>
      </c>
      <c r="P160" s="178">
        <v>2529.806341942141</v>
      </c>
      <c r="S160" s="178">
        <v>2602.4800707292979</v>
      </c>
      <c r="AH160" s="175"/>
      <c r="AI160" s="175"/>
    </row>
    <row r="161" spans="1:35" s="178" customFormat="1" x14ac:dyDescent="0.25">
      <c r="A161" s="176">
        <v>5</v>
      </c>
      <c r="B161" s="176"/>
      <c r="C161" s="176">
        <f t="shared" si="11"/>
        <v>2</v>
      </c>
      <c r="D161" s="176">
        <f t="shared" si="12"/>
        <v>1</v>
      </c>
      <c r="E161" s="176">
        <f t="shared" si="13"/>
        <v>15</v>
      </c>
      <c r="F161" s="176" t="str">
        <f t="shared" si="14"/>
        <v>pm</v>
      </c>
      <c r="G161" s="176" t="s">
        <v>661</v>
      </c>
      <c r="H161" s="176" t="s">
        <v>401</v>
      </c>
      <c r="I161" s="176" t="s">
        <v>662</v>
      </c>
      <c r="J161" s="177" t="s">
        <v>22</v>
      </c>
      <c r="K161" s="178">
        <f t="shared" si="15"/>
        <v>2537.3268804369459</v>
      </c>
      <c r="L161" s="176"/>
      <c r="M161" s="178">
        <v>2400</v>
      </c>
      <c r="P161" s="178">
        <v>2490.4866358168492</v>
      </c>
      <c r="S161" s="178">
        <v>2537.3268804369459</v>
      </c>
      <c r="AH161" s="175"/>
      <c r="AI161" s="175"/>
    </row>
    <row r="162" spans="1:35" s="178" customFormat="1" x14ac:dyDescent="0.25">
      <c r="A162" s="176">
        <v>5</v>
      </c>
      <c r="B162" s="176"/>
      <c r="C162" s="176">
        <f t="shared" si="11"/>
        <v>3</v>
      </c>
      <c r="D162" s="176">
        <f t="shared" si="12"/>
        <v>1</v>
      </c>
      <c r="E162" s="176">
        <f t="shared" si="13"/>
        <v>15</v>
      </c>
      <c r="F162" s="176" t="str">
        <f t="shared" si="14"/>
        <v>pm</v>
      </c>
      <c r="G162" s="176" t="s">
        <v>669</v>
      </c>
      <c r="H162" s="176" t="s">
        <v>412</v>
      </c>
      <c r="I162" s="176" t="s">
        <v>670</v>
      </c>
      <c r="J162" s="177" t="s">
        <v>22</v>
      </c>
      <c r="K162" s="178">
        <f t="shared" si="15"/>
        <v>2532.8046893748628</v>
      </c>
      <c r="L162" s="176"/>
      <c r="M162" s="178">
        <v>2400</v>
      </c>
      <c r="P162" s="178">
        <v>2532.8046893748628</v>
      </c>
      <c r="AH162" s="175"/>
      <c r="AI162" s="175"/>
    </row>
    <row r="163" spans="1:35" s="178" customFormat="1" x14ac:dyDescent="0.25">
      <c r="A163" s="176">
        <v>2</v>
      </c>
      <c r="B163" s="176"/>
      <c r="C163" s="176">
        <f t="shared" si="11"/>
        <v>4</v>
      </c>
      <c r="D163" s="176">
        <f t="shared" si="12"/>
        <v>1</v>
      </c>
      <c r="E163" s="176">
        <f t="shared" si="13"/>
        <v>15</v>
      </c>
      <c r="F163" s="176" t="str">
        <f t="shared" si="14"/>
        <v>pm</v>
      </c>
      <c r="G163" s="176" t="s">
        <v>641</v>
      </c>
      <c r="H163" s="176" t="s">
        <v>362</v>
      </c>
      <c r="I163" s="176" t="s">
        <v>642</v>
      </c>
      <c r="J163" s="177" t="s">
        <v>22</v>
      </c>
      <c r="K163" s="178">
        <f t="shared" si="15"/>
        <v>2517.9197773041974</v>
      </c>
      <c r="L163" s="176"/>
      <c r="M163" s="178">
        <v>2400</v>
      </c>
      <c r="S163" s="178">
        <v>2517.9197773041974</v>
      </c>
      <c r="AH163" s="175"/>
      <c r="AI163" s="175"/>
    </row>
    <row r="164" spans="1:35" s="178" customFormat="1" x14ac:dyDescent="0.25">
      <c r="A164" s="176">
        <v>2</v>
      </c>
      <c r="B164" s="176"/>
      <c r="C164" s="176">
        <f t="shared" si="11"/>
        <v>5</v>
      </c>
      <c r="D164" s="176">
        <f t="shared" si="12"/>
        <v>1</v>
      </c>
      <c r="E164" s="176">
        <f t="shared" si="13"/>
        <v>15</v>
      </c>
      <c r="F164" s="176" t="str">
        <f t="shared" si="14"/>
        <v>pm</v>
      </c>
      <c r="G164" s="176" t="s">
        <v>679</v>
      </c>
      <c r="H164" s="176" t="s">
        <v>387</v>
      </c>
      <c r="I164" s="176" t="s">
        <v>680</v>
      </c>
      <c r="J164" s="177" t="s">
        <v>22</v>
      </c>
      <c r="K164" s="178">
        <f t="shared" si="15"/>
        <v>2510.3988721585351</v>
      </c>
      <c r="L164" s="176"/>
      <c r="M164" s="178">
        <v>2400</v>
      </c>
      <c r="S164" s="178">
        <v>2510.3988721585351</v>
      </c>
      <c r="AH164" s="175"/>
      <c r="AI164" s="175"/>
    </row>
    <row r="165" spans="1:35" s="178" customFormat="1" x14ac:dyDescent="0.25">
      <c r="A165" s="176">
        <v>2</v>
      </c>
      <c r="B165" s="176"/>
      <c r="C165" s="176">
        <f t="shared" si="11"/>
        <v>6</v>
      </c>
      <c r="D165" s="176">
        <f t="shared" si="12"/>
        <v>1</v>
      </c>
      <c r="E165" s="176">
        <f t="shared" si="13"/>
        <v>15</v>
      </c>
      <c r="F165" s="176" t="str">
        <f t="shared" si="14"/>
        <v>pm</v>
      </c>
      <c r="G165" s="176" t="s">
        <v>665</v>
      </c>
      <c r="H165" s="176" t="s">
        <v>358</v>
      </c>
      <c r="I165" s="176" t="s">
        <v>666</v>
      </c>
      <c r="J165" s="177" t="s">
        <v>22</v>
      </c>
      <c r="K165" s="178">
        <f t="shared" si="15"/>
        <v>2505.020862099786</v>
      </c>
      <c r="L165" s="176"/>
      <c r="M165" s="178">
        <v>2400</v>
      </c>
      <c r="P165" s="178">
        <v>2505.020862099786</v>
      </c>
      <c r="AH165" s="175"/>
      <c r="AI165" s="175"/>
    </row>
    <row r="166" spans="1:35" s="178" customFormat="1" x14ac:dyDescent="0.25">
      <c r="A166" s="176">
        <v>5</v>
      </c>
      <c r="B166" s="176"/>
      <c r="C166" s="176">
        <f t="shared" si="11"/>
        <v>7</v>
      </c>
      <c r="D166" s="176">
        <f t="shared" si="12"/>
        <v>1</v>
      </c>
      <c r="E166" s="176">
        <f t="shared" si="13"/>
        <v>15</v>
      </c>
      <c r="F166" s="176" t="str">
        <f t="shared" si="14"/>
        <v>pm</v>
      </c>
      <c r="G166" s="176" t="s">
        <v>687</v>
      </c>
      <c r="H166" s="176" t="s">
        <v>392</v>
      </c>
      <c r="I166" s="176" t="s">
        <v>688</v>
      </c>
      <c r="J166" s="177" t="s">
        <v>22</v>
      </c>
      <c r="K166" s="178">
        <f t="shared" si="15"/>
        <v>2498.4629299605249</v>
      </c>
      <c r="L166" s="176"/>
      <c r="M166" s="178">
        <v>2400</v>
      </c>
      <c r="S166" s="178">
        <v>2498.4629299605249</v>
      </c>
      <c r="AH166" s="175"/>
      <c r="AI166" s="175"/>
    </row>
    <row r="167" spans="1:35" s="178" customFormat="1" x14ac:dyDescent="0.25">
      <c r="A167" s="176">
        <v>4</v>
      </c>
      <c r="B167" s="176"/>
      <c r="C167" s="176">
        <f t="shared" si="11"/>
        <v>8</v>
      </c>
      <c r="D167" s="176">
        <f t="shared" si="12"/>
        <v>1</v>
      </c>
      <c r="E167" s="176">
        <f t="shared" si="13"/>
        <v>15</v>
      </c>
      <c r="F167" s="176" t="str">
        <f t="shared" si="14"/>
        <v>pm</v>
      </c>
      <c r="G167" s="176" t="s">
        <v>655</v>
      </c>
      <c r="H167" s="176" t="s">
        <v>355</v>
      </c>
      <c r="I167" s="176" t="s">
        <v>656</v>
      </c>
      <c r="J167" s="177" t="s">
        <v>22</v>
      </c>
      <c r="K167" s="178">
        <f t="shared" si="15"/>
        <v>2495.8609490903345</v>
      </c>
      <c r="L167" s="176"/>
      <c r="M167" s="178">
        <v>2400</v>
      </c>
      <c r="P167" s="178">
        <v>2495.8609490903345</v>
      </c>
      <c r="AH167" s="175"/>
      <c r="AI167" s="175"/>
    </row>
    <row r="168" spans="1:35" s="178" customFormat="1" x14ac:dyDescent="0.25">
      <c r="A168" s="176">
        <v>4</v>
      </c>
      <c r="B168" s="176"/>
      <c r="C168" s="176">
        <f t="shared" si="11"/>
        <v>9</v>
      </c>
      <c r="D168" s="176">
        <f t="shared" si="12"/>
        <v>1</v>
      </c>
      <c r="E168" s="176">
        <f t="shared" si="13"/>
        <v>15</v>
      </c>
      <c r="F168" s="176" t="str">
        <f t="shared" si="14"/>
        <v>pm</v>
      </c>
      <c r="G168" s="176" t="s">
        <v>685</v>
      </c>
      <c r="H168" s="176" t="s">
        <v>378</v>
      </c>
      <c r="I168" s="176" t="s">
        <v>686</v>
      </c>
      <c r="J168" s="177" t="s">
        <v>22</v>
      </c>
      <c r="K168" s="178">
        <f t="shared" si="15"/>
        <v>2478.3685552215939</v>
      </c>
      <c r="L168" s="176"/>
      <c r="M168" s="178">
        <v>2400</v>
      </c>
      <c r="P168" s="178">
        <v>2433.9655474743449</v>
      </c>
      <c r="S168" s="178">
        <v>2478.3685552215939</v>
      </c>
      <c r="AH168" s="175"/>
      <c r="AI168" s="175"/>
    </row>
    <row r="169" spans="1:35" s="178" customFormat="1" x14ac:dyDescent="0.25">
      <c r="A169" s="176">
        <v>4</v>
      </c>
      <c r="B169" s="176"/>
      <c r="C169" s="176">
        <f t="shared" si="11"/>
        <v>10</v>
      </c>
      <c r="D169" s="176">
        <f t="shared" si="12"/>
        <v>1</v>
      </c>
      <c r="E169" s="176">
        <f t="shared" si="13"/>
        <v>15</v>
      </c>
      <c r="F169" s="176" t="str">
        <f t="shared" si="14"/>
        <v>pm</v>
      </c>
      <c r="G169" s="176" t="s">
        <v>657</v>
      </c>
      <c r="H169" s="176" t="s">
        <v>355</v>
      </c>
      <c r="I169" s="176" t="s">
        <v>658</v>
      </c>
      <c r="J169" s="177" t="s">
        <v>22</v>
      </c>
      <c r="K169" s="178">
        <f t="shared" si="15"/>
        <v>2419.8800474739714</v>
      </c>
      <c r="L169" s="176"/>
      <c r="M169" s="178">
        <v>2400</v>
      </c>
      <c r="P169" s="178">
        <v>2419.8800474739714</v>
      </c>
      <c r="AH169" s="175"/>
      <c r="AI169" s="175"/>
    </row>
    <row r="170" spans="1:35" s="178" customFormat="1" x14ac:dyDescent="0.25">
      <c r="A170" s="176">
        <v>3</v>
      </c>
      <c r="B170" s="176"/>
      <c r="C170" s="176">
        <f t="shared" si="11"/>
        <v>11</v>
      </c>
      <c r="D170" s="176">
        <f t="shared" si="12"/>
        <v>1</v>
      </c>
      <c r="E170" s="176">
        <f t="shared" si="13"/>
        <v>15</v>
      </c>
      <c r="F170" s="176" t="str">
        <f t="shared" si="14"/>
        <v>pm</v>
      </c>
      <c r="G170" s="176" t="s">
        <v>647</v>
      </c>
      <c r="H170" s="176" t="s">
        <v>461</v>
      </c>
      <c r="I170" s="176" t="s">
        <v>648</v>
      </c>
      <c r="J170" s="177" t="s">
        <v>22</v>
      </c>
      <c r="K170" s="178">
        <f t="shared" si="15"/>
        <v>2411.3980889405284</v>
      </c>
      <c r="L170" s="176"/>
      <c r="M170" s="178">
        <v>2400</v>
      </c>
      <c r="P170" s="178">
        <v>2411.3980889405284</v>
      </c>
      <c r="AH170" s="175"/>
      <c r="AI170" s="175"/>
    </row>
    <row r="171" spans="1:35" s="178" customFormat="1" x14ac:dyDescent="0.25">
      <c r="A171" s="176">
        <v>2</v>
      </c>
      <c r="B171" s="176"/>
      <c r="C171" s="176">
        <f t="shared" si="11"/>
        <v>12</v>
      </c>
      <c r="D171" s="176">
        <f t="shared" si="12"/>
        <v>12</v>
      </c>
      <c r="E171" s="176">
        <f t="shared" si="13"/>
        <v>15</v>
      </c>
      <c r="F171" s="176" t="str">
        <f t="shared" si="14"/>
        <v>pm</v>
      </c>
      <c r="G171" s="176" t="s">
        <v>335</v>
      </c>
      <c r="H171" s="176" t="s">
        <v>375</v>
      </c>
      <c r="I171" s="176" t="s">
        <v>334</v>
      </c>
      <c r="J171" s="177" t="s">
        <v>22</v>
      </c>
      <c r="K171" s="178">
        <f t="shared" si="15"/>
        <v>2402.1626892749932</v>
      </c>
      <c r="L171" s="176"/>
      <c r="M171" s="178">
        <v>2200</v>
      </c>
      <c r="T171" s="178">
        <v>2402.1626892749932</v>
      </c>
      <c r="AH171" s="175"/>
      <c r="AI171" s="175"/>
    </row>
    <row r="172" spans="1:35" s="178" customFormat="1" x14ac:dyDescent="0.25">
      <c r="A172" s="176">
        <v>3</v>
      </c>
      <c r="B172" s="176"/>
      <c r="C172" s="176">
        <f t="shared" si="11"/>
        <v>13</v>
      </c>
      <c r="D172" s="176">
        <f t="shared" si="12"/>
        <v>13</v>
      </c>
      <c r="E172" s="176">
        <f t="shared" si="13"/>
        <v>15</v>
      </c>
      <c r="F172" s="176" t="str">
        <f t="shared" si="14"/>
        <v>pm</v>
      </c>
      <c r="G172" s="176" t="s">
        <v>659</v>
      </c>
      <c r="H172" s="176" t="s">
        <v>355</v>
      </c>
      <c r="I172" s="176" t="s">
        <v>660</v>
      </c>
      <c r="J172" s="177" t="s">
        <v>22</v>
      </c>
      <c r="K172" s="178">
        <f t="shared" si="15"/>
        <v>2400</v>
      </c>
      <c r="L172" s="176"/>
      <c r="M172" s="178">
        <v>2400</v>
      </c>
      <c r="AH172" s="175"/>
      <c r="AI172" s="175"/>
    </row>
    <row r="173" spans="1:35" s="178" customFormat="1" x14ac:dyDescent="0.25">
      <c r="A173" s="176">
        <v>4</v>
      </c>
      <c r="B173" s="176"/>
      <c r="C173" s="176">
        <f t="shared" si="11"/>
        <v>14</v>
      </c>
      <c r="D173" s="176">
        <f t="shared" si="12"/>
        <v>13</v>
      </c>
      <c r="E173" s="176">
        <f t="shared" si="13"/>
        <v>15</v>
      </c>
      <c r="F173" s="176" t="str">
        <f t="shared" si="14"/>
        <v>pm</v>
      </c>
      <c r="G173" s="176" t="s">
        <v>671</v>
      </c>
      <c r="H173" s="176" t="s">
        <v>412</v>
      </c>
      <c r="I173" s="176" t="s">
        <v>672</v>
      </c>
      <c r="J173" s="177" t="s">
        <v>22</v>
      </c>
      <c r="K173" s="178">
        <f t="shared" si="15"/>
        <v>2400</v>
      </c>
      <c r="L173" s="176"/>
      <c r="M173" s="178">
        <v>2400</v>
      </c>
      <c r="AH173" s="175"/>
      <c r="AI173" s="175"/>
    </row>
    <row r="174" spans="1:35" s="178" customFormat="1" x14ac:dyDescent="0.25">
      <c r="A174" s="176">
        <v>4</v>
      </c>
      <c r="B174" s="176"/>
      <c r="C174" s="176">
        <f t="shared" si="11"/>
        <v>15</v>
      </c>
      <c r="D174" s="176">
        <f t="shared" si="12"/>
        <v>13</v>
      </c>
      <c r="E174" s="176">
        <f t="shared" si="13"/>
        <v>15</v>
      </c>
      <c r="F174" s="176" t="str">
        <f t="shared" si="14"/>
        <v>pm</v>
      </c>
      <c r="G174" s="176" t="s">
        <v>673</v>
      </c>
      <c r="H174" s="176" t="s">
        <v>412</v>
      </c>
      <c r="I174" s="176" t="s">
        <v>674</v>
      </c>
      <c r="J174" s="177" t="s">
        <v>22</v>
      </c>
      <c r="K174" s="178">
        <f t="shared" si="15"/>
        <v>2400</v>
      </c>
      <c r="L174" s="176"/>
      <c r="M174" s="178">
        <v>2400</v>
      </c>
      <c r="AH174" s="175"/>
      <c r="AI174" s="175"/>
    </row>
    <row r="175" spans="1:35" s="178" customFormat="1" x14ac:dyDescent="0.25">
      <c r="A175" s="176">
        <v>4</v>
      </c>
      <c r="B175" s="176"/>
      <c r="C175" s="176">
        <f t="shared" si="11"/>
        <v>16</v>
      </c>
      <c r="D175" s="176">
        <f t="shared" si="12"/>
        <v>13</v>
      </c>
      <c r="E175" s="176">
        <f t="shared" si="13"/>
        <v>15</v>
      </c>
      <c r="F175" s="176" t="str">
        <f t="shared" si="14"/>
        <v>pm</v>
      </c>
      <c r="G175" s="176" t="s">
        <v>675</v>
      </c>
      <c r="H175" s="176" t="s">
        <v>365</v>
      </c>
      <c r="I175" s="176" t="s">
        <v>676</v>
      </c>
      <c r="J175" s="177" t="s">
        <v>22</v>
      </c>
      <c r="K175" s="178">
        <f t="shared" si="15"/>
        <v>2400</v>
      </c>
      <c r="L175" s="176"/>
      <c r="M175" s="178">
        <v>2400</v>
      </c>
      <c r="AH175" s="175"/>
      <c r="AI175" s="175"/>
    </row>
    <row r="176" spans="1:35" s="178" customFormat="1" x14ac:dyDescent="0.25">
      <c r="A176" s="176">
        <v>7</v>
      </c>
      <c r="B176" s="176"/>
      <c r="C176" s="176">
        <f t="shared" si="11"/>
        <v>17</v>
      </c>
      <c r="D176" s="176">
        <f t="shared" si="12"/>
        <v>13</v>
      </c>
      <c r="E176" s="176">
        <f t="shared" si="13"/>
        <v>15</v>
      </c>
      <c r="F176" s="176" t="str">
        <f t="shared" si="14"/>
        <v>pm</v>
      </c>
      <c r="G176" s="176" t="s">
        <v>677</v>
      </c>
      <c r="H176" s="176" t="s">
        <v>368</v>
      </c>
      <c r="I176" s="176" t="s">
        <v>678</v>
      </c>
      <c r="J176" s="177" t="s">
        <v>22</v>
      </c>
      <c r="K176" s="178">
        <f t="shared" si="15"/>
        <v>2390.4386500342198</v>
      </c>
      <c r="L176" s="176"/>
      <c r="M176" s="178">
        <v>2400</v>
      </c>
      <c r="P176" s="178">
        <v>2433.8983579853784</v>
      </c>
      <c r="Q176" s="178">
        <v>2431.8105354897539</v>
      </c>
      <c r="S176" s="178">
        <v>2390.4386500342198</v>
      </c>
      <c r="AH176" s="175"/>
      <c r="AI176" s="175"/>
    </row>
    <row r="177" spans="1:35" s="178" customFormat="1" x14ac:dyDescent="0.25">
      <c r="A177" s="176">
        <v>2</v>
      </c>
      <c r="B177" s="176"/>
      <c r="C177" s="176">
        <f t="shared" si="11"/>
        <v>18</v>
      </c>
      <c r="D177" s="176">
        <f t="shared" si="12"/>
        <v>18</v>
      </c>
      <c r="E177" s="176">
        <f t="shared" si="13"/>
        <v>15</v>
      </c>
      <c r="F177" s="176" t="str">
        <f t="shared" si="14"/>
        <v>pm</v>
      </c>
      <c r="G177" s="176" t="s">
        <v>309</v>
      </c>
      <c r="H177" s="176" t="s">
        <v>375</v>
      </c>
      <c r="I177" s="176" t="s">
        <v>308</v>
      </c>
      <c r="J177" s="177" t="s">
        <v>22</v>
      </c>
      <c r="K177" s="178">
        <f t="shared" si="15"/>
        <v>2375.211979799888</v>
      </c>
      <c r="L177" s="176"/>
      <c r="M177" s="178">
        <v>2200</v>
      </c>
      <c r="T177" s="178">
        <v>2375.211979799888</v>
      </c>
      <c r="AH177" s="175"/>
      <c r="AI177" s="175"/>
    </row>
    <row r="178" spans="1:35" s="178" customFormat="1" x14ac:dyDescent="0.25">
      <c r="A178" s="176">
        <v>2</v>
      </c>
      <c r="B178" s="176"/>
      <c r="C178" s="176">
        <f t="shared" si="11"/>
        <v>19</v>
      </c>
      <c r="D178" s="176">
        <f t="shared" si="12"/>
        <v>19</v>
      </c>
      <c r="E178" s="176">
        <f t="shared" si="13"/>
        <v>15</v>
      </c>
      <c r="F178" s="176" t="str">
        <f t="shared" si="14"/>
        <v>pm</v>
      </c>
      <c r="G178" s="176" t="s">
        <v>681</v>
      </c>
      <c r="H178" s="176" t="s">
        <v>387</v>
      </c>
      <c r="I178" s="176" t="s">
        <v>682</v>
      </c>
      <c r="J178" s="177" t="s">
        <v>22</v>
      </c>
      <c r="K178" s="178">
        <f t="shared" si="15"/>
        <v>2373.4548553972368</v>
      </c>
      <c r="L178" s="176"/>
      <c r="M178" s="178">
        <v>2400</v>
      </c>
      <c r="S178" s="178">
        <v>2373.4548553972368</v>
      </c>
      <c r="AH178" s="175"/>
      <c r="AI178" s="175"/>
    </row>
    <row r="179" spans="1:35" s="178" customFormat="1" x14ac:dyDescent="0.25">
      <c r="A179" s="176">
        <v>6</v>
      </c>
      <c r="B179" s="176"/>
      <c r="C179" s="176">
        <f t="shared" si="11"/>
        <v>20</v>
      </c>
      <c r="D179" s="176">
        <f t="shared" si="12"/>
        <v>19</v>
      </c>
      <c r="E179" s="176">
        <f t="shared" si="13"/>
        <v>15</v>
      </c>
      <c r="F179" s="176" t="str">
        <f t="shared" si="14"/>
        <v>pm</v>
      </c>
      <c r="G179" s="176" t="s">
        <v>663</v>
      </c>
      <c r="H179" s="176" t="s">
        <v>402</v>
      </c>
      <c r="I179" s="176" t="s">
        <v>664</v>
      </c>
      <c r="J179" s="177" t="s">
        <v>22</v>
      </c>
      <c r="K179" s="178">
        <f t="shared" si="15"/>
        <v>2360.1998147700406</v>
      </c>
      <c r="L179" s="176"/>
      <c r="M179" s="178">
        <v>2400</v>
      </c>
      <c r="Q179" s="178">
        <v>2298.3524972797049</v>
      </c>
      <c r="S179" s="178">
        <v>2360.1998147700406</v>
      </c>
      <c r="AH179" s="175"/>
      <c r="AI179" s="175"/>
    </row>
    <row r="180" spans="1:35" s="178" customFormat="1" x14ac:dyDescent="0.25">
      <c r="A180" s="176">
        <v>2</v>
      </c>
      <c r="B180" s="176"/>
      <c r="C180" s="176">
        <f t="shared" si="11"/>
        <v>21</v>
      </c>
      <c r="D180" s="176">
        <f t="shared" si="12"/>
        <v>19</v>
      </c>
      <c r="E180" s="176">
        <f t="shared" si="13"/>
        <v>15</v>
      </c>
      <c r="F180" s="176" t="str">
        <f t="shared" si="14"/>
        <v>pm</v>
      </c>
      <c r="G180" s="176" t="s">
        <v>683</v>
      </c>
      <c r="H180" s="176" t="s">
        <v>454</v>
      </c>
      <c r="I180" s="176" t="s">
        <v>684</v>
      </c>
      <c r="J180" s="177" t="s">
        <v>22</v>
      </c>
      <c r="K180" s="178">
        <f t="shared" si="15"/>
        <v>2358.6895672074957</v>
      </c>
      <c r="L180" s="176"/>
      <c r="M180" s="178">
        <v>2400</v>
      </c>
      <c r="P180" s="178">
        <v>2358.6895672074957</v>
      </c>
      <c r="AH180" s="175"/>
      <c r="AI180" s="175"/>
    </row>
    <row r="181" spans="1:35" s="178" customFormat="1" x14ac:dyDescent="0.25">
      <c r="A181" s="176">
        <v>6</v>
      </c>
      <c r="B181" s="176"/>
      <c r="C181" s="176">
        <f t="shared" si="11"/>
        <v>22</v>
      </c>
      <c r="D181" s="176">
        <f t="shared" si="12"/>
        <v>19</v>
      </c>
      <c r="E181" s="176">
        <f t="shared" si="13"/>
        <v>15</v>
      </c>
      <c r="F181" s="176" t="str">
        <f t="shared" si="14"/>
        <v>pm</v>
      </c>
      <c r="G181" s="176" t="s">
        <v>636</v>
      </c>
      <c r="H181" s="176" t="s">
        <v>637</v>
      </c>
      <c r="I181" s="176" t="s">
        <v>638</v>
      </c>
      <c r="J181" s="177" t="s">
        <v>22</v>
      </c>
      <c r="K181" s="178">
        <f t="shared" si="15"/>
        <v>2352.5527648259167</v>
      </c>
      <c r="L181" s="176"/>
      <c r="M181" s="178">
        <v>2400</v>
      </c>
      <c r="O181" s="175"/>
      <c r="P181" s="175">
        <v>2387.4256160710393</v>
      </c>
      <c r="Q181" s="175"/>
      <c r="R181" s="175"/>
      <c r="S181" s="175">
        <v>2352.5527648259167</v>
      </c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  <c r="AG181" s="175"/>
      <c r="AH181" s="175"/>
      <c r="AI181" s="175"/>
    </row>
    <row r="182" spans="1:35" s="178" customFormat="1" x14ac:dyDescent="0.25">
      <c r="A182" s="176">
        <v>3</v>
      </c>
      <c r="B182" s="176"/>
      <c r="C182" s="176">
        <f t="shared" si="11"/>
        <v>23</v>
      </c>
      <c r="D182" s="176">
        <f t="shared" si="12"/>
        <v>19</v>
      </c>
      <c r="E182" s="176">
        <f t="shared" si="13"/>
        <v>15</v>
      </c>
      <c r="F182" s="176" t="str">
        <f t="shared" si="14"/>
        <v>pm</v>
      </c>
      <c r="G182" s="176" t="s">
        <v>693</v>
      </c>
      <c r="H182" s="176" t="s">
        <v>694</v>
      </c>
      <c r="I182" s="176" t="s">
        <v>695</v>
      </c>
      <c r="J182" s="177" t="s">
        <v>22</v>
      </c>
      <c r="K182" s="178">
        <f t="shared" si="15"/>
        <v>2333.7938394280536</v>
      </c>
      <c r="L182" s="176"/>
      <c r="M182" s="178">
        <v>2400</v>
      </c>
      <c r="P182" s="178">
        <v>2333.7938394280536</v>
      </c>
      <c r="AH182" s="175"/>
      <c r="AI182" s="175"/>
    </row>
    <row r="183" spans="1:35" s="178" customFormat="1" x14ac:dyDescent="0.25">
      <c r="A183" s="176">
        <v>5</v>
      </c>
      <c r="B183" s="176"/>
      <c r="C183" s="176">
        <f t="shared" si="11"/>
        <v>24</v>
      </c>
      <c r="D183" s="176">
        <f t="shared" si="12"/>
        <v>19</v>
      </c>
      <c r="E183" s="176">
        <f t="shared" si="13"/>
        <v>15</v>
      </c>
      <c r="F183" s="176" t="str">
        <f t="shared" si="14"/>
        <v>pm</v>
      </c>
      <c r="G183" s="176" t="s">
        <v>689</v>
      </c>
      <c r="H183" s="176" t="s">
        <v>392</v>
      </c>
      <c r="I183" s="176" t="s">
        <v>690</v>
      </c>
      <c r="J183" s="177" t="s">
        <v>22</v>
      </c>
      <c r="K183" s="178">
        <f t="shared" si="15"/>
        <v>2304.2233246789406</v>
      </c>
      <c r="L183" s="176"/>
      <c r="M183" s="178">
        <v>2400</v>
      </c>
      <c r="S183" s="178">
        <v>2304.2233246789406</v>
      </c>
      <c r="AH183" s="175"/>
      <c r="AI183" s="175"/>
    </row>
    <row r="184" spans="1:35" s="178" customFormat="1" x14ac:dyDescent="0.25">
      <c r="A184" s="176">
        <v>6</v>
      </c>
      <c r="B184" s="176"/>
      <c r="C184" s="176">
        <f t="shared" si="11"/>
        <v>25</v>
      </c>
      <c r="D184" s="176">
        <f t="shared" si="12"/>
        <v>19</v>
      </c>
      <c r="E184" s="176">
        <f t="shared" si="13"/>
        <v>15</v>
      </c>
      <c r="F184" s="176" t="str">
        <f t="shared" si="14"/>
        <v>pm</v>
      </c>
      <c r="G184" s="176" t="s">
        <v>639</v>
      </c>
      <c r="H184" s="176" t="s">
        <v>637</v>
      </c>
      <c r="I184" s="176" t="s">
        <v>640</v>
      </c>
      <c r="J184" s="177" t="s">
        <v>22</v>
      </c>
      <c r="K184" s="178">
        <f t="shared" si="15"/>
        <v>2299.6632275953884</v>
      </c>
      <c r="L184" s="176"/>
      <c r="M184" s="178">
        <v>2400</v>
      </c>
      <c r="O184" s="175"/>
      <c r="P184" s="175">
        <v>2419.8355804183434</v>
      </c>
      <c r="Q184" s="175"/>
      <c r="R184" s="175"/>
      <c r="S184" s="175">
        <v>2299.6632275953884</v>
      </c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  <c r="AG184" s="175"/>
      <c r="AH184" s="175"/>
      <c r="AI184" s="175"/>
    </row>
    <row r="185" spans="1:35" s="178" customFormat="1" x14ac:dyDescent="0.25">
      <c r="A185" s="176">
        <v>3</v>
      </c>
      <c r="B185" s="176"/>
      <c r="C185" s="176">
        <f t="shared" si="11"/>
        <v>26</v>
      </c>
      <c r="D185" s="176">
        <f t="shared" si="12"/>
        <v>19</v>
      </c>
      <c r="E185" s="176">
        <f t="shared" si="13"/>
        <v>15</v>
      </c>
      <c r="F185" s="176" t="str">
        <f t="shared" si="14"/>
        <v>pm</v>
      </c>
      <c r="G185" s="176" t="s">
        <v>643</v>
      </c>
      <c r="H185" s="176" t="s">
        <v>362</v>
      </c>
      <c r="I185" s="176" t="s">
        <v>644</v>
      </c>
      <c r="J185" s="177" t="s">
        <v>22</v>
      </c>
      <c r="K185" s="178">
        <f t="shared" si="15"/>
        <v>2295.1033399345392</v>
      </c>
      <c r="L185" s="176"/>
      <c r="M185" s="178">
        <v>2400</v>
      </c>
      <c r="S185" s="178">
        <v>2295.1033399345392</v>
      </c>
      <c r="AH185" s="175"/>
      <c r="AI185" s="175"/>
    </row>
    <row r="186" spans="1:35" s="178" customFormat="1" x14ac:dyDescent="0.25">
      <c r="A186" s="176">
        <v>6</v>
      </c>
      <c r="B186" s="176"/>
      <c r="C186" s="176">
        <f t="shared" si="11"/>
        <v>27</v>
      </c>
      <c r="D186" s="176">
        <f t="shared" si="12"/>
        <v>27</v>
      </c>
      <c r="E186" s="176">
        <f t="shared" si="13"/>
        <v>15</v>
      </c>
      <c r="F186" s="176" t="str">
        <f t="shared" si="14"/>
        <v>pm</v>
      </c>
      <c r="G186" s="176" t="s">
        <v>696</v>
      </c>
      <c r="H186" s="176" t="s">
        <v>401</v>
      </c>
      <c r="I186" s="176" t="s">
        <v>697</v>
      </c>
      <c r="J186" s="177" t="s">
        <v>22</v>
      </c>
      <c r="K186" s="178">
        <f t="shared" si="15"/>
        <v>2266.0282548789673</v>
      </c>
      <c r="L186" s="176"/>
      <c r="M186" s="178">
        <v>2333.3333333333335</v>
      </c>
      <c r="P186" s="178">
        <v>2254.874844323052</v>
      </c>
      <c r="R186" s="178">
        <v>2271.1608850477701</v>
      </c>
      <c r="S186" s="178">
        <v>2266.0282548789673</v>
      </c>
      <c r="AH186" s="175"/>
      <c r="AI186" s="175"/>
    </row>
    <row r="187" spans="1:35" s="178" customFormat="1" x14ac:dyDescent="0.25">
      <c r="A187" s="176">
        <v>2</v>
      </c>
      <c r="B187" s="176"/>
      <c r="C187" s="176">
        <f t="shared" si="11"/>
        <v>28</v>
      </c>
      <c r="D187" s="176">
        <f t="shared" si="12"/>
        <v>28</v>
      </c>
      <c r="E187" s="176">
        <f t="shared" si="13"/>
        <v>15</v>
      </c>
      <c r="F187" s="176" t="str">
        <f t="shared" si="14"/>
        <v>pm</v>
      </c>
      <c r="G187" s="176" t="s">
        <v>181</v>
      </c>
      <c r="H187" s="176" t="s">
        <v>375</v>
      </c>
      <c r="I187" s="176" t="s">
        <v>180</v>
      </c>
      <c r="J187" s="177" t="s">
        <v>22</v>
      </c>
      <c r="K187" s="178">
        <f t="shared" si="15"/>
        <v>2242.6136983678898</v>
      </c>
      <c r="L187" s="176"/>
      <c r="M187" s="178">
        <v>2200</v>
      </c>
      <c r="T187" s="178">
        <v>2242.6136983678898</v>
      </c>
      <c r="AH187" s="175"/>
      <c r="AI187" s="175"/>
    </row>
    <row r="188" spans="1:35" s="178" customFormat="1" x14ac:dyDescent="0.25">
      <c r="A188" s="176">
        <v>3</v>
      </c>
      <c r="B188" s="176"/>
      <c r="C188" s="176">
        <f t="shared" si="11"/>
        <v>29</v>
      </c>
      <c r="D188" s="176">
        <f t="shared" si="12"/>
        <v>29</v>
      </c>
      <c r="E188" s="176">
        <f t="shared" si="13"/>
        <v>15</v>
      </c>
      <c r="F188" s="176" t="str">
        <f t="shared" si="14"/>
        <v>pm</v>
      </c>
      <c r="G188" s="176" t="s">
        <v>698</v>
      </c>
      <c r="H188" s="176" t="s">
        <v>612</v>
      </c>
      <c r="I188" s="176" t="s">
        <v>699</v>
      </c>
      <c r="J188" s="177" t="s">
        <v>21</v>
      </c>
      <c r="K188" s="178">
        <f t="shared" si="15"/>
        <v>2218.9901714404259</v>
      </c>
      <c r="L188" s="176"/>
      <c r="M188" s="178">
        <v>2133.3333333333335</v>
      </c>
      <c r="O188" s="175"/>
      <c r="P188" s="175">
        <v>2171.2364438273903</v>
      </c>
      <c r="Q188" s="175"/>
      <c r="R188" s="175"/>
      <c r="S188" s="175">
        <v>2218.9901714404259</v>
      </c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  <c r="AI188" s="175"/>
    </row>
    <row r="189" spans="1:35" s="178" customFormat="1" x14ac:dyDescent="0.25">
      <c r="A189" s="176">
        <v>4</v>
      </c>
      <c r="B189" s="176"/>
      <c r="C189" s="176">
        <f t="shared" si="11"/>
        <v>30</v>
      </c>
      <c r="D189" s="176">
        <f t="shared" si="12"/>
        <v>30</v>
      </c>
      <c r="E189" s="176">
        <f t="shared" si="13"/>
        <v>15</v>
      </c>
      <c r="F189" s="176" t="str">
        <f t="shared" si="14"/>
        <v>pm</v>
      </c>
      <c r="G189" s="176" t="s">
        <v>185</v>
      </c>
      <c r="H189" s="176" t="s">
        <v>700</v>
      </c>
      <c r="I189" s="176" t="s">
        <v>184</v>
      </c>
      <c r="J189" s="177" t="s">
        <v>21</v>
      </c>
      <c r="K189" s="178">
        <f t="shared" si="15"/>
        <v>2200.7724588064239</v>
      </c>
      <c r="L189" s="176"/>
      <c r="M189" s="178">
        <v>2000</v>
      </c>
      <c r="P189" s="178">
        <v>2074.6603823800419</v>
      </c>
      <c r="R189" s="178">
        <v>2138.2377521954518</v>
      </c>
      <c r="T189" s="178">
        <v>2200.7724588064239</v>
      </c>
      <c r="AH189" s="175"/>
      <c r="AI189" s="175"/>
    </row>
    <row r="190" spans="1:35" s="178" customFormat="1" x14ac:dyDescent="0.25">
      <c r="A190" s="176">
        <v>2</v>
      </c>
      <c r="B190" s="176"/>
      <c r="C190" s="176">
        <f t="shared" si="11"/>
        <v>31</v>
      </c>
      <c r="D190" s="176">
        <f t="shared" si="12"/>
        <v>31</v>
      </c>
      <c r="E190" s="176">
        <f t="shared" si="13"/>
        <v>15</v>
      </c>
      <c r="F190" s="176" t="str">
        <f t="shared" si="14"/>
        <v>pm</v>
      </c>
      <c r="G190" s="176" t="s">
        <v>183</v>
      </c>
      <c r="H190" s="176" t="s">
        <v>375</v>
      </c>
      <c r="I190" s="176" t="s">
        <v>182</v>
      </c>
      <c r="J190" s="177" t="s">
        <v>22</v>
      </c>
      <c r="K190" s="178">
        <f t="shared" si="15"/>
        <v>2189.6243126686718</v>
      </c>
      <c r="L190" s="176"/>
      <c r="M190" s="178">
        <v>2200</v>
      </c>
      <c r="T190" s="178">
        <v>2189.6243126686718</v>
      </c>
      <c r="AH190" s="175"/>
      <c r="AI190" s="175"/>
    </row>
    <row r="191" spans="1:35" s="178" customFormat="1" x14ac:dyDescent="0.25">
      <c r="A191" s="176">
        <v>7</v>
      </c>
      <c r="B191" s="176"/>
      <c r="C191" s="176">
        <f t="shared" si="11"/>
        <v>32</v>
      </c>
      <c r="D191" s="176">
        <f t="shared" si="12"/>
        <v>32</v>
      </c>
      <c r="E191" s="176">
        <f t="shared" si="13"/>
        <v>15</v>
      </c>
      <c r="F191" s="176" t="str">
        <f t="shared" si="14"/>
        <v>pm</v>
      </c>
      <c r="G191" s="176" t="s">
        <v>179</v>
      </c>
      <c r="H191" s="176" t="s">
        <v>518</v>
      </c>
      <c r="I191" s="176" t="s">
        <v>178</v>
      </c>
      <c r="J191" s="177" t="s">
        <v>21</v>
      </c>
      <c r="K191" s="178">
        <f t="shared" si="15"/>
        <v>2182.5823517948334</v>
      </c>
      <c r="L191" s="176"/>
      <c r="M191" s="178">
        <v>2114.2857142857142</v>
      </c>
      <c r="P191" s="178">
        <v>2102.3245224321704</v>
      </c>
      <c r="Q191" s="178">
        <v>2203.6952157273317</v>
      </c>
      <c r="T191" s="178">
        <v>2182.5823517948334</v>
      </c>
      <c r="AH191" s="175"/>
      <c r="AI191" s="175"/>
    </row>
    <row r="192" spans="1:35" s="178" customFormat="1" x14ac:dyDescent="0.25">
      <c r="A192" s="176">
        <v>3</v>
      </c>
      <c r="B192" s="176"/>
      <c r="C192" s="176">
        <f t="shared" si="11"/>
        <v>33</v>
      </c>
      <c r="D192" s="176">
        <f t="shared" si="12"/>
        <v>33</v>
      </c>
      <c r="E192" s="176">
        <f t="shared" si="13"/>
        <v>15</v>
      </c>
      <c r="F192" s="176" t="str">
        <f t="shared" si="14"/>
        <v>pm</v>
      </c>
      <c r="G192" s="176" t="s">
        <v>712</v>
      </c>
      <c r="H192" s="176" t="s">
        <v>378</v>
      </c>
      <c r="I192" s="176" t="s">
        <v>713</v>
      </c>
      <c r="J192" s="177" t="s">
        <v>21</v>
      </c>
      <c r="K192" s="178">
        <f t="shared" si="15"/>
        <v>2159.2866173179591</v>
      </c>
      <c r="L192" s="176"/>
      <c r="M192" s="178">
        <v>2000</v>
      </c>
      <c r="P192" s="178">
        <v>2084.4158112051268</v>
      </c>
      <c r="R192" s="178">
        <v>2159.2866173179591</v>
      </c>
      <c r="AH192" s="175"/>
      <c r="AI192" s="175"/>
    </row>
    <row r="193" spans="1:35" s="178" customFormat="1" x14ac:dyDescent="0.25">
      <c r="A193" s="176">
        <v>2</v>
      </c>
      <c r="B193" s="176"/>
      <c r="C193" s="176">
        <f t="shared" si="11"/>
        <v>34</v>
      </c>
      <c r="D193" s="176">
        <f t="shared" si="12"/>
        <v>33</v>
      </c>
      <c r="E193" s="176">
        <f t="shared" si="13"/>
        <v>15</v>
      </c>
      <c r="F193" s="176" t="str">
        <f t="shared" si="14"/>
        <v>pm</v>
      </c>
      <c r="G193" s="176" t="s">
        <v>708</v>
      </c>
      <c r="H193" s="176" t="s">
        <v>387</v>
      </c>
      <c r="I193" s="176" t="s">
        <v>709</v>
      </c>
      <c r="J193" s="177" t="s">
        <v>21</v>
      </c>
      <c r="K193" s="178">
        <f t="shared" si="15"/>
        <v>2156.7248903018326</v>
      </c>
      <c r="L193" s="176"/>
      <c r="M193" s="178">
        <v>2000</v>
      </c>
      <c r="R193" s="178">
        <v>2102.6797261517463</v>
      </c>
      <c r="S193" s="178">
        <v>2156.7248903018326</v>
      </c>
      <c r="AH193" s="175"/>
      <c r="AI193" s="175"/>
    </row>
    <row r="194" spans="1:35" s="178" customFormat="1" x14ac:dyDescent="0.25">
      <c r="A194" s="176">
        <v>4</v>
      </c>
      <c r="B194" s="176"/>
      <c r="C194" s="176">
        <f t="shared" ref="C194:C257" si="16">IF(E194=E193,C193+1,1)</f>
        <v>35</v>
      </c>
      <c r="D194" s="176">
        <f t="shared" ref="D194:D257" si="17">IF(M194=M193,D193,C194)</f>
        <v>33</v>
      </c>
      <c r="E194" s="176">
        <f t="shared" ref="E194:E257" si="18">10+VALUE(RIGHT(LEFT(G194,3),1))</f>
        <v>15</v>
      </c>
      <c r="F194" s="176" t="str">
        <f t="shared" ref="F194:F257" si="19">RIGHT(G194,2) &amp; IF(A194&lt;2,"x","")</f>
        <v>pm</v>
      </c>
      <c r="G194" s="176" t="s">
        <v>296</v>
      </c>
      <c r="H194" s="176" t="s">
        <v>707</v>
      </c>
      <c r="I194" s="176" t="s">
        <v>295</v>
      </c>
      <c r="J194" s="177" t="s">
        <v>21</v>
      </c>
      <c r="K194" s="178">
        <f t="shared" ref="K194:K257" si="20">LOOKUP(1E+100,M194:AC194)</f>
        <v>2102.5489256142664</v>
      </c>
      <c r="L194" s="176"/>
      <c r="M194" s="178">
        <v>2000</v>
      </c>
      <c r="R194" s="178">
        <v>2000.3203057553364</v>
      </c>
      <c r="T194" s="178">
        <v>2102.5489256142664</v>
      </c>
      <c r="AH194" s="175"/>
      <c r="AI194" s="175"/>
    </row>
    <row r="195" spans="1:35" s="178" customFormat="1" x14ac:dyDescent="0.25">
      <c r="A195" s="176">
        <v>3</v>
      </c>
      <c r="B195" s="176"/>
      <c r="C195" s="176">
        <f t="shared" si="16"/>
        <v>36</v>
      </c>
      <c r="D195" s="176">
        <f t="shared" si="17"/>
        <v>33</v>
      </c>
      <c r="E195" s="176">
        <f t="shared" si="18"/>
        <v>15</v>
      </c>
      <c r="F195" s="176" t="str">
        <f t="shared" si="19"/>
        <v>pm</v>
      </c>
      <c r="G195" s="176" t="s">
        <v>710</v>
      </c>
      <c r="H195" s="176" t="s">
        <v>387</v>
      </c>
      <c r="I195" s="176" t="s">
        <v>711</v>
      </c>
      <c r="J195" s="177" t="s">
        <v>21</v>
      </c>
      <c r="K195" s="178">
        <f t="shared" si="20"/>
        <v>2100.8963883194469</v>
      </c>
      <c r="L195" s="176"/>
      <c r="M195" s="178">
        <v>2000</v>
      </c>
      <c r="R195" s="178">
        <v>2029.398054141124</v>
      </c>
      <c r="S195" s="178">
        <v>2100.8963883194469</v>
      </c>
      <c r="AH195" s="175"/>
      <c r="AI195" s="175"/>
    </row>
    <row r="196" spans="1:35" s="178" customFormat="1" x14ac:dyDescent="0.25">
      <c r="A196" s="176">
        <v>3</v>
      </c>
      <c r="B196" s="176"/>
      <c r="C196" s="176">
        <f t="shared" si="16"/>
        <v>37</v>
      </c>
      <c r="D196" s="176">
        <f t="shared" si="17"/>
        <v>33</v>
      </c>
      <c r="E196" s="176">
        <f t="shared" si="18"/>
        <v>15</v>
      </c>
      <c r="F196" s="176" t="str">
        <f t="shared" si="19"/>
        <v>pm</v>
      </c>
      <c r="G196" s="176" t="s">
        <v>704</v>
      </c>
      <c r="H196" s="176" t="s">
        <v>406</v>
      </c>
      <c r="I196" s="176" t="s">
        <v>705</v>
      </c>
      <c r="J196" s="177" t="s">
        <v>21</v>
      </c>
      <c r="K196" s="178">
        <f t="shared" si="20"/>
        <v>2091.2559564984886</v>
      </c>
      <c r="L196" s="176"/>
      <c r="M196" s="178">
        <v>2000</v>
      </c>
      <c r="P196" s="178">
        <v>2091.2559564984886</v>
      </c>
      <c r="AH196" s="175"/>
      <c r="AI196" s="175"/>
    </row>
    <row r="197" spans="1:35" s="178" customFormat="1" x14ac:dyDescent="0.25">
      <c r="A197" s="176">
        <v>5</v>
      </c>
      <c r="B197" s="176"/>
      <c r="C197" s="176">
        <f t="shared" si="16"/>
        <v>38</v>
      </c>
      <c r="D197" s="176">
        <f t="shared" si="17"/>
        <v>33</v>
      </c>
      <c r="E197" s="176">
        <f t="shared" si="18"/>
        <v>15</v>
      </c>
      <c r="F197" s="176" t="str">
        <f t="shared" si="19"/>
        <v>pm</v>
      </c>
      <c r="G197" s="176" t="s">
        <v>714</v>
      </c>
      <c r="H197" s="176" t="s">
        <v>715</v>
      </c>
      <c r="I197" s="176" t="s">
        <v>716</v>
      </c>
      <c r="J197" s="177" t="s">
        <v>21</v>
      </c>
      <c r="K197" s="178">
        <f t="shared" si="20"/>
        <v>2028.7969395901496</v>
      </c>
      <c r="L197" s="176"/>
      <c r="M197" s="178">
        <v>2000</v>
      </c>
      <c r="P197" s="178">
        <v>1949.6387452744243</v>
      </c>
      <c r="R197" s="178">
        <v>2028.7969395901496</v>
      </c>
      <c r="AH197" s="175"/>
      <c r="AI197" s="175"/>
    </row>
    <row r="198" spans="1:35" s="178" customFormat="1" x14ac:dyDescent="0.25">
      <c r="A198" s="176">
        <v>5</v>
      </c>
      <c r="B198" s="176"/>
      <c r="C198" s="176">
        <f t="shared" si="16"/>
        <v>39</v>
      </c>
      <c r="D198" s="176">
        <f t="shared" si="17"/>
        <v>33</v>
      </c>
      <c r="E198" s="176">
        <f t="shared" si="18"/>
        <v>15</v>
      </c>
      <c r="F198" s="176" t="str">
        <f t="shared" si="19"/>
        <v>pm</v>
      </c>
      <c r="G198" s="176" t="s">
        <v>292</v>
      </c>
      <c r="H198" s="176" t="s">
        <v>528</v>
      </c>
      <c r="I198" s="176" t="s">
        <v>291</v>
      </c>
      <c r="J198" s="177" t="s">
        <v>21</v>
      </c>
      <c r="K198" s="178">
        <f t="shared" si="20"/>
        <v>2019.7195191341993</v>
      </c>
      <c r="L198" s="176"/>
      <c r="M198" s="178">
        <v>2000</v>
      </c>
      <c r="R198" s="178">
        <v>1930.6477056485521</v>
      </c>
      <c r="T198" s="178">
        <v>2019.7195191341993</v>
      </c>
      <c r="AH198" s="175"/>
      <c r="AI198" s="175"/>
    </row>
    <row r="199" spans="1:35" s="178" customFormat="1" x14ac:dyDescent="0.25">
      <c r="A199" s="176">
        <v>3</v>
      </c>
      <c r="B199" s="176"/>
      <c r="C199" s="176">
        <f t="shared" si="16"/>
        <v>40</v>
      </c>
      <c r="D199" s="176">
        <f t="shared" si="17"/>
        <v>33</v>
      </c>
      <c r="E199" s="176">
        <f t="shared" si="18"/>
        <v>15</v>
      </c>
      <c r="F199" s="176" t="str">
        <f t="shared" si="19"/>
        <v>pm</v>
      </c>
      <c r="G199" s="176" t="s">
        <v>717</v>
      </c>
      <c r="H199" s="176" t="s">
        <v>390</v>
      </c>
      <c r="I199" s="176" t="s">
        <v>718</v>
      </c>
      <c r="J199" s="177" t="s">
        <v>21</v>
      </c>
      <c r="K199" s="178">
        <f t="shared" si="20"/>
        <v>2000</v>
      </c>
      <c r="L199" s="176"/>
      <c r="M199" s="178">
        <v>2000</v>
      </c>
      <c r="AH199" s="175"/>
      <c r="AI199" s="175"/>
    </row>
    <row r="200" spans="1:35" s="178" customFormat="1" x14ac:dyDescent="0.25">
      <c r="A200" s="176">
        <v>3</v>
      </c>
      <c r="B200" s="176"/>
      <c r="C200" s="176">
        <f t="shared" si="16"/>
        <v>41</v>
      </c>
      <c r="D200" s="176">
        <f t="shared" si="17"/>
        <v>33</v>
      </c>
      <c r="E200" s="176">
        <f t="shared" si="18"/>
        <v>15</v>
      </c>
      <c r="F200" s="176" t="str">
        <f t="shared" si="19"/>
        <v>pm</v>
      </c>
      <c r="G200" s="176" t="s">
        <v>702</v>
      </c>
      <c r="H200" s="176" t="s">
        <v>355</v>
      </c>
      <c r="I200" s="176" t="s">
        <v>703</v>
      </c>
      <c r="J200" s="177" t="s">
        <v>21</v>
      </c>
      <c r="K200" s="178">
        <f t="shared" si="20"/>
        <v>1999.324379837778</v>
      </c>
      <c r="L200" s="176"/>
      <c r="M200" s="178">
        <v>2000</v>
      </c>
      <c r="P200" s="178">
        <v>1999.324379837778</v>
      </c>
      <c r="AH200" s="175"/>
      <c r="AI200" s="175"/>
    </row>
    <row r="201" spans="1:35" s="178" customFormat="1" x14ac:dyDescent="0.25">
      <c r="A201" s="176">
        <v>3</v>
      </c>
      <c r="B201" s="176"/>
      <c r="C201" s="176">
        <f t="shared" si="16"/>
        <v>42</v>
      </c>
      <c r="D201" s="176">
        <f t="shared" si="17"/>
        <v>33</v>
      </c>
      <c r="E201" s="176">
        <f t="shared" si="18"/>
        <v>15</v>
      </c>
      <c r="F201" s="176" t="str">
        <f t="shared" si="19"/>
        <v>pm</v>
      </c>
      <c r="G201" s="176" t="s">
        <v>187</v>
      </c>
      <c r="H201" s="176" t="s">
        <v>694</v>
      </c>
      <c r="I201" s="176" t="s">
        <v>186</v>
      </c>
      <c r="J201" s="177" t="s">
        <v>21</v>
      </c>
      <c r="K201" s="178">
        <f t="shared" si="20"/>
        <v>1996.7557391443099</v>
      </c>
      <c r="L201" s="176"/>
      <c r="M201" s="178">
        <v>2000</v>
      </c>
      <c r="P201" s="178">
        <v>2014.4481187300305</v>
      </c>
      <c r="T201" s="178">
        <v>1996.7557391443099</v>
      </c>
      <c r="AH201" s="175"/>
      <c r="AI201" s="175"/>
    </row>
    <row r="202" spans="1:35" s="178" customFormat="1" x14ac:dyDescent="0.25">
      <c r="A202" s="176">
        <v>6</v>
      </c>
      <c r="B202" s="176"/>
      <c r="C202" s="176">
        <f t="shared" si="16"/>
        <v>43</v>
      </c>
      <c r="D202" s="176">
        <f t="shared" si="17"/>
        <v>33</v>
      </c>
      <c r="E202" s="176">
        <f t="shared" si="18"/>
        <v>15</v>
      </c>
      <c r="F202" s="176" t="str">
        <f t="shared" si="19"/>
        <v>pm</v>
      </c>
      <c r="G202" s="176" t="s">
        <v>290</v>
      </c>
      <c r="H202" s="176" t="s">
        <v>701</v>
      </c>
      <c r="I202" s="176" t="s">
        <v>289</v>
      </c>
      <c r="J202" s="177" t="s">
        <v>21</v>
      </c>
      <c r="K202" s="178">
        <f t="shared" si="20"/>
        <v>1968.7059582012987</v>
      </c>
      <c r="L202" s="176"/>
      <c r="M202" s="178">
        <v>2000</v>
      </c>
      <c r="O202" s="175"/>
      <c r="P202" s="175">
        <v>1934.8260348820634</v>
      </c>
      <c r="Q202" s="175"/>
      <c r="R202" s="175">
        <v>1957.3259502278074</v>
      </c>
      <c r="S202" s="175"/>
      <c r="T202" s="175">
        <v>1968.7059582012987</v>
      </c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175"/>
      <c r="AI202" s="175"/>
    </row>
    <row r="203" spans="1:35" s="178" customFormat="1" x14ac:dyDescent="0.25">
      <c r="A203" s="176">
        <v>6</v>
      </c>
      <c r="B203" s="176"/>
      <c r="C203" s="176">
        <f t="shared" si="16"/>
        <v>44</v>
      </c>
      <c r="D203" s="176">
        <f t="shared" si="17"/>
        <v>33</v>
      </c>
      <c r="E203" s="176">
        <f t="shared" si="18"/>
        <v>15</v>
      </c>
      <c r="F203" s="176" t="str">
        <f t="shared" si="19"/>
        <v>pm</v>
      </c>
      <c r="G203" s="176" t="s">
        <v>294</v>
      </c>
      <c r="H203" s="176" t="s">
        <v>402</v>
      </c>
      <c r="I203" s="176" t="s">
        <v>293</v>
      </c>
      <c r="J203" s="177" t="s">
        <v>21</v>
      </c>
      <c r="K203" s="178">
        <f t="shared" si="20"/>
        <v>1943.949964380706</v>
      </c>
      <c r="L203" s="176"/>
      <c r="M203" s="178">
        <v>2000</v>
      </c>
      <c r="R203" s="178">
        <v>1923.1880111835867</v>
      </c>
      <c r="T203" s="178">
        <v>1943.949964380706</v>
      </c>
      <c r="AH203" s="175"/>
      <c r="AI203" s="175"/>
    </row>
    <row r="204" spans="1:35" s="178" customFormat="1" x14ac:dyDescent="0.25">
      <c r="A204" s="176">
        <v>6</v>
      </c>
      <c r="B204" s="176"/>
      <c r="C204" s="176">
        <f t="shared" si="16"/>
        <v>45</v>
      </c>
      <c r="D204" s="176">
        <f t="shared" si="17"/>
        <v>33</v>
      </c>
      <c r="E204" s="176">
        <f t="shared" si="18"/>
        <v>15</v>
      </c>
      <c r="F204" s="176" t="str">
        <f t="shared" si="19"/>
        <v>pm</v>
      </c>
      <c r="G204" s="176" t="s">
        <v>189</v>
      </c>
      <c r="H204" s="176" t="s">
        <v>368</v>
      </c>
      <c r="I204" s="176" t="s">
        <v>188</v>
      </c>
      <c r="J204" s="177" t="s">
        <v>21</v>
      </c>
      <c r="K204" s="178">
        <f t="shared" si="20"/>
        <v>1924.5920646598336</v>
      </c>
      <c r="L204" s="176"/>
      <c r="M204" s="178">
        <v>2000</v>
      </c>
      <c r="P204" s="178">
        <v>1958.3689992097629</v>
      </c>
      <c r="R204" s="178">
        <v>1965.4518951526236</v>
      </c>
      <c r="T204" s="178">
        <v>1924.5920646598336</v>
      </c>
      <c r="AH204" s="175"/>
      <c r="AI204" s="175"/>
    </row>
    <row r="205" spans="1:35" s="178" customFormat="1" x14ac:dyDescent="0.25">
      <c r="A205" s="176">
        <v>6</v>
      </c>
      <c r="B205" s="176"/>
      <c r="C205" s="176">
        <f t="shared" si="16"/>
        <v>46</v>
      </c>
      <c r="D205" s="176">
        <f t="shared" si="17"/>
        <v>33</v>
      </c>
      <c r="E205" s="176">
        <f t="shared" si="18"/>
        <v>15</v>
      </c>
      <c r="F205" s="176" t="str">
        <f t="shared" si="19"/>
        <v>pm</v>
      </c>
      <c r="G205" s="176" t="s">
        <v>191</v>
      </c>
      <c r="H205" s="176" t="s">
        <v>392</v>
      </c>
      <c r="I205" s="176" t="s">
        <v>190</v>
      </c>
      <c r="J205" s="177" t="s">
        <v>21</v>
      </c>
      <c r="K205" s="178">
        <f t="shared" si="20"/>
        <v>1876.833717072167</v>
      </c>
      <c r="L205" s="176"/>
      <c r="M205" s="178">
        <v>2000</v>
      </c>
      <c r="R205" s="178">
        <v>1918.5906334054932</v>
      </c>
      <c r="T205" s="178">
        <v>1876.833717072167</v>
      </c>
      <c r="AH205" s="175"/>
      <c r="AI205" s="175"/>
    </row>
    <row r="206" spans="1:35" s="178" customFormat="1" x14ac:dyDescent="0.25">
      <c r="A206" s="176">
        <v>6</v>
      </c>
      <c r="B206" s="176"/>
      <c r="C206" s="176">
        <f t="shared" si="16"/>
        <v>47</v>
      </c>
      <c r="D206" s="176">
        <f t="shared" si="17"/>
        <v>33</v>
      </c>
      <c r="E206" s="176">
        <f t="shared" si="18"/>
        <v>15</v>
      </c>
      <c r="F206" s="176" t="str">
        <f t="shared" si="19"/>
        <v>pm</v>
      </c>
      <c r="G206" s="176" t="s">
        <v>298</v>
      </c>
      <c r="H206" s="176" t="s">
        <v>392</v>
      </c>
      <c r="I206" s="176" t="s">
        <v>297</v>
      </c>
      <c r="J206" s="177" t="s">
        <v>21</v>
      </c>
      <c r="K206" s="178">
        <f t="shared" si="20"/>
        <v>1849.9734355569628</v>
      </c>
      <c r="L206" s="176"/>
      <c r="M206" s="178">
        <v>2000</v>
      </c>
      <c r="R206" s="178">
        <v>1909.4303022328752</v>
      </c>
      <c r="T206" s="178">
        <v>1849.9734355569628</v>
      </c>
      <c r="AH206" s="175"/>
      <c r="AI206" s="175"/>
    </row>
    <row r="207" spans="1:35" s="178" customFormat="1" x14ac:dyDescent="0.25">
      <c r="A207" s="176">
        <v>7</v>
      </c>
      <c r="B207" s="176"/>
      <c r="C207" s="176">
        <f t="shared" si="16"/>
        <v>48</v>
      </c>
      <c r="D207" s="176">
        <f t="shared" si="17"/>
        <v>33</v>
      </c>
      <c r="E207" s="176">
        <f t="shared" si="18"/>
        <v>15</v>
      </c>
      <c r="F207" s="176" t="str">
        <f t="shared" si="19"/>
        <v>pm</v>
      </c>
      <c r="G207" s="176" t="s">
        <v>194</v>
      </c>
      <c r="H207" s="176" t="s">
        <v>706</v>
      </c>
      <c r="I207" s="176" t="s">
        <v>193</v>
      </c>
      <c r="J207" s="177" t="s">
        <v>21</v>
      </c>
      <c r="K207" s="178">
        <f t="shared" si="20"/>
        <v>1772.824914836184</v>
      </c>
      <c r="L207" s="176"/>
      <c r="M207" s="178">
        <v>2000</v>
      </c>
      <c r="P207" s="178">
        <v>1902.9009970891748</v>
      </c>
      <c r="R207" s="178">
        <v>1825.171036313171</v>
      </c>
      <c r="T207" s="178">
        <v>1772.824914836184</v>
      </c>
      <c r="AH207" s="175"/>
      <c r="AI207" s="175"/>
    </row>
    <row r="208" spans="1:35" s="178" customFormat="1" x14ac:dyDescent="0.25">
      <c r="A208" s="176">
        <v>4</v>
      </c>
      <c r="B208" s="176"/>
      <c r="C208" s="176">
        <f t="shared" si="16"/>
        <v>1</v>
      </c>
      <c r="D208" s="176">
        <f t="shared" si="17"/>
        <v>1</v>
      </c>
      <c r="E208" s="176">
        <f t="shared" si="18"/>
        <v>16</v>
      </c>
      <c r="F208" s="176" t="str">
        <f t="shared" si="19"/>
        <v>pm</v>
      </c>
      <c r="G208" s="176" t="s">
        <v>778</v>
      </c>
      <c r="H208" s="176" t="s">
        <v>378</v>
      </c>
      <c r="I208" s="176" t="s">
        <v>779</v>
      </c>
      <c r="J208" s="177" t="s">
        <v>22</v>
      </c>
      <c r="K208" s="178">
        <f t="shared" si="20"/>
        <v>2783.6188433078114</v>
      </c>
      <c r="L208" s="176"/>
      <c r="M208" s="178">
        <v>2550</v>
      </c>
      <c r="O208" s="178">
        <v>2651.1345929277209</v>
      </c>
      <c r="S208" s="178">
        <v>2783.6188433078114</v>
      </c>
      <c r="AH208" s="175"/>
      <c r="AI208" s="175"/>
    </row>
    <row r="209" spans="1:35" s="178" customFormat="1" x14ac:dyDescent="0.25">
      <c r="A209" s="176">
        <v>3</v>
      </c>
      <c r="B209" s="176"/>
      <c r="C209" s="176">
        <f t="shared" si="16"/>
        <v>2</v>
      </c>
      <c r="D209" s="176">
        <f t="shared" si="17"/>
        <v>2</v>
      </c>
      <c r="E209" s="176">
        <f t="shared" si="18"/>
        <v>16</v>
      </c>
      <c r="F209" s="176" t="str">
        <f t="shared" si="19"/>
        <v>pm</v>
      </c>
      <c r="G209" s="176" t="s">
        <v>725</v>
      </c>
      <c r="H209" s="176" t="s">
        <v>355</v>
      </c>
      <c r="I209" s="176" t="s">
        <v>726</v>
      </c>
      <c r="J209" s="177" t="s">
        <v>22</v>
      </c>
      <c r="K209" s="178">
        <f t="shared" si="20"/>
        <v>2737.8174694588593</v>
      </c>
      <c r="L209" s="176"/>
      <c r="M209" s="178">
        <v>2600</v>
      </c>
      <c r="P209" s="178">
        <v>2742.7064901130243</v>
      </c>
      <c r="S209" s="178">
        <v>2737.8174694588593</v>
      </c>
      <c r="AH209" s="175"/>
      <c r="AI209" s="175"/>
    </row>
    <row r="210" spans="1:35" s="178" customFormat="1" x14ac:dyDescent="0.25">
      <c r="A210" s="176">
        <v>2</v>
      </c>
      <c r="B210" s="176"/>
      <c r="C210" s="176">
        <f t="shared" si="16"/>
        <v>3</v>
      </c>
      <c r="D210" s="176">
        <f t="shared" si="17"/>
        <v>2</v>
      </c>
      <c r="E210" s="176">
        <f t="shared" si="18"/>
        <v>16</v>
      </c>
      <c r="F210" s="176" t="str">
        <f t="shared" si="19"/>
        <v>pm</v>
      </c>
      <c r="G210" s="176" t="s">
        <v>774</v>
      </c>
      <c r="H210" s="176" t="s">
        <v>375</v>
      </c>
      <c r="I210" s="176" t="s">
        <v>775</v>
      </c>
      <c r="J210" s="177" t="s">
        <v>22</v>
      </c>
      <c r="K210" s="178">
        <f t="shared" si="20"/>
        <v>2668.4093745251066</v>
      </c>
      <c r="L210" s="176"/>
      <c r="M210" s="178">
        <v>2600</v>
      </c>
      <c r="S210" s="178">
        <v>2668.4093745251066</v>
      </c>
      <c r="AH210" s="175"/>
      <c r="AI210" s="175"/>
    </row>
    <row r="211" spans="1:35" s="178" customFormat="1" x14ac:dyDescent="0.25">
      <c r="A211" s="176">
        <v>3</v>
      </c>
      <c r="B211" s="176"/>
      <c r="C211" s="176">
        <f t="shared" si="16"/>
        <v>4</v>
      </c>
      <c r="D211" s="176">
        <f t="shared" si="17"/>
        <v>2</v>
      </c>
      <c r="E211" s="176">
        <f t="shared" si="18"/>
        <v>16</v>
      </c>
      <c r="F211" s="176" t="str">
        <f t="shared" si="19"/>
        <v>pm</v>
      </c>
      <c r="G211" s="176" t="s">
        <v>727</v>
      </c>
      <c r="H211" s="176" t="s">
        <v>355</v>
      </c>
      <c r="I211" s="176" t="s">
        <v>728</v>
      </c>
      <c r="J211" s="177" t="s">
        <v>22</v>
      </c>
      <c r="K211" s="178">
        <f t="shared" si="20"/>
        <v>2667.1608520539512</v>
      </c>
      <c r="L211" s="176"/>
      <c r="M211" s="178">
        <v>2600</v>
      </c>
      <c r="P211" s="178">
        <v>2667.1608520539512</v>
      </c>
      <c r="AH211" s="175"/>
      <c r="AI211" s="175"/>
    </row>
    <row r="212" spans="1:35" s="178" customFormat="1" x14ac:dyDescent="0.25">
      <c r="A212" s="176">
        <v>2</v>
      </c>
      <c r="B212" s="176"/>
      <c r="C212" s="176">
        <f t="shared" si="16"/>
        <v>5</v>
      </c>
      <c r="D212" s="176">
        <f t="shared" si="17"/>
        <v>2</v>
      </c>
      <c r="E212" s="176">
        <f t="shared" si="18"/>
        <v>16</v>
      </c>
      <c r="F212" s="176" t="str">
        <f t="shared" si="19"/>
        <v>pm</v>
      </c>
      <c r="G212" s="176" t="s">
        <v>758</v>
      </c>
      <c r="H212" s="176" t="s">
        <v>387</v>
      </c>
      <c r="I212" s="176" t="s">
        <v>759</v>
      </c>
      <c r="J212" s="177" t="s">
        <v>22</v>
      </c>
      <c r="K212" s="178">
        <f t="shared" si="20"/>
        <v>2642.4197784613143</v>
      </c>
      <c r="L212" s="176"/>
      <c r="M212" s="178">
        <v>2600</v>
      </c>
      <c r="S212" s="178">
        <v>2642.4197784613143</v>
      </c>
      <c r="AH212" s="175"/>
      <c r="AI212" s="175"/>
    </row>
    <row r="213" spans="1:35" s="178" customFormat="1" x14ac:dyDescent="0.25">
      <c r="A213" s="176">
        <v>2</v>
      </c>
      <c r="B213" s="176"/>
      <c r="C213" s="176">
        <f t="shared" si="16"/>
        <v>6</v>
      </c>
      <c r="D213" s="176">
        <f t="shared" si="17"/>
        <v>2</v>
      </c>
      <c r="E213" s="176">
        <f t="shared" si="18"/>
        <v>16</v>
      </c>
      <c r="F213" s="176" t="str">
        <f t="shared" si="19"/>
        <v>pm</v>
      </c>
      <c r="G213" s="176" t="s">
        <v>719</v>
      </c>
      <c r="H213" s="176" t="s">
        <v>461</v>
      </c>
      <c r="I213" s="176" t="s">
        <v>720</v>
      </c>
      <c r="J213" s="177" t="s">
        <v>22</v>
      </c>
      <c r="K213" s="178">
        <f t="shared" si="20"/>
        <v>2631.6664736634525</v>
      </c>
      <c r="L213" s="176"/>
      <c r="M213" s="178">
        <v>2600</v>
      </c>
      <c r="P213" s="178">
        <v>2588.4978348912359</v>
      </c>
      <c r="S213" s="178">
        <v>2631.6664736634525</v>
      </c>
      <c r="AH213" s="175"/>
      <c r="AI213" s="175"/>
    </row>
    <row r="214" spans="1:35" s="178" customFormat="1" x14ac:dyDescent="0.25">
      <c r="A214" s="176">
        <v>5</v>
      </c>
      <c r="B214" s="176"/>
      <c r="C214" s="176">
        <f t="shared" si="16"/>
        <v>7</v>
      </c>
      <c r="D214" s="176">
        <f t="shared" si="17"/>
        <v>2</v>
      </c>
      <c r="E214" s="176">
        <f t="shared" si="18"/>
        <v>16</v>
      </c>
      <c r="F214" s="176" t="str">
        <f t="shared" si="19"/>
        <v>pm</v>
      </c>
      <c r="G214" s="176" t="s">
        <v>741</v>
      </c>
      <c r="H214" s="176" t="s">
        <v>412</v>
      </c>
      <c r="I214" s="176" t="s">
        <v>742</v>
      </c>
      <c r="J214" s="177" t="s">
        <v>22</v>
      </c>
      <c r="K214" s="178">
        <f t="shared" si="20"/>
        <v>2628.2574952617479</v>
      </c>
      <c r="L214" s="176"/>
      <c r="M214" s="178">
        <v>2600</v>
      </c>
      <c r="P214" s="178">
        <v>2628.2574952617479</v>
      </c>
      <c r="AH214" s="175"/>
      <c r="AI214" s="175"/>
    </row>
    <row r="215" spans="1:35" s="178" customFormat="1" x14ac:dyDescent="0.25">
      <c r="A215" s="176">
        <v>3</v>
      </c>
      <c r="B215" s="176"/>
      <c r="C215" s="176">
        <f t="shared" si="16"/>
        <v>8</v>
      </c>
      <c r="D215" s="176">
        <f t="shared" si="17"/>
        <v>2</v>
      </c>
      <c r="E215" s="176">
        <f t="shared" si="18"/>
        <v>16</v>
      </c>
      <c r="F215" s="176" t="str">
        <f t="shared" si="19"/>
        <v>pm</v>
      </c>
      <c r="G215" s="176" t="s">
        <v>760</v>
      </c>
      <c r="H215" s="176" t="s">
        <v>387</v>
      </c>
      <c r="I215" s="176" t="s">
        <v>761</v>
      </c>
      <c r="J215" s="177" t="s">
        <v>22</v>
      </c>
      <c r="K215" s="178">
        <f t="shared" si="20"/>
        <v>2624.1968354614924</v>
      </c>
      <c r="L215" s="176"/>
      <c r="M215" s="178">
        <v>2600</v>
      </c>
      <c r="S215" s="178">
        <v>2624.1968354614924</v>
      </c>
      <c r="AH215" s="175"/>
      <c r="AI215" s="175"/>
    </row>
    <row r="216" spans="1:35" s="178" customFormat="1" x14ac:dyDescent="0.25">
      <c r="A216" s="176">
        <v>6</v>
      </c>
      <c r="B216" s="176"/>
      <c r="C216" s="176">
        <f t="shared" si="16"/>
        <v>9</v>
      </c>
      <c r="D216" s="176">
        <f t="shared" si="17"/>
        <v>9</v>
      </c>
      <c r="E216" s="176">
        <f t="shared" si="18"/>
        <v>16</v>
      </c>
      <c r="F216" s="176" t="str">
        <f t="shared" si="19"/>
        <v>pm</v>
      </c>
      <c r="G216" s="176" t="s">
        <v>305</v>
      </c>
      <c r="H216" s="176" t="s">
        <v>637</v>
      </c>
      <c r="I216" s="176" t="s">
        <v>304</v>
      </c>
      <c r="J216" s="177" t="s">
        <v>22</v>
      </c>
      <c r="K216" s="178">
        <f t="shared" si="20"/>
        <v>2602.0670906930518</v>
      </c>
      <c r="L216" s="176"/>
      <c r="M216" s="178">
        <v>2533.3333333333335</v>
      </c>
      <c r="O216" s="175"/>
      <c r="P216" s="175">
        <v>2604.4583365042622</v>
      </c>
      <c r="Q216" s="175"/>
      <c r="R216" s="175"/>
      <c r="S216" s="175">
        <v>2550.4882821127521</v>
      </c>
      <c r="T216" s="175">
        <v>2602.0670906930518</v>
      </c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  <c r="AG216" s="175"/>
      <c r="AH216" s="175"/>
      <c r="AI216" s="175"/>
    </row>
    <row r="217" spans="1:35" s="178" customFormat="1" x14ac:dyDescent="0.25">
      <c r="A217" s="176">
        <v>4</v>
      </c>
      <c r="B217" s="176"/>
      <c r="C217" s="176">
        <f t="shared" si="16"/>
        <v>10</v>
      </c>
      <c r="D217" s="176">
        <f t="shared" si="17"/>
        <v>10</v>
      </c>
      <c r="E217" s="176">
        <f t="shared" si="18"/>
        <v>16</v>
      </c>
      <c r="F217" s="176" t="str">
        <f t="shared" si="19"/>
        <v>pm</v>
      </c>
      <c r="G217" s="176" t="s">
        <v>745</v>
      </c>
      <c r="H217" s="176" t="s">
        <v>412</v>
      </c>
      <c r="I217" s="176" t="s">
        <v>746</v>
      </c>
      <c r="J217" s="177" t="s">
        <v>22</v>
      </c>
      <c r="K217" s="178">
        <f t="shared" si="20"/>
        <v>2600</v>
      </c>
      <c r="L217" s="176"/>
      <c r="M217" s="178">
        <v>2600</v>
      </c>
      <c r="AH217" s="175"/>
      <c r="AI217" s="175"/>
    </row>
    <row r="218" spans="1:35" s="178" customFormat="1" x14ac:dyDescent="0.25">
      <c r="A218" s="176">
        <v>4</v>
      </c>
      <c r="B218" s="176"/>
      <c r="C218" s="176">
        <f t="shared" si="16"/>
        <v>11</v>
      </c>
      <c r="D218" s="176">
        <f t="shared" si="17"/>
        <v>10</v>
      </c>
      <c r="E218" s="176">
        <f t="shared" si="18"/>
        <v>16</v>
      </c>
      <c r="F218" s="176" t="str">
        <f t="shared" si="19"/>
        <v>pm</v>
      </c>
      <c r="G218" s="176" t="s">
        <v>747</v>
      </c>
      <c r="H218" s="176" t="s">
        <v>412</v>
      </c>
      <c r="I218" s="176" t="s">
        <v>748</v>
      </c>
      <c r="J218" s="177" t="s">
        <v>22</v>
      </c>
      <c r="K218" s="178">
        <f t="shared" si="20"/>
        <v>2600</v>
      </c>
      <c r="L218" s="176"/>
      <c r="M218" s="178">
        <v>2600</v>
      </c>
      <c r="AH218" s="175"/>
      <c r="AI218" s="175"/>
    </row>
    <row r="219" spans="1:35" s="178" customFormat="1" x14ac:dyDescent="0.25">
      <c r="A219" s="176">
        <v>4</v>
      </c>
      <c r="B219" s="176"/>
      <c r="C219" s="176">
        <f t="shared" si="16"/>
        <v>12</v>
      </c>
      <c r="D219" s="176">
        <f t="shared" si="17"/>
        <v>10</v>
      </c>
      <c r="E219" s="176">
        <f t="shared" si="18"/>
        <v>16</v>
      </c>
      <c r="F219" s="176" t="str">
        <f t="shared" si="19"/>
        <v>pm</v>
      </c>
      <c r="G219" s="176" t="s">
        <v>752</v>
      </c>
      <c r="H219" s="176" t="s">
        <v>365</v>
      </c>
      <c r="I219" s="176" t="s">
        <v>753</v>
      </c>
      <c r="J219" s="177" t="s">
        <v>22</v>
      </c>
      <c r="K219" s="178">
        <f t="shared" si="20"/>
        <v>2600</v>
      </c>
      <c r="L219" s="176"/>
      <c r="M219" s="178">
        <v>2600</v>
      </c>
      <c r="AH219" s="175"/>
      <c r="AI219" s="175"/>
    </row>
    <row r="220" spans="1:35" s="178" customFormat="1" x14ac:dyDescent="0.25">
      <c r="A220" s="176">
        <v>7</v>
      </c>
      <c r="B220" s="176"/>
      <c r="C220" s="176">
        <f t="shared" si="16"/>
        <v>13</v>
      </c>
      <c r="D220" s="176">
        <f t="shared" si="17"/>
        <v>10</v>
      </c>
      <c r="E220" s="176">
        <f t="shared" si="18"/>
        <v>16</v>
      </c>
      <c r="F220" s="176" t="str">
        <f t="shared" si="19"/>
        <v>pm</v>
      </c>
      <c r="G220" s="176" t="s">
        <v>754</v>
      </c>
      <c r="H220" s="176" t="s">
        <v>368</v>
      </c>
      <c r="I220" s="176" t="s">
        <v>755</v>
      </c>
      <c r="J220" s="177" t="s">
        <v>22</v>
      </c>
      <c r="K220" s="178">
        <f t="shared" si="20"/>
        <v>2574.6020405067334</v>
      </c>
      <c r="L220" s="176"/>
      <c r="M220" s="178">
        <v>2600</v>
      </c>
      <c r="P220" s="178">
        <v>2586.1087425520964</v>
      </c>
      <c r="Q220" s="178">
        <v>2642.1061403984222</v>
      </c>
      <c r="S220" s="178">
        <v>2574.6020405067334</v>
      </c>
      <c r="AH220" s="175"/>
      <c r="AI220" s="175"/>
    </row>
    <row r="221" spans="1:35" s="178" customFormat="1" x14ac:dyDescent="0.25">
      <c r="A221" s="176">
        <v>2</v>
      </c>
      <c r="B221" s="176"/>
      <c r="C221" s="176">
        <f t="shared" si="16"/>
        <v>14</v>
      </c>
      <c r="D221" s="176">
        <f t="shared" si="17"/>
        <v>14</v>
      </c>
      <c r="E221" s="176">
        <f t="shared" si="18"/>
        <v>16</v>
      </c>
      <c r="F221" s="176" t="str">
        <f t="shared" si="19"/>
        <v>pm</v>
      </c>
      <c r="G221" s="176" t="s">
        <v>791</v>
      </c>
      <c r="H221" s="176" t="s">
        <v>375</v>
      </c>
      <c r="I221" s="176" t="s">
        <v>792</v>
      </c>
      <c r="J221" s="177" t="s">
        <v>22</v>
      </c>
      <c r="K221" s="178">
        <f t="shared" si="20"/>
        <v>2547.8697393622169</v>
      </c>
      <c r="L221" s="176"/>
      <c r="M221" s="178">
        <v>2400</v>
      </c>
      <c r="T221" s="178">
        <v>2547.8697393622169</v>
      </c>
      <c r="AH221" s="175"/>
      <c r="AI221" s="175"/>
    </row>
    <row r="222" spans="1:35" s="178" customFormat="1" x14ac:dyDescent="0.25">
      <c r="A222" s="176">
        <v>7</v>
      </c>
      <c r="B222" s="176"/>
      <c r="C222" s="176">
        <f t="shared" si="16"/>
        <v>15</v>
      </c>
      <c r="D222" s="176">
        <f t="shared" si="17"/>
        <v>15</v>
      </c>
      <c r="E222" s="176">
        <f t="shared" si="18"/>
        <v>16</v>
      </c>
      <c r="F222" s="176" t="str">
        <f t="shared" si="19"/>
        <v>pm</v>
      </c>
      <c r="G222" s="176" t="s">
        <v>739</v>
      </c>
      <c r="H222" s="176" t="s">
        <v>706</v>
      </c>
      <c r="I222" s="176" t="s">
        <v>740</v>
      </c>
      <c r="J222" s="177" t="s">
        <v>22</v>
      </c>
      <c r="K222" s="178">
        <f t="shared" si="20"/>
        <v>2544.7969756063999</v>
      </c>
      <c r="L222" s="176"/>
      <c r="M222" s="178">
        <v>2600</v>
      </c>
      <c r="P222" s="178">
        <v>2535.1589990784814</v>
      </c>
      <c r="Q222" s="178">
        <v>2535.2536812939006</v>
      </c>
      <c r="S222" s="178">
        <v>2544.7969756063999</v>
      </c>
      <c r="AH222" s="175"/>
      <c r="AI222" s="175"/>
    </row>
    <row r="223" spans="1:35" s="178" customFormat="1" x14ac:dyDescent="0.25">
      <c r="A223" s="176">
        <v>5</v>
      </c>
      <c r="B223" s="176"/>
      <c r="C223" s="176">
        <f t="shared" si="16"/>
        <v>16</v>
      </c>
      <c r="D223" s="176">
        <f t="shared" si="17"/>
        <v>15</v>
      </c>
      <c r="E223" s="176">
        <f t="shared" si="18"/>
        <v>16</v>
      </c>
      <c r="F223" s="176" t="str">
        <f t="shared" si="19"/>
        <v>pm</v>
      </c>
      <c r="G223" s="176" t="s">
        <v>776</v>
      </c>
      <c r="H223" s="176" t="s">
        <v>390</v>
      </c>
      <c r="I223" s="176" t="s">
        <v>777</v>
      </c>
      <c r="J223" s="177" t="s">
        <v>22</v>
      </c>
      <c r="K223" s="178">
        <f t="shared" si="20"/>
        <v>2531.9153909770039</v>
      </c>
      <c r="L223" s="176"/>
      <c r="M223" s="178">
        <v>2600</v>
      </c>
      <c r="P223" s="178">
        <v>2550.7095999075605</v>
      </c>
      <c r="S223" s="178">
        <v>2531.9153909770039</v>
      </c>
      <c r="AH223" s="175"/>
      <c r="AI223" s="175"/>
    </row>
    <row r="224" spans="1:35" s="178" customFormat="1" x14ac:dyDescent="0.25">
      <c r="A224" s="176">
        <v>2</v>
      </c>
      <c r="B224" s="176"/>
      <c r="C224" s="176">
        <f t="shared" si="16"/>
        <v>17</v>
      </c>
      <c r="D224" s="176">
        <f t="shared" si="17"/>
        <v>15</v>
      </c>
      <c r="E224" s="176">
        <f t="shared" si="18"/>
        <v>16</v>
      </c>
      <c r="F224" s="176" t="str">
        <f t="shared" si="19"/>
        <v>pm</v>
      </c>
      <c r="G224" s="176" t="s">
        <v>735</v>
      </c>
      <c r="H224" s="176" t="s">
        <v>410</v>
      </c>
      <c r="I224" s="176" t="s">
        <v>736</v>
      </c>
      <c r="J224" s="177" t="s">
        <v>22</v>
      </c>
      <c r="K224" s="178">
        <f t="shared" si="20"/>
        <v>2529.9395928312915</v>
      </c>
      <c r="L224" s="176"/>
      <c r="M224" s="178">
        <v>2600</v>
      </c>
      <c r="P224" s="178">
        <v>2529.9395928312915</v>
      </c>
      <c r="AH224" s="175"/>
      <c r="AI224" s="175"/>
    </row>
    <row r="225" spans="1:35" s="178" customFormat="1" x14ac:dyDescent="0.25">
      <c r="A225" s="176">
        <v>5</v>
      </c>
      <c r="B225" s="176"/>
      <c r="C225" s="176">
        <f t="shared" si="16"/>
        <v>18</v>
      </c>
      <c r="D225" s="176">
        <f t="shared" si="17"/>
        <v>15</v>
      </c>
      <c r="E225" s="176">
        <f t="shared" si="18"/>
        <v>16</v>
      </c>
      <c r="F225" s="176" t="str">
        <f t="shared" si="19"/>
        <v>pm</v>
      </c>
      <c r="G225" s="176" t="s">
        <v>766</v>
      </c>
      <c r="H225" s="176" t="s">
        <v>392</v>
      </c>
      <c r="I225" s="176" t="s">
        <v>767</v>
      </c>
      <c r="J225" s="177" t="s">
        <v>22</v>
      </c>
      <c r="K225" s="178">
        <f t="shared" si="20"/>
        <v>2525.6392172060614</v>
      </c>
      <c r="L225" s="176"/>
      <c r="M225" s="178">
        <v>2600</v>
      </c>
      <c r="S225" s="178">
        <v>2525.6392172060614</v>
      </c>
      <c r="AH225" s="175"/>
      <c r="AI225" s="175"/>
    </row>
    <row r="226" spans="1:35" s="178" customFormat="1" x14ac:dyDescent="0.25">
      <c r="A226" s="176">
        <v>5</v>
      </c>
      <c r="B226" s="176"/>
      <c r="C226" s="176">
        <f t="shared" si="16"/>
        <v>19</v>
      </c>
      <c r="D226" s="176">
        <f t="shared" si="17"/>
        <v>15</v>
      </c>
      <c r="E226" s="176">
        <f t="shared" si="18"/>
        <v>16</v>
      </c>
      <c r="F226" s="176" t="str">
        <f t="shared" si="19"/>
        <v>pm</v>
      </c>
      <c r="G226" s="176" t="s">
        <v>731</v>
      </c>
      <c r="H226" s="176" t="s">
        <v>401</v>
      </c>
      <c r="I226" s="176" t="s">
        <v>732</v>
      </c>
      <c r="J226" s="177" t="s">
        <v>22</v>
      </c>
      <c r="K226" s="178">
        <f t="shared" si="20"/>
        <v>2522.8013817469564</v>
      </c>
      <c r="L226" s="176"/>
      <c r="M226" s="178">
        <v>2600</v>
      </c>
      <c r="P226" s="178">
        <v>2536.3497914010086</v>
      </c>
      <c r="S226" s="178">
        <v>2522.8013817469564</v>
      </c>
      <c r="AH226" s="175"/>
      <c r="AI226" s="175"/>
    </row>
    <row r="227" spans="1:35" s="178" customFormat="1" x14ac:dyDescent="0.25">
      <c r="A227" s="176">
        <v>5</v>
      </c>
      <c r="B227" s="176"/>
      <c r="C227" s="176">
        <f t="shared" si="16"/>
        <v>20</v>
      </c>
      <c r="D227" s="176">
        <f t="shared" si="17"/>
        <v>15</v>
      </c>
      <c r="E227" s="176">
        <f t="shared" si="18"/>
        <v>16</v>
      </c>
      <c r="F227" s="176" t="str">
        <f t="shared" si="19"/>
        <v>pm</v>
      </c>
      <c r="G227" s="176" t="s">
        <v>768</v>
      </c>
      <c r="H227" s="176" t="s">
        <v>392</v>
      </c>
      <c r="I227" s="176" t="s">
        <v>769</v>
      </c>
      <c r="J227" s="177" t="s">
        <v>22</v>
      </c>
      <c r="K227" s="178">
        <f t="shared" si="20"/>
        <v>2522.040418704566</v>
      </c>
      <c r="L227" s="176"/>
      <c r="M227" s="178">
        <v>2600</v>
      </c>
      <c r="S227" s="178">
        <v>2522.040418704566</v>
      </c>
      <c r="AH227" s="175"/>
      <c r="AI227" s="175"/>
    </row>
    <row r="228" spans="1:35" s="178" customFormat="1" x14ac:dyDescent="0.25">
      <c r="A228" s="176">
        <v>5</v>
      </c>
      <c r="B228" s="176"/>
      <c r="C228" s="176">
        <f t="shared" si="16"/>
        <v>21</v>
      </c>
      <c r="D228" s="176">
        <f t="shared" si="17"/>
        <v>15</v>
      </c>
      <c r="E228" s="176">
        <f t="shared" si="18"/>
        <v>16</v>
      </c>
      <c r="F228" s="176" t="str">
        <f t="shared" si="19"/>
        <v>pm</v>
      </c>
      <c r="G228" s="176" t="s">
        <v>756</v>
      </c>
      <c r="H228" s="176" t="s">
        <v>567</v>
      </c>
      <c r="I228" s="176" t="s">
        <v>757</v>
      </c>
      <c r="J228" s="177" t="s">
        <v>22</v>
      </c>
      <c r="K228" s="178">
        <f t="shared" si="20"/>
        <v>2521.6112649182251</v>
      </c>
      <c r="L228" s="176"/>
      <c r="M228" s="178">
        <v>2600</v>
      </c>
      <c r="P228" s="178">
        <v>2521.6112649182251</v>
      </c>
      <c r="AH228" s="175"/>
      <c r="AI228" s="175"/>
    </row>
    <row r="229" spans="1:35" s="178" customFormat="1" x14ac:dyDescent="0.25">
      <c r="A229" s="176">
        <v>4</v>
      </c>
      <c r="B229" s="176"/>
      <c r="C229" s="176">
        <f t="shared" si="16"/>
        <v>22</v>
      </c>
      <c r="D229" s="176">
        <f t="shared" si="17"/>
        <v>22</v>
      </c>
      <c r="E229" s="176">
        <f t="shared" si="18"/>
        <v>16</v>
      </c>
      <c r="F229" s="176" t="str">
        <f t="shared" si="19"/>
        <v>pm</v>
      </c>
      <c r="G229" s="176" t="s">
        <v>789</v>
      </c>
      <c r="H229" s="176" t="s">
        <v>378</v>
      </c>
      <c r="I229" s="176" t="s">
        <v>790</v>
      </c>
      <c r="J229" s="177" t="s">
        <v>22</v>
      </c>
      <c r="K229" s="178">
        <f t="shared" si="20"/>
        <v>2511.732454820823</v>
      </c>
      <c r="L229" s="176"/>
      <c r="M229" s="178">
        <v>2400</v>
      </c>
      <c r="P229" s="178">
        <v>2480.5272461425175</v>
      </c>
      <c r="R229" s="178">
        <v>2511.732454820823</v>
      </c>
      <c r="AH229" s="175"/>
      <c r="AI229" s="175"/>
    </row>
    <row r="230" spans="1:35" s="178" customFormat="1" x14ac:dyDescent="0.25">
      <c r="A230" s="176">
        <v>5</v>
      </c>
      <c r="B230" s="176"/>
      <c r="C230" s="176">
        <f t="shared" si="16"/>
        <v>23</v>
      </c>
      <c r="D230" s="176">
        <f t="shared" si="17"/>
        <v>23</v>
      </c>
      <c r="E230" s="176">
        <f t="shared" si="18"/>
        <v>16</v>
      </c>
      <c r="F230" s="176" t="str">
        <f t="shared" si="19"/>
        <v>pm</v>
      </c>
      <c r="G230" s="176" t="s">
        <v>762</v>
      </c>
      <c r="H230" s="176" t="s">
        <v>384</v>
      </c>
      <c r="I230" s="176" t="s">
        <v>763</v>
      </c>
      <c r="J230" s="177" t="s">
        <v>22</v>
      </c>
      <c r="K230" s="178">
        <f t="shared" si="20"/>
        <v>2501.7317909930653</v>
      </c>
      <c r="L230" s="176"/>
      <c r="M230" s="178">
        <v>2600</v>
      </c>
      <c r="P230" s="178">
        <v>2534.3306077253792</v>
      </c>
      <c r="S230" s="178">
        <v>2501.7317909930653</v>
      </c>
      <c r="AH230" s="175"/>
      <c r="AI230" s="175"/>
    </row>
    <row r="231" spans="1:35" s="178" customFormat="1" x14ac:dyDescent="0.25">
      <c r="A231" s="176">
        <v>5</v>
      </c>
      <c r="B231" s="176"/>
      <c r="C231" s="176">
        <f t="shared" si="16"/>
        <v>24</v>
      </c>
      <c r="D231" s="176">
        <f t="shared" si="17"/>
        <v>23</v>
      </c>
      <c r="E231" s="176">
        <f t="shared" si="18"/>
        <v>16</v>
      </c>
      <c r="F231" s="176" t="str">
        <f t="shared" si="19"/>
        <v>pm</v>
      </c>
      <c r="G231" s="176" t="s">
        <v>729</v>
      </c>
      <c r="H231" s="176" t="s">
        <v>400</v>
      </c>
      <c r="I231" s="176" t="s">
        <v>730</v>
      </c>
      <c r="J231" s="177" t="s">
        <v>22</v>
      </c>
      <c r="K231" s="178">
        <f t="shared" si="20"/>
        <v>2498.4008847697546</v>
      </c>
      <c r="L231" s="176"/>
      <c r="M231" s="178">
        <v>2600</v>
      </c>
      <c r="P231" s="178">
        <v>2498.4008847697546</v>
      </c>
      <c r="AH231" s="175"/>
      <c r="AI231" s="175"/>
    </row>
    <row r="232" spans="1:35" s="178" customFormat="1" x14ac:dyDescent="0.25">
      <c r="A232" s="176">
        <v>6</v>
      </c>
      <c r="B232" s="176"/>
      <c r="C232" s="176">
        <f t="shared" si="16"/>
        <v>25</v>
      </c>
      <c r="D232" s="176">
        <f t="shared" si="17"/>
        <v>23</v>
      </c>
      <c r="E232" s="176">
        <f t="shared" si="18"/>
        <v>16</v>
      </c>
      <c r="F232" s="176" t="str">
        <f t="shared" si="19"/>
        <v>pm</v>
      </c>
      <c r="G232" s="176" t="s">
        <v>743</v>
      </c>
      <c r="H232" s="176" t="s">
        <v>412</v>
      </c>
      <c r="I232" s="176" t="s">
        <v>744</v>
      </c>
      <c r="J232" s="177" t="s">
        <v>22</v>
      </c>
      <c r="K232" s="178">
        <f t="shared" si="20"/>
        <v>2488.2982676302595</v>
      </c>
      <c r="L232" s="176"/>
      <c r="M232" s="178">
        <v>2600</v>
      </c>
      <c r="Q232" s="178">
        <v>2453.989388007974</v>
      </c>
      <c r="S232" s="178">
        <v>2488.2982676302595</v>
      </c>
      <c r="AH232" s="175"/>
      <c r="AI232" s="175"/>
    </row>
    <row r="233" spans="1:35" s="178" customFormat="1" x14ac:dyDescent="0.25">
      <c r="A233" s="176">
        <v>4</v>
      </c>
      <c r="B233" s="176"/>
      <c r="C233" s="176">
        <f t="shared" si="16"/>
        <v>26</v>
      </c>
      <c r="D233" s="176">
        <f t="shared" si="17"/>
        <v>26</v>
      </c>
      <c r="E233" s="176">
        <f t="shared" si="18"/>
        <v>16</v>
      </c>
      <c r="F233" s="176" t="str">
        <f t="shared" si="19"/>
        <v>pm</v>
      </c>
      <c r="G233" s="176" t="s">
        <v>307</v>
      </c>
      <c r="H233" s="176" t="s">
        <v>449</v>
      </c>
      <c r="I233" s="176" t="s">
        <v>306</v>
      </c>
      <c r="J233" s="177" t="s">
        <v>22</v>
      </c>
      <c r="K233" s="178">
        <f t="shared" si="20"/>
        <v>2485.2280075007443</v>
      </c>
      <c r="L233" s="176"/>
      <c r="M233" s="178">
        <v>2400</v>
      </c>
      <c r="Q233" s="178">
        <v>2451.1169432151924</v>
      </c>
      <c r="S233" s="178">
        <v>2504.8525408531418</v>
      </c>
      <c r="T233" s="178">
        <v>2485.2280075007443</v>
      </c>
      <c r="AH233" s="175"/>
      <c r="AI233" s="175"/>
    </row>
    <row r="234" spans="1:35" s="178" customFormat="1" x14ac:dyDescent="0.25">
      <c r="A234" s="176">
        <v>2</v>
      </c>
      <c r="B234" s="176"/>
      <c r="C234" s="176">
        <f t="shared" si="16"/>
        <v>27</v>
      </c>
      <c r="D234" s="176">
        <f t="shared" si="17"/>
        <v>27</v>
      </c>
      <c r="E234" s="176">
        <f t="shared" si="18"/>
        <v>16</v>
      </c>
      <c r="F234" s="176" t="str">
        <f t="shared" si="19"/>
        <v>pm</v>
      </c>
      <c r="G234" s="176" t="s">
        <v>737</v>
      </c>
      <c r="H234" s="176" t="s">
        <v>410</v>
      </c>
      <c r="I234" s="176" t="s">
        <v>738</v>
      </c>
      <c r="J234" s="177" t="s">
        <v>22</v>
      </c>
      <c r="K234" s="178">
        <f t="shared" si="20"/>
        <v>2482.7077944451225</v>
      </c>
      <c r="L234" s="176"/>
      <c r="M234" s="178">
        <v>2600</v>
      </c>
      <c r="P234" s="178">
        <v>2482.7077944451225</v>
      </c>
      <c r="AH234" s="175"/>
      <c r="AI234" s="175"/>
    </row>
    <row r="235" spans="1:35" s="178" customFormat="1" x14ac:dyDescent="0.25">
      <c r="A235" s="176">
        <v>2</v>
      </c>
      <c r="B235" s="176"/>
      <c r="C235" s="176">
        <f t="shared" si="16"/>
        <v>28</v>
      </c>
      <c r="D235" s="176">
        <f t="shared" si="17"/>
        <v>28</v>
      </c>
      <c r="E235" s="176">
        <f t="shared" si="18"/>
        <v>16</v>
      </c>
      <c r="F235" s="176" t="str">
        <f t="shared" si="19"/>
        <v>pm</v>
      </c>
      <c r="G235" s="176" t="s">
        <v>311</v>
      </c>
      <c r="H235" s="176" t="s">
        <v>375</v>
      </c>
      <c r="I235" s="176" t="s">
        <v>310</v>
      </c>
      <c r="J235" s="177" t="s">
        <v>22</v>
      </c>
      <c r="K235" s="178">
        <f t="shared" si="20"/>
        <v>2440.2815498712666</v>
      </c>
      <c r="L235" s="176"/>
      <c r="M235" s="178">
        <v>2400</v>
      </c>
      <c r="T235" s="178">
        <v>2440.2815498712666</v>
      </c>
      <c r="AH235" s="175"/>
      <c r="AI235" s="175"/>
    </row>
    <row r="236" spans="1:35" s="178" customFormat="1" x14ac:dyDescent="0.25">
      <c r="A236" s="176">
        <v>2</v>
      </c>
      <c r="B236" s="176"/>
      <c r="C236" s="176">
        <f t="shared" si="16"/>
        <v>29</v>
      </c>
      <c r="D236" s="176">
        <f t="shared" si="17"/>
        <v>28</v>
      </c>
      <c r="E236" s="176">
        <f t="shared" si="18"/>
        <v>16</v>
      </c>
      <c r="F236" s="176" t="str">
        <f t="shared" si="19"/>
        <v>pm</v>
      </c>
      <c r="G236" s="176" t="s">
        <v>313</v>
      </c>
      <c r="H236" s="176" t="s">
        <v>375</v>
      </c>
      <c r="I236" s="176" t="s">
        <v>312</v>
      </c>
      <c r="J236" s="177" t="s">
        <v>22</v>
      </c>
      <c r="K236" s="178">
        <f t="shared" si="20"/>
        <v>2428.574139943863</v>
      </c>
      <c r="L236" s="176"/>
      <c r="M236" s="178">
        <v>2400</v>
      </c>
      <c r="T236" s="178">
        <v>2428.574139943863</v>
      </c>
      <c r="AH236" s="175"/>
      <c r="AI236" s="175"/>
    </row>
    <row r="237" spans="1:35" s="178" customFormat="1" x14ac:dyDescent="0.25">
      <c r="A237" s="176">
        <v>3</v>
      </c>
      <c r="B237" s="176"/>
      <c r="C237" s="176">
        <f t="shared" si="16"/>
        <v>30</v>
      </c>
      <c r="D237" s="176">
        <f t="shared" si="17"/>
        <v>30</v>
      </c>
      <c r="E237" s="176">
        <f t="shared" si="18"/>
        <v>16</v>
      </c>
      <c r="F237" s="176" t="str">
        <f t="shared" si="19"/>
        <v>pm</v>
      </c>
      <c r="G237" s="176" t="s">
        <v>793</v>
      </c>
      <c r="H237" s="176" t="s">
        <v>612</v>
      </c>
      <c r="I237" s="176" t="s">
        <v>794</v>
      </c>
      <c r="J237" s="177" t="s">
        <v>21</v>
      </c>
      <c r="K237" s="178">
        <f t="shared" si="20"/>
        <v>2423.8121809417348</v>
      </c>
      <c r="L237" s="176"/>
      <c r="M237" s="178">
        <v>2266.6666666666665</v>
      </c>
      <c r="O237" s="175"/>
      <c r="P237" s="175">
        <v>2345.6284465465415</v>
      </c>
      <c r="Q237" s="175"/>
      <c r="R237" s="175">
        <v>2423.8121809417348</v>
      </c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</row>
    <row r="238" spans="1:35" s="178" customFormat="1" x14ac:dyDescent="0.25">
      <c r="A238" s="176">
        <v>2</v>
      </c>
      <c r="B238" s="176"/>
      <c r="C238" s="176">
        <f t="shared" si="16"/>
        <v>31</v>
      </c>
      <c r="D238" s="176">
        <f t="shared" si="17"/>
        <v>31</v>
      </c>
      <c r="E238" s="176">
        <f t="shared" si="18"/>
        <v>16</v>
      </c>
      <c r="F238" s="176" t="str">
        <f t="shared" si="19"/>
        <v>pm</v>
      </c>
      <c r="G238" s="176" t="s">
        <v>787</v>
      </c>
      <c r="H238" s="176" t="s">
        <v>358</v>
      </c>
      <c r="I238" s="176" t="s">
        <v>788</v>
      </c>
      <c r="J238" s="177" t="s">
        <v>22</v>
      </c>
      <c r="K238" s="178">
        <f t="shared" si="20"/>
        <v>2402.8944222193199</v>
      </c>
      <c r="L238" s="176"/>
      <c r="M238" s="178">
        <v>2400</v>
      </c>
      <c r="P238" s="178">
        <v>2402.8944222193199</v>
      </c>
      <c r="AH238" s="175"/>
      <c r="AI238" s="175"/>
    </row>
    <row r="239" spans="1:35" s="178" customFormat="1" x14ac:dyDescent="0.25">
      <c r="A239" s="176">
        <v>5</v>
      </c>
      <c r="B239" s="176"/>
      <c r="C239" s="176">
        <f t="shared" si="16"/>
        <v>32</v>
      </c>
      <c r="D239" s="176">
        <f t="shared" si="17"/>
        <v>32</v>
      </c>
      <c r="E239" s="176">
        <f t="shared" si="18"/>
        <v>16</v>
      </c>
      <c r="F239" s="176" t="str">
        <f t="shared" si="19"/>
        <v>pm</v>
      </c>
      <c r="G239" s="176" t="s">
        <v>782</v>
      </c>
      <c r="H239" s="176" t="s">
        <v>783</v>
      </c>
      <c r="I239" s="176" t="s">
        <v>784</v>
      </c>
      <c r="J239" s="177" t="s">
        <v>22</v>
      </c>
      <c r="K239" s="178">
        <f t="shared" si="20"/>
        <v>2402.6393736189211</v>
      </c>
      <c r="L239" s="176"/>
      <c r="M239" s="178">
        <v>2520</v>
      </c>
      <c r="P239" s="178">
        <v>2367.8687365373366</v>
      </c>
      <c r="S239" s="178">
        <v>2402.6393736189211</v>
      </c>
      <c r="AH239" s="175"/>
      <c r="AI239" s="175"/>
    </row>
    <row r="240" spans="1:35" s="178" customFormat="1" x14ac:dyDescent="0.25">
      <c r="A240" s="176">
        <v>2</v>
      </c>
      <c r="B240" s="176"/>
      <c r="C240" s="176">
        <f t="shared" si="16"/>
        <v>33</v>
      </c>
      <c r="D240" s="176">
        <f t="shared" si="17"/>
        <v>33</v>
      </c>
      <c r="E240" s="176">
        <f t="shared" si="18"/>
        <v>16</v>
      </c>
      <c r="F240" s="176" t="str">
        <f t="shared" si="19"/>
        <v>pm</v>
      </c>
      <c r="G240" s="176" t="s">
        <v>785</v>
      </c>
      <c r="H240" s="176" t="s">
        <v>612</v>
      </c>
      <c r="I240" s="176" t="s">
        <v>786</v>
      </c>
      <c r="J240" s="177" t="s">
        <v>22</v>
      </c>
      <c r="K240" s="178">
        <f t="shared" si="20"/>
        <v>2353.7316539645976</v>
      </c>
      <c r="L240" s="176"/>
      <c r="M240" s="178">
        <v>2400</v>
      </c>
      <c r="O240" s="175"/>
      <c r="P240" s="175"/>
      <c r="Q240" s="175"/>
      <c r="R240" s="175"/>
      <c r="S240" s="175">
        <v>2353.7316539645976</v>
      </c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</row>
    <row r="241" spans="1:35" s="178" customFormat="1" x14ac:dyDescent="0.25">
      <c r="A241" s="176">
        <v>6</v>
      </c>
      <c r="B241" s="176"/>
      <c r="C241" s="176">
        <f t="shared" si="16"/>
        <v>34</v>
      </c>
      <c r="D241" s="176">
        <f t="shared" si="17"/>
        <v>34</v>
      </c>
      <c r="E241" s="176">
        <f t="shared" si="18"/>
        <v>16</v>
      </c>
      <c r="F241" s="176" t="str">
        <f t="shared" si="19"/>
        <v>pm</v>
      </c>
      <c r="G241" s="176" t="s">
        <v>780</v>
      </c>
      <c r="H241" s="176" t="s">
        <v>401</v>
      </c>
      <c r="I241" s="176" t="s">
        <v>781</v>
      </c>
      <c r="J241" s="177" t="s">
        <v>22</v>
      </c>
      <c r="K241" s="178">
        <f t="shared" si="20"/>
        <v>2350.7701139447186</v>
      </c>
      <c r="L241" s="176"/>
      <c r="M241" s="178">
        <v>2533.3333333333335</v>
      </c>
      <c r="P241" s="178">
        <v>2435.1163107014972</v>
      </c>
      <c r="R241" s="178">
        <v>2430.7561370754192</v>
      </c>
      <c r="S241" s="178">
        <v>2350.7701139447186</v>
      </c>
      <c r="AH241" s="175"/>
      <c r="AI241" s="175"/>
    </row>
    <row r="242" spans="1:35" s="178" customFormat="1" x14ac:dyDescent="0.25">
      <c r="A242" s="176">
        <v>6</v>
      </c>
      <c r="B242" s="176"/>
      <c r="C242" s="176">
        <f t="shared" si="16"/>
        <v>35</v>
      </c>
      <c r="D242" s="176">
        <f t="shared" si="17"/>
        <v>35</v>
      </c>
      <c r="E242" s="176">
        <f t="shared" si="18"/>
        <v>16</v>
      </c>
      <c r="F242" s="176" t="str">
        <f t="shared" si="19"/>
        <v>pm</v>
      </c>
      <c r="G242" s="176" t="s">
        <v>315</v>
      </c>
      <c r="H242" s="176" t="s">
        <v>368</v>
      </c>
      <c r="I242" s="176" t="s">
        <v>314</v>
      </c>
      <c r="J242" s="177" t="s">
        <v>21</v>
      </c>
      <c r="K242" s="178">
        <f t="shared" si="20"/>
        <v>2337.9679777779384</v>
      </c>
      <c r="L242" s="176"/>
      <c r="M242" s="178">
        <v>2200</v>
      </c>
      <c r="P242" s="178">
        <v>2272.6437666154325</v>
      </c>
      <c r="R242" s="178">
        <v>2366.6059849945268</v>
      </c>
      <c r="T242" s="178">
        <v>2337.9679777779384</v>
      </c>
      <c r="AH242" s="175"/>
      <c r="AI242" s="175"/>
    </row>
    <row r="243" spans="1:35" s="178" customFormat="1" x14ac:dyDescent="0.25">
      <c r="A243" s="176">
        <v>5</v>
      </c>
      <c r="B243" s="176"/>
      <c r="C243" s="176">
        <f t="shared" si="16"/>
        <v>36</v>
      </c>
      <c r="D243" s="176">
        <f t="shared" si="17"/>
        <v>36</v>
      </c>
      <c r="E243" s="176">
        <f t="shared" si="18"/>
        <v>16</v>
      </c>
      <c r="F243" s="176" t="str">
        <f t="shared" si="19"/>
        <v>pm</v>
      </c>
      <c r="G243" s="176" t="s">
        <v>764</v>
      </c>
      <c r="H243" s="176" t="s">
        <v>384</v>
      </c>
      <c r="I243" s="176" t="s">
        <v>765</v>
      </c>
      <c r="J243" s="177" t="s">
        <v>22</v>
      </c>
      <c r="K243" s="178">
        <f t="shared" si="20"/>
        <v>2334.1471641922385</v>
      </c>
      <c r="L243" s="176"/>
      <c r="M243" s="178">
        <v>2600</v>
      </c>
      <c r="P243" s="178">
        <v>2430.3121523701575</v>
      </c>
      <c r="S243" s="178">
        <v>2334.1471641922385</v>
      </c>
      <c r="AH243" s="175"/>
      <c r="AI243" s="175"/>
    </row>
    <row r="244" spans="1:35" s="178" customFormat="1" x14ac:dyDescent="0.25">
      <c r="A244" s="176">
        <v>6</v>
      </c>
      <c r="B244" s="176"/>
      <c r="C244" s="176">
        <f t="shared" si="16"/>
        <v>37</v>
      </c>
      <c r="D244" s="176">
        <f t="shared" si="17"/>
        <v>37</v>
      </c>
      <c r="E244" s="176">
        <f t="shared" si="18"/>
        <v>16</v>
      </c>
      <c r="F244" s="176" t="str">
        <f t="shared" si="19"/>
        <v>pm</v>
      </c>
      <c r="G244" s="176" t="s">
        <v>797</v>
      </c>
      <c r="H244" s="176" t="s">
        <v>798</v>
      </c>
      <c r="I244" s="176" t="s">
        <v>799</v>
      </c>
      <c r="J244" s="177" t="s">
        <v>21</v>
      </c>
      <c r="K244" s="178">
        <f t="shared" si="20"/>
        <v>2316.2116999108894</v>
      </c>
      <c r="L244" s="176"/>
      <c r="M244" s="178">
        <v>2200</v>
      </c>
      <c r="O244" s="175"/>
      <c r="P244" s="175">
        <v>2229.6713187665032</v>
      </c>
      <c r="Q244" s="175"/>
      <c r="R244" s="175">
        <v>2258.8911105410434</v>
      </c>
      <c r="S244" s="175"/>
      <c r="T244" s="175">
        <v>2316.2116999108894</v>
      </c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</row>
    <row r="245" spans="1:35" s="178" customFormat="1" x14ac:dyDescent="0.25">
      <c r="A245" s="176">
        <v>3</v>
      </c>
      <c r="B245" s="176"/>
      <c r="C245" s="176">
        <f t="shared" si="16"/>
        <v>38</v>
      </c>
      <c r="D245" s="176">
        <f t="shared" si="17"/>
        <v>37</v>
      </c>
      <c r="E245" s="176">
        <f t="shared" si="18"/>
        <v>16</v>
      </c>
      <c r="F245" s="176" t="str">
        <f t="shared" si="19"/>
        <v>pm</v>
      </c>
      <c r="G245" s="176" t="s">
        <v>804</v>
      </c>
      <c r="H245" s="176" t="s">
        <v>597</v>
      </c>
      <c r="I245" s="176" t="s">
        <v>805</v>
      </c>
      <c r="J245" s="177" t="s">
        <v>21</v>
      </c>
      <c r="K245" s="178">
        <f t="shared" si="20"/>
        <v>2259.2297058558725</v>
      </c>
      <c r="L245" s="176"/>
      <c r="M245" s="178">
        <v>2200</v>
      </c>
      <c r="P245" s="178">
        <v>2259.2297058558725</v>
      </c>
      <c r="AH245" s="175"/>
      <c r="AI245" s="175"/>
    </row>
    <row r="246" spans="1:35" s="178" customFormat="1" x14ac:dyDescent="0.25">
      <c r="A246" s="176">
        <v>5</v>
      </c>
      <c r="B246" s="176"/>
      <c r="C246" s="176">
        <f t="shared" si="16"/>
        <v>39</v>
      </c>
      <c r="D246" s="176">
        <f t="shared" si="17"/>
        <v>37</v>
      </c>
      <c r="E246" s="176">
        <f t="shared" si="18"/>
        <v>16</v>
      </c>
      <c r="F246" s="176" t="str">
        <f t="shared" si="19"/>
        <v>pm</v>
      </c>
      <c r="G246" s="176" t="s">
        <v>321</v>
      </c>
      <c r="H246" s="176" t="s">
        <v>421</v>
      </c>
      <c r="I246" s="176" t="s">
        <v>320</v>
      </c>
      <c r="J246" s="177" t="s">
        <v>21</v>
      </c>
      <c r="K246" s="178">
        <f t="shared" si="20"/>
        <v>2252.7610483811018</v>
      </c>
      <c r="L246" s="176"/>
      <c r="M246" s="178">
        <v>2200</v>
      </c>
      <c r="O246" s="175"/>
      <c r="P246" s="175"/>
      <c r="Q246" s="175"/>
      <c r="R246" s="175">
        <v>2266.9866046582174</v>
      </c>
      <c r="S246" s="175"/>
      <c r="T246" s="175">
        <v>2252.7610483811018</v>
      </c>
      <c r="U246" s="175"/>
      <c r="V246" s="175"/>
      <c r="W246" s="175"/>
      <c r="X246" s="175"/>
      <c r="Y246" s="175"/>
      <c r="Z246" s="175"/>
      <c r="AA246" s="175"/>
      <c r="AB246" s="175"/>
      <c r="AC246" s="175"/>
      <c r="AH246" s="175"/>
      <c r="AI246" s="175"/>
    </row>
    <row r="247" spans="1:35" s="178" customFormat="1" x14ac:dyDescent="0.25">
      <c r="A247" s="176">
        <v>5</v>
      </c>
      <c r="B247" s="176"/>
      <c r="C247" s="176">
        <f t="shared" si="16"/>
        <v>40</v>
      </c>
      <c r="D247" s="176">
        <f t="shared" si="17"/>
        <v>40</v>
      </c>
      <c r="E247" s="176">
        <f t="shared" si="18"/>
        <v>16</v>
      </c>
      <c r="F247" s="176" t="str">
        <f t="shared" si="19"/>
        <v>pm</v>
      </c>
      <c r="G247" s="176" t="s">
        <v>795</v>
      </c>
      <c r="H247" s="176" t="s">
        <v>515</v>
      </c>
      <c r="I247" s="176" t="s">
        <v>796</v>
      </c>
      <c r="J247" s="177" t="s">
        <v>21</v>
      </c>
      <c r="K247" s="178">
        <f t="shared" si="20"/>
        <v>2246.3189419369232</v>
      </c>
      <c r="L247" s="176"/>
      <c r="M247" s="178">
        <v>2240</v>
      </c>
      <c r="R247" s="178">
        <v>2246.3189419369232</v>
      </c>
      <c r="AH247" s="175"/>
      <c r="AI247" s="175"/>
    </row>
    <row r="248" spans="1:35" s="178" customFormat="1" x14ac:dyDescent="0.25">
      <c r="A248" s="176">
        <v>7</v>
      </c>
      <c r="B248" s="176"/>
      <c r="C248" s="176">
        <f t="shared" si="16"/>
        <v>41</v>
      </c>
      <c r="D248" s="176">
        <f t="shared" si="17"/>
        <v>41</v>
      </c>
      <c r="E248" s="176">
        <f t="shared" si="18"/>
        <v>16</v>
      </c>
      <c r="F248" s="176" t="str">
        <f t="shared" si="19"/>
        <v>pm</v>
      </c>
      <c r="G248" s="176" t="s">
        <v>317</v>
      </c>
      <c r="H248" s="176" t="s">
        <v>422</v>
      </c>
      <c r="I248" s="176" t="s">
        <v>316</v>
      </c>
      <c r="J248" s="177" t="s">
        <v>21</v>
      </c>
      <c r="K248" s="178">
        <f t="shared" si="20"/>
        <v>2228.3592034324347</v>
      </c>
      <c r="L248" s="176"/>
      <c r="M248" s="178">
        <v>2257.1428571428573</v>
      </c>
      <c r="P248" s="178">
        <v>2275.0843041720645</v>
      </c>
      <c r="Q248" s="178">
        <v>2330.3909835910367</v>
      </c>
      <c r="T248" s="178">
        <v>2228.3592034324347</v>
      </c>
      <c r="AH248" s="175"/>
      <c r="AI248" s="175"/>
    </row>
    <row r="249" spans="1:35" s="178" customFormat="1" x14ac:dyDescent="0.25">
      <c r="A249" s="176">
        <v>7</v>
      </c>
      <c r="B249" s="176"/>
      <c r="C249" s="176">
        <f t="shared" si="16"/>
        <v>42</v>
      </c>
      <c r="D249" s="176">
        <f t="shared" si="17"/>
        <v>42</v>
      </c>
      <c r="E249" s="176">
        <f t="shared" si="18"/>
        <v>16</v>
      </c>
      <c r="F249" s="176" t="str">
        <f t="shared" si="19"/>
        <v>pm</v>
      </c>
      <c r="G249" s="176" t="s">
        <v>319</v>
      </c>
      <c r="H249" s="176" t="s">
        <v>518</v>
      </c>
      <c r="I249" s="176" t="s">
        <v>318</v>
      </c>
      <c r="J249" s="177" t="s">
        <v>21</v>
      </c>
      <c r="K249" s="178">
        <f t="shared" si="20"/>
        <v>2227.3143583110036</v>
      </c>
      <c r="L249" s="176"/>
      <c r="M249" s="178">
        <v>2314.2857142857142</v>
      </c>
      <c r="P249" s="178">
        <v>2273.6545201751719</v>
      </c>
      <c r="Q249" s="178">
        <v>2314.8207408110184</v>
      </c>
      <c r="T249" s="178">
        <v>2227.3143583110036</v>
      </c>
      <c r="AH249" s="175"/>
      <c r="AI249" s="175"/>
    </row>
    <row r="250" spans="1:35" s="178" customFormat="1" x14ac:dyDescent="0.25">
      <c r="A250" s="176">
        <v>4</v>
      </c>
      <c r="B250" s="176"/>
      <c r="C250" s="176">
        <f t="shared" si="16"/>
        <v>43</v>
      </c>
      <c r="D250" s="176">
        <f t="shared" si="17"/>
        <v>43</v>
      </c>
      <c r="E250" s="176">
        <f t="shared" si="18"/>
        <v>16</v>
      </c>
      <c r="F250" s="176" t="str">
        <f t="shared" si="19"/>
        <v>pm</v>
      </c>
      <c r="G250" s="176" t="s">
        <v>810</v>
      </c>
      <c r="H250" s="176" t="s">
        <v>393</v>
      </c>
      <c r="I250" s="176" t="s">
        <v>811</v>
      </c>
      <c r="J250" s="177" t="s">
        <v>21</v>
      </c>
      <c r="K250" s="178">
        <f t="shared" si="20"/>
        <v>2189.9296425980651</v>
      </c>
      <c r="L250" s="176"/>
      <c r="M250" s="178">
        <v>2200</v>
      </c>
      <c r="O250" s="175"/>
      <c r="P250" s="175"/>
      <c r="Q250" s="175"/>
      <c r="R250" s="175">
        <v>2159.5399863106313</v>
      </c>
      <c r="S250" s="175"/>
      <c r="T250" s="175">
        <v>2189.9296425980651</v>
      </c>
      <c r="U250" s="175"/>
      <c r="V250" s="175"/>
      <c r="W250" s="175"/>
      <c r="X250" s="175"/>
      <c r="Y250" s="175"/>
      <c r="Z250" s="175"/>
      <c r="AA250" s="175"/>
      <c r="AB250" s="175"/>
      <c r="AC250" s="175"/>
      <c r="AH250" s="175"/>
      <c r="AI250" s="175"/>
    </row>
    <row r="251" spans="1:35" s="178" customFormat="1" x14ac:dyDescent="0.25">
      <c r="A251" s="176">
        <v>6</v>
      </c>
      <c r="B251" s="176"/>
      <c r="C251" s="176">
        <f t="shared" si="16"/>
        <v>44</v>
      </c>
      <c r="D251" s="176">
        <f t="shared" si="17"/>
        <v>43</v>
      </c>
      <c r="E251" s="176">
        <f t="shared" si="18"/>
        <v>16</v>
      </c>
      <c r="F251" s="176" t="str">
        <f t="shared" si="19"/>
        <v>pm</v>
      </c>
      <c r="G251" s="176" t="s">
        <v>800</v>
      </c>
      <c r="H251" s="176" t="s">
        <v>615</v>
      </c>
      <c r="I251" s="176" t="s">
        <v>801</v>
      </c>
      <c r="J251" s="177" t="s">
        <v>21</v>
      </c>
      <c r="K251" s="178">
        <f t="shared" si="20"/>
        <v>2177.7802114634451</v>
      </c>
      <c r="L251" s="176"/>
      <c r="M251" s="178">
        <v>2200</v>
      </c>
      <c r="P251" s="178">
        <v>2170.5044212207163</v>
      </c>
      <c r="R251" s="178">
        <v>2166.7229327282698</v>
      </c>
      <c r="T251" s="178">
        <v>2177.7802114634451</v>
      </c>
      <c r="AH251" s="175"/>
      <c r="AI251" s="175"/>
    </row>
    <row r="252" spans="1:35" s="178" customFormat="1" x14ac:dyDescent="0.25">
      <c r="A252" s="176">
        <v>3</v>
      </c>
      <c r="B252" s="176"/>
      <c r="C252" s="176">
        <f t="shared" si="16"/>
        <v>45</v>
      </c>
      <c r="D252" s="176">
        <f t="shared" si="17"/>
        <v>43</v>
      </c>
      <c r="E252" s="176">
        <f t="shared" si="18"/>
        <v>16</v>
      </c>
      <c r="F252" s="176" t="str">
        <f t="shared" si="19"/>
        <v>pm</v>
      </c>
      <c r="G252" s="176" t="s">
        <v>802</v>
      </c>
      <c r="H252" s="176" t="s">
        <v>355</v>
      </c>
      <c r="I252" s="176" t="s">
        <v>803</v>
      </c>
      <c r="J252" s="177" t="s">
        <v>21</v>
      </c>
      <c r="K252" s="178">
        <f t="shared" si="20"/>
        <v>2158.0851509034469</v>
      </c>
      <c r="L252" s="176"/>
      <c r="M252" s="178">
        <v>2200</v>
      </c>
      <c r="P252" s="178">
        <v>2158.0851509034469</v>
      </c>
      <c r="AH252" s="175"/>
      <c r="AI252" s="175"/>
    </row>
    <row r="253" spans="1:35" s="178" customFormat="1" x14ac:dyDescent="0.25">
      <c r="A253" s="176">
        <v>6</v>
      </c>
      <c r="B253" s="176"/>
      <c r="C253" s="176">
        <f t="shared" si="16"/>
        <v>46</v>
      </c>
      <c r="D253" s="176">
        <f t="shared" si="17"/>
        <v>43</v>
      </c>
      <c r="E253" s="176">
        <f t="shared" si="18"/>
        <v>16</v>
      </c>
      <c r="F253" s="176" t="str">
        <f t="shared" si="19"/>
        <v>pm</v>
      </c>
      <c r="G253" s="176" t="s">
        <v>323</v>
      </c>
      <c r="H253" s="176" t="s">
        <v>392</v>
      </c>
      <c r="I253" s="176" t="s">
        <v>322</v>
      </c>
      <c r="J253" s="177" t="s">
        <v>21</v>
      </c>
      <c r="K253" s="178">
        <f t="shared" si="20"/>
        <v>2157.9394663859975</v>
      </c>
      <c r="L253" s="176"/>
      <c r="M253" s="178">
        <v>2200</v>
      </c>
      <c r="R253" s="178">
        <v>2201.5596850765965</v>
      </c>
      <c r="T253" s="178">
        <v>2157.9394663859975</v>
      </c>
      <c r="AH253" s="175"/>
      <c r="AI253" s="175"/>
    </row>
    <row r="254" spans="1:35" s="178" customFormat="1" x14ac:dyDescent="0.25">
      <c r="A254" s="176">
        <v>6</v>
      </c>
      <c r="B254" s="176"/>
      <c r="C254" s="176">
        <f t="shared" si="16"/>
        <v>47</v>
      </c>
      <c r="D254" s="176">
        <f t="shared" si="17"/>
        <v>43</v>
      </c>
      <c r="E254" s="176">
        <f t="shared" si="18"/>
        <v>16</v>
      </c>
      <c r="F254" s="176" t="str">
        <f t="shared" si="19"/>
        <v>pm</v>
      </c>
      <c r="G254" s="176" t="s">
        <v>806</v>
      </c>
      <c r="H254" s="176" t="s">
        <v>412</v>
      </c>
      <c r="I254" s="176" t="s">
        <v>807</v>
      </c>
      <c r="J254" s="177" t="s">
        <v>21</v>
      </c>
      <c r="K254" s="178">
        <f t="shared" si="20"/>
        <v>2119.7342603300549</v>
      </c>
      <c r="L254" s="176"/>
      <c r="M254" s="178">
        <v>2200</v>
      </c>
      <c r="R254" s="178">
        <v>2102.1310809793767</v>
      </c>
      <c r="T254" s="178">
        <v>2119.7342603300549</v>
      </c>
      <c r="AH254" s="175"/>
      <c r="AI254" s="175"/>
    </row>
    <row r="255" spans="1:35" s="178" customFormat="1" x14ac:dyDescent="0.25">
      <c r="A255" s="176">
        <v>4</v>
      </c>
      <c r="B255" s="176"/>
      <c r="C255" s="176">
        <f t="shared" si="16"/>
        <v>48</v>
      </c>
      <c r="D255" s="176">
        <f t="shared" si="17"/>
        <v>43</v>
      </c>
      <c r="E255" s="176">
        <f t="shared" si="18"/>
        <v>16</v>
      </c>
      <c r="F255" s="176" t="str">
        <f t="shared" si="19"/>
        <v>pm</v>
      </c>
      <c r="G255" s="176" t="s">
        <v>808</v>
      </c>
      <c r="H255" s="176" t="s">
        <v>365</v>
      </c>
      <c r="I255" s="176" t="s">
        <v>809</v>
      </c>
      <c r="J255" s="177" t="s">
        <v>21</v>
      </c>
      <c r="K255" s="178">
        <f t="shared" si="20"/>
        <v>2114.1208503761477</v>
      </c>
      <c r="L255" s="176"/>
      <c r="M255" s="178">
        <v>2200</v>
      </c>
      <c r="T255" s="178">
        <v>2114.1208503761477</v>
      </c>
      <c r="AH255" s="175"/>
      <c r="AI255" s="175"/>
    </row>
    <row r="256" spans="1:35" s="178" customFormat="1" x14ac:dyDescent="0.25">
      <c r="A256" s="176">
        <v>6</v>
      </c>
      <c r="B256" s="176"/>
      <c r="C256" s="176">
        <f t="shared" si="16"/>
        <v>49</v>
      </c>
      <c r="D256" s="176">
        <f t="shared" si="17"/>
        <v>43</v>
      </c>
      <c r="E256" s="176">
        <f t="shared" si="18"/>
        <v>16</v>
      </c>
      <c r="F256" s="176" t="str">
        <f t="shared" si="19"/>
        <v>pm</v>
      </c>
      <c r="G256" s="176" t="s">
        <v>196</v>
      </c>
      <c r="H256" s="176" t="s">
        <v>798</v>
      </c>
      <c r="I256" s="176" t="s">
        <v>195</v>
      </c>
      <c r="J256" s="177" t="s">
        <v>21</v>
      </c>
      <c r="K256" s="178">
        <f t="shared" si="20"/>
        <v>2111.6382579341143</v>
      </c>
      <c r="L256" s="176"/>
      <c r="M256" s="178">
        <v>2200</v>
      </c>
      <c r="O256" s="175"/>
      <c r="P256" s="175">
        <v>2122.3031989403148</v>
      </c>
      <c r="Q256" s="175"/>
      <c r="R256" s="175">
        <v>2123.540387847499</v>
      </c>
      <c r="S256" s="175"/>
      <c r="T256" s="175">
        <v>2111.6382579341143</v>
      </c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</row>
    <row r="257" spans="1:35" s="178" customFormat="1" x14ac:dyDescent="0.25">
      <c r="A257" s="176">
        <v>6</v>
      </c>
      <c r="B257" s="176"/>
      <c r="C257" s="176">
        <f t="shared" si="16"/>
        <v>50</v>
      </c>
      <c r="D257" s="176">
        <f t="shared" si="17"/>
        <v>43</v>
      </c>
      <c r="E257" s="176">
        <f t="shared" si="18"/>
        <v>16</v>
      </c>
      <c r="F257" s="176" t="str">
        <f t="shared" si="19"/>
        <v>pm</v>
      </c>
      <c r="G257" s="176" t="s">
        <v>300</v>
      </c>
      <c r="H257" s="176" t="s">
        <v>412</v>
      </c>
      <c r="I257" s="176" t="s">
        <v>299</v>
      </c>
      <c r="J257" s="177" t="s">
        <v>21</v>
      </c>
      <c r="K257" s="178">
        <f t="shared" si="20"/>
        <v>2016.2436789687517</v>
      </c>
      <c r="L257" s="176"/>
      <c r="M257" s="178">
        <v>2200</v>
      </c>
      <c r="R257" s="178">
        <v>2115.980955417655</v>
      </c>
      <c r="T257" s="178">
        <v>2016.2436789687517</v>
      </c>
      <c r="AH257" s="175"/>
      <c r="AI257" s="175"/>
    </row>
    <row r="258" spans="1:35" s="178" customFormat="1" x14ac:dyDescent="0.25">
      <c r="A258" s="176">
        <v>3</v>
      </c>
      <c r="B258" s="176"/>
      <c r="C258" s="176">
        <f t="shared" ref="C258:C305" si="21">IF(E258=E257,C257+1,1)</f>
        <v>1</v>
      </c>
      <c r="D258" s="176">
        <f t="shared" ref="D258:D305" si="22">IF(M258=M257,D257,C258)</f>
        <v>1</v>
      </c>
      <c r="E258" s="176">
        <f t="shared" ref="E258:E305" si="23">10+VALUE(RIGHT(LEFT(G258,3),1))</f>
        <v>17</v>
      </c>
      <c r="F258" s="176" t="str">
        <f t="shared" ref="F258:F305" si="24">RIGHT(G258,2) &amp; IF(A258&lt;2,"x","")</f>
        <v>pm</v>
      </c>
      <c r="G258" s="176" t="s">
        <v>817</v>
      </c>
      <c r="H258" s="176" t="s">
        <v>461</v>
      </c>
      <c r="I258" s="176" t="s">
        <v>818</v>
      </c>
      <c r="J258" s="177" t="s">
        <v>22</v>
      </c>
      <c r="K258" s="178">
        <f t="shared" ref="K258:K305" si="25">LOOKUP(1E+100,M258:AC258)</f>
        <v>3102.4893975941986</v>
      </c>
      <c r="L258" s="176"/>
      <c r="M258" s="178">
        <v>2800</v>
      </c>
      <c r="O258" s="178">
        <v>2973.4736131947657</v>
      </c>
      <c r="S258" s="178">
        <v>3102.4893975941986</v>
      </c>
      <c r="AH258" s="175"/>
      <c r="AI258" s="175"/>
    </row>
    <row r="259" spans="1:35" s="178" customFormat="1" x14ac:dyDescent="0.25">
      <c r="A259" s="176">
        <v>4</v>
      </c>
      <c r="B259" s="176"/>
      <c r="C259" s="176">
        <f t="shared" si="21"/>
        <v>2</v>
      </c>
      <c r="D259" s="176">
        <f t="shared" si="22"/>
        <v>1</v>
      </c>
      <c r="E259" s="176">
        <f t="shared" si="23"/>
        <v>17</v>
      </c>
      <c r="F259" s="176" t="str">
        <f t="shared" si="24"/>
        <v>pm</v>
      </c>
      <c r="G259" s="176" t="s">
        <v>847</v>
      </c>
      <c r="H259" s="176" t="s">
        <v>378</v>
      </c>
      <c r="I259" s="176" t="s">
        <v>848</v>
      </c>
      <c r="J259" s="177" t="s">
        <v>22</v>
      </c>
      <c r="K259" s="178">
        <f t="shared" si="25"/>
        <v>2944.1884179431017</v>
      </c>
      <c r="L259" s="176"/>
      <c r="M259" s="178">
        <v>2800</v>
      </c>
      <c r="O259" s="178">
        <v>2844.5024511436382</v>
      </c>
      <c r="S259" s="178">
        <v>2944.1884179431017</v>
      </c>
      <c r="AH259" s="175"/>
      <c r="AI259" s="175"/>
    </row>
    <row r="260" spans="1:35" s="178" customFormat="1" x14ac:dyDescent="0.25">
      <c r="A260" s="176">
        <v>5</v>
      </c>
      <c r="B260" s="176"/>
      <c r="C260" s="176">
        <f t="shared" si="21"/>
        <v>3</v>
      </c>
      <c r="D260" s="176">
        <f t="shared" si="22"/>
        <v>1</v>
      </c>
      <c r="E260" s="176">
        <f t="shared" si="23"/>
        <v>17</v>
      </c>
      <c r="F260" s="176" t="str">
        <f t="shared" si="24"/>
        <v>pm</v>
      </c>
      <c r="G260" s="176" t="s">
        <v>849</v>
      </c>
      <c r="H260" s="176" t="s">
        <v>392</v>
      </c>
      <c r="I260" s="176" t="s">
        <v>850</v>
      </c>
      <c r="J260" s="177" t="s">
        <v>22</v>
      </c>
      <c r="K260" s="178">
        <f t="shared" si="25"/>
        <v>2897.9672276536103</v>
      </c>
      <c r="L260" s="176"/>
      <c r="M260" s="178">
        <v>2800</v>
      </c>
      <c r="S260" s="178">
        <v>2897.9672276536103</v>
      </c>
      <c r="AH260" s="175"/>
      <c r="AI260" s="175"/>
    </row>
    <row r="261" spans="1:35" s="178" customFormat="1" x14ac:dyDescent="0.25">
      <c r="A261" s="176">
        <v>2</v>
      </c>
      <c r="B261" s="176"/>
      <c r="C261" s="176">
        <f t="shared" si="21"/>
        <v>4</v>
      </c>
      <c r="D261" s="176">
        <f t="shared" si="22"/>
        <v>1</v>
      </c>
      <c r="E261" s="176">
        <f t="shared" si="23"/>
        <v>17</v>
      </c>
      <c r="F261" s="176" t="str">
        <f t="shared" si="24"/>
        <v>pm</v>
      </c>
      <c r="G261" s="176" t="s">
        <v>857</v>
      </c>
      <c r="H261" s="176" t="s">
        <v>375</v>
      </c>
      <c r="I261" s="176" t="s">
        <v>858</v>
      </c>
      <c r="J261" s="177" t="s">
        <v>22</v>
      </c>
      <c r="K261" s="178">
        <f t="shared" si="25"/>
        <v>2885.9737041923854</v>
      </c>
      <c r="L261" s="176"/>
      <c r="M261" s="178">
        <v>2800</v>
      </c>
      <c r="O261" s="178">
        <v>2885.9737041923854</v>
      </c>
      <c r="AH261" s="175"/>
      <c r="AI261" s="175"/>
    </row>
    <row r="262" spans="1:35" s="178" customFormat="1" x14ac:dyDescent="0.25">
      <c r="A262" s="176">
        <v>2</v>
      </c>
      <c r="B262" s="176"/>
      <c r="C262" s="176">
        <f t="shared" si="21"/>
        <v>5</v>
      </c>
      <c r="D262" s="176">
        <f t="shared" si="22"/>
        <v>1</v>
      </c>
      <c r="E262" s="176">
        <f t="shared" si="23"/>
        <v>17</v>
      </c>
      <c r="F262" s="176" t="str">
        <f t="shared" si="24"/>
        <v>pm</v>
      </c>
      <c r="G262" s="176" t="s">
        <v>841</v>
      </c>
      <c r="H262" s="176" t="s">
        <v>387</v>
      </c>
      <c r="I262" s="176" t="s">
        <v>842</v>
      </c>
      <c r="J262" s="177" t="s">
        <v>22</v>
      </c>
      <c r="K262" s="178">
        <f t="shared" si="25"/>
        <v>2866.5369510159803</v>
      </c>
      <c r="L262" s="176"/>
      <c r="M262" s="178">
        <v>2800</v>
      </c>
      <c r="S262" s="178">
        <v>2866.5369510159803</v>
      </c>
      <c r="AH262" s="175"/>
      <c r="AI262" s="175"/>
    </row>
    <row r="263" spans="1:35" s="178" customFormat="1" x14ac:dyDescent="0.25">
      <c r="A263" s="176">
        <v>4</v>
      </c>
      <c r="B263" s="176"/>
      <c r="C263" s="176">
        <f t="shared" si="21"/>
        <v>6</v>
      </c>
      <c r="D263" s="176">
        <f t="shared" si="22"/>
        <v>1</v>
      </c>
      <c r="E263" s="176">
        <f t="shared" si="23"/>
        <v>17</v>
      </c>
      <c r="F263" s="176" t="str">
        <f t="shared" si="24"/>
        <v>pm</v>
      </c>
      <c r="G263" s="176" t="s">
        <v>833</v>
      </c>
      <c r="H263" s="176" t="s">
        <v>783</v>
      </c>
      <c r="I263" s="176" t="s">
        <v>834</v>
      </c>
      <c r="J263" s="177" t="s">
        <v>22</v>
      </c>
      <c r="K263" s="178">
        <f t="shared" si="25"/>
        <v>2863.4119766884087</v>
      </c>
      <c r="L263" s="176"/>
      <c r="M263" s="178">
        <v>2800</v>
      </c>
      <c r="O263" s="178">
        <v>2863.4119766884087</v>
      </c>
      <c r="AH263" s="175"/>
      <c r="AI263" s="175"/>
    </row>
    <row r="264" spans="1:35" s="178" customFormat="1" x14ac:dyDescent="0.25">
      <c r="A264" s="176">
        <v>3</v>
      </c>
      <c r="B264" s="176"/>
      <c r="C264" s="176">
        <f t="shared" si="21"/>
        <v>7</v>
      </c>
      <c r="D264" s="176">
        <f t="shared" si="22"/>
        <v>1</v>
      </c>
      <c r="E264" s="176">
        <f t="shared" si="23"/>
        <v>17</v>
      </c>
      <c r="F264" s="176" t="str">
        <f t="shared" si="24"/>
        <v>pm</v>
      </c>
      <c r="G264" s="176" t="s">
        <v>855</v>
      </c>
      <c r="H264" s="176" t="s">
        <v>694</v>
      </c>
      <c r="I264" s="176" t="s">
        <v>856</v>
      </c>
      <c r="J264" s="177" t="s">
        <v>22</v>
      </c>
      <c r="K264" s="178">
        <f t="shared" si="25"/>
        <v>2845.1085264971489</v>
      </c>
      <c r="L264" s="176"/>
      <c r="M264" s="178">
        <v>2800</v>
      </c>
      <c r="O264" s="178">
        <v>2845.1085264971489</v>
      </c>
      <c r="AH264" s="175"/>
      <c r="AI264" s="175"/>
    </row>
    <row r="265" spans="1:35" s="178" customFormat="1" x14ac:dyDescent="0.25">
      <c r="A265" s="176">
        <v>5</v>
      </c>
      <c r="B265" s="176"/>
      <c r="C265" s="176">
        <f t="shared" si="21"/>
        <v>8</v>
      </c>
      <c r="D265" s="176">
        <f t="shared" si="22"/>
        <v>1</v>
      </c>
      <c r="E265" s="176">
        <f t="shared" si="23"/>
        <v>17</v>
      </c>
      <c r="F265" s="176" t="str">
        <f t="shared" si="24"/>
        <v>pm</v>
      </c>
      <c r="G265" s="176" t="s">
        <v>825</v>
      </c>
      <c r="H265" s="176" t="s">
        <v>401</v>
      </c>
      <c r="I265" s="176" t="s">
        <v>826</v>
      </c>
      <c r="J265" s="177" t="s">
        <v>22</v>
      </c>
      <c r="K265" s="178">
        <f t="shared" si="25"/>
        <v>2829.2198638381028</v>
      </c>
      <c r="L265" s="176"/>
      <c r="M265" s="178">
        <v>2800</v>
      </c>
      <c r="O265" s="178">
        <v>2861.234669416272</v>
      </c>
      <c r="S265" s="178">
        <v>2829.2198638381028</v>
      </c>
      <c r="AH265" s="175"/>
      <c r="AI265" s="175"/>
    </row>
    <row r="266" spans="1:35" s="178" customFormat="1" x14ac:dyDescent="0.25">
      <c r="A266" s="176">
        <v>5</v>
      </c>
      <c r="B266" s="176"/>
      <c r="C266" s="176">
        <f t="shared" si="21"/>
        <v>9</v>
      </c>
      <c r="D266" s="176">
        <f t="shared" si="22"/>
        <v>1</v>
      </c>
      <c r="E266" s="176">
        <f t="shared" si="23"/>
        <v>17</v>
      </c>
      <c r="F266" s="176" t="str">
        <f t="shared" si="24"/>
        <v>pm</v>
      </c>
      <c r="G266" s="176" t="s">
        <v>835</v>
      </c>
      <c r="H266" s="176" t="s">
        <v>783</v>
      </c>
      <c r="I266" s="176" t="s">
        <v>836</v>
      </c>
      <c r="J266" s="177" t="s">
        <v>22</v>
      </c>
      <c r="K266" s="178">
        <f t="shared" si="25"/>
        <v>2821.4378785123886</v>
      </c>
      <c r="L266" s="176"/>
      <c r="M266" s="178">
        <v>2800</v>
      </c>
      <c r="O266" s="178">
        <v>2821.4378785123886</v>
      </c>
      <c r="AH266" s="175"/>
      <c r="AI266" s="175"/>
    </row>
    <row r="267" spans="1:35" s="178" customFormat="1" x14ac:dyDescent="0.25">
      <c r="A267" s="176">
        <v>2</v>
      </c>
      <c r="B267" s="176"/>
      <c r="C267" s="176">
        <f t="shared" si="21"/>
        <v>10</v>
      </c>
      <c r="D267" s="176">
        <f t="shared" si="22"/>
        <v>1</v>
      </c>
      <c r="E267" s="176">
        <f t="shared" si="23"/>
        <v>17</v>
      </c>
      <c r="F267" s="176" t="str">
        <f t="shared" si="24"/>
        <v>pm</v>
      </c>
      <c r="G267" s="176" t="s">
        <v>843</v>
      </c>
      <c r="H267" s="176" t="s">
        <v>387</v>
      </c>
      <c r="I267" s="176" t="s">
        <v>844</v>
      </c>
      <c r="J267" s="177" t="s">
        <v>22</v>
      </c>
      <c r="K267" s="178">
        <f t="shared" si="25"/>
        <v>2815.3029305288383</v>
      </c>
      <c r="L267" s="176"/>
      <c r="M267" s="178">
        <v>2800</v>
      </c>
      <c r="S267" s="178">
        <v>2815.3029305288383</v>
      </c>
      <c r="AH267" s="175"/>
      <c r="AI267" s="175"/>
    </row>
    <row r="268" spans="1:35" s="178" customFormat="1" x14ac:dyDescent="0.25">
      <c r="A268" s="176">
        <v>5</v>
      </c>
      <c r="B268" s="176"/>
      <c r="C268" s="176">
        <f t="shared" si="21"/>
        <v>11</v>
      </c>
      <c r="D268" s="176">
        <f t="shared" si="22"/>
        <v>1</v>
      </c>
      <c r="E268" s="176">
        <f t="shared" si="23"/>
        <v>17</v>
      </c>
      <c r="F268" s="176" t="str">
        <f t="shared" si="24"/>
        <v>pm</v>
      </c>
      <c r="G268" s="176" t="s">
        <v>851</v>
      </c>
      <c r="H268" s="176" t="s">
        <v>392</v>
      </c>
      <c r="I268" s="176" t="s">
        <v>852</v>
      </c>
      <c r="J268" s="177" t="s">
        <v>22</v>
      </c>
      <c r="K268" s="178">
        <f t="shared" si="25"/>
        <v>2808.2840462244581</v>
      </c>
      <c r="L268" s="176"/>
      <c r="M268" s="178">
        <v>2800</v>
      </c>
      <c r="S268" s="178">
        <v>2808.2840462244581</v>
      </c>
      <c r="AH268" s="175"/>
      <c r="AI268" s="175"/>
    </row>
    <row r="269" spans="1:35" s="178" customFormat="1" x14ac:dyDescent="0.25">
      <c r="A269" s="176">
        <v>2</v>
      </c>
      <c r="B269" s="176"/>
      <c r="C269" s="176">
        <f t="shared" si="21"/>
        <v>12</v>
      </c>
      <c r="D269" s="176">
        <f t="shared" si="22"/>
        <v>1</v>
      </c>
      <c r="E269" s="176">
        <f t="shared" si="23"/>
        <v>17</v>
      </c>
      <c r="F269" s="176" t="str">
        <f t="shared" si="24"/>
        <v>pm</v>
      </c>
      <c r="G269" s="176" t="s">
        <v>815</v>
      </c>
      <c r="H269" s="176" t="s">
        <v>362</v>
      </c>
      <c r="I269" s="176" t="s">
        <v>816</v>
      </c>
      <c r="J269" s="177" t="s">
        <v>22</v>
      </c>
      <c r="K269" s="178">
        <f t="shared" si="25"/>
        <v>2800</v>
      </c>
      <c r="L269" s="176"/>
      <c r="M269" s="178">
        <v>2800</v>
      </c>
      <c r="AH269" s="175"/>
      <c r="AI269" s="175"/>
    </row>
    <row r="270" spans="1:35" s="178" customFormat="1" x14ac:dyDescent="0.25">
      <c r="A270" s="176">
        <v>5</v>
      </c>
      <c r="B270" s="176"/>
      <c r="C270" s="176">
        <f t="shared" si="21"/>
        <v>13</v>
      </c>
      <c r="D270" s="176">
        <f t="shared" si="22"/>
        <v>13</v>
      </c>
      <c r="E270" s="176">
        <f t="shared" si="23"/>
        <v>17</v>
      </c>
      <c r="F270" s="176" t="str">
        <f t="shared" si="24"/>
        <v>pm</v>
      </c>
      <c r="G270" s="176" t="s">
        <v>861</v>
      </c>
      <c r="H270" s="176" t="s">
        <v>522</v>
      </c>
      <c r="I270" s="176" t="s">
        <v>862</v>
      </c>
      <c r="J270" s="177" t="s">
        <v>22</v>
      </c>
      <c r="K270" s="178">
        <f t="shared" si="25"/>
        <v>2797.0632037070941</v>
      </c>
      <c r="L270" s="176"/>
      <c r="M270" s="178">
        <v>2720</v>
      </c>
      <c r="O270" s="178">
        <v>2752.8864457613686</v>
      </c>
      <c r="R270" s="178">
        <v>2797.0632037070941</v>
      </c>
      <c r="AH270" s="175"/>
      <c r="AI270" s="175"/>
    </row>
    <row r="271" spans="1:35" s="178" customFormat="1" x14ac:dyDescent="0.25">
      <c r="A271" s="176">
        <v>2</v>
      </c>
      <c r="B271" s="176"/>
      <c r="C271" s="176">
        <f t="shared" si="21"/>
        <v>14</v>
      </c>
      <c r="D271" s="176">
        <f t="shared" si="22"/>
        <v>14</v>
      </c>
      <c r="E271" s="176">
        <f t="shared" si="23"/>
        <v>17</v>
      </c>
      <c r="F271" s="176" t="str">
        <f t="shared" si="24"/>
        <v>pm</v>
      </c>
      <c r="G271" s="176" t="s">
        <v>812</v>
      </c>
      <c r="H271" s="176" t="s">
        <v>813</v>
      </c>
      <c r="I271" s="176" t="s">
        <v>814</v>
      </c>
      <c r="J271" s="177" t="s">
        <v>22</v>
      </c>
      <c r="K271" s="178">
        <f t="shared" si="25"/>
        <v>2779.2387967590221</v>
      </c>
      <c r="L271" s="176"/>
      <c r="M271" s="178">
        <v>2800</v>
      </c>
      <c r="S271" s="178">
        <v>2779.2387967590221</v>
      </c>
      <c r="AH271" s="175"/>
      <c r="AI271" s="175"/>
    </row>
    <row r="272" spans="1:35" s="178" customFormat="1" x14ac:dyDescent="0.25">
      <c r="A272" s="176">
        <v>6</v>
      </c>
      <c r="B272" s="176"/>
      <c r="C272" s="176">
        <f t="shared" si="21"/>
        <v>15</v>
      </c>
      <c r="D272" s="176">
        <f t="shared" si="22"/>
        <v>14</v>
      </c>
      <c r="E272" s="176">
        <f t="shared" si="23"/>
        <v>17</v>
      </c>
      <c r="F272" s="176" t="str">
        <f t="shared" si="24"/>
        <v>pm</v>
      </c>
      <c r="G272" s="176" t="s">
        <v>853</v>
      </c>
      <c r="H272" s="176" t="s">
        <v>528</v>
      </c>
      <c r="I272" s="176" t="s">
        <v>854</v>
      </c>
      <c r="J272" s="177" t="s">
        <v>22</v>
      </c>
      <c r="K272" s="178">
        <f t="shared" si="25"/>
        <v>2776.5669321360288</v>
      </c>
      <c r="L272" s="176"/>
      <c r="M272" s="178">
        <v>2800</v>
      </c>
      <c r="O272" s="178">
        <v>2802.3886420389995</v>
      </c>
      <c r="S272" s="178">
        <v>2776.5669321360288</v>
      </c>
      <c r="AH272" s="175"/>
      <c r="AI272" s="175"/>
    </row>
    <row r="273" spans="1:35" s="178" customFormat="1" x14ac:dyDescent="0.25">
      <c r="A273" s="176">
        <v>2</v>
      </c>
      <c r="B273" s="176"/>
      <c r="C273" s="176">
        <f t="shared" si="21"/>
        <v>16</v>
      </c>
      <c r="D273" s="176">
        <f t="shared" si="22"/>
        <v>16</v>
      </c>
      <c r="E273" s="176">
        <f t="shared" si="23"/>
        <v>17</v>
      </c>
      <c r="F273" s="176" t="str">
        <f t="shared" si="24"/>
        <v>pm</v>
      </c>
      <c r="G273" s="176" t="s">
        <v>863</v>
      </c>
      <c r="H273" s="176" t="s">
        <v>375</v>
      </c>
      <c r="I273" s="176" t="s">
        <v>864</v>
      </c>
      <c r="J273" s="177" t="s">
        <v>22</v>
      </c>
      <c r="K273" s="178">
        <f t="shared" si="25"/>
        <v>2770.5404194699536</v>
      </c>
      <c r="L273" s="176"/>
      <c r="M273" s="178">
        <v>2700</v>
      </c>
      <c r="T273" s="178">
        <v>2770.5404194699536</v>
      </c>
      <c r="AH273" s="175"/>
      <c r="AI273" s="175"/>
    </row>
    <row r="274" spans="1:35" s="178" customFormat="1" x14ac:dyDescent="0.25">
      <c r="A274" s="176">
        <v>6</v>
      </c>
      <c r="B274" s="176"/>
      <c r="C274" s="176">
        <f t="shared" si="21"/>
        <v>17</v>
      </c>
      <c r="D274" s="176">
        <f t="shared" si="22"/>
        <v>17</v>
      </c>
      <c r="E274" s="176">
        <f t="shared" si="23"/>
        <v>17</v>
      </c>
      <c r="F274" s="176" t="str">
        <f t="shared" si="24"/>
        <v>pm</v>
      </c>
      <c r="G274" s="176" t="s">
        <v>859</v>
      </c>
      <c r="H274" s="176" t="s">
        <v>422</v>
      </c>
      <c r="I274" s="176" t="s">
        <v>860</v>
      </c>
      <c r="J274" s="177" t="s">
        <v>22</v>
      </c>
      <c r="K274" s="178">
        <f t="shared" si="25"/>
        <v>2759.5348371771374</v>
      </c>
      <c r="L274" s="176"/>
      <c r="M274" s="178">
        <v>2733.3333333333335</v>
      </c>
      <c r="O274" s="178">
        <v>2732.753895579172</v>
      </c>
      <c r="Q274" s="178">
        <v>2797.9208619773253</v>
      </c>
      <c r="S274" s="178">
        <v>2759.5348371771374</v>
      </c>
      <c r="AH274" s="175"/>
      <c r="AI274" s="175"/>
    </row>
    <row r="275" spans="1:35" s="178" customFormat="1" x14ac:dyDescent="0.25">
      <c r="A275" s="176">
        <v>5</v>
      </c>
      <c r="B275" s="176"/>
      <c r="C275" s="176">
        <f t="shared" si="21"/>
        <v>18</v>
      </c>
      <c r="D275" s="176">
        <f t="shared" si="22"/>
        <v>18</v>
      </c>
      <c r="E275" s="176">
        <f t="shared" si="23"/>
        <v>17</v>
      </c>
      <c r="F275" s="176" t="str">
        <f t="shared" si="24"/>
        <v>pm</v>
      </c>
      <c r="G275" s="176" t="s">
        <v>823</v>
      </c>
      <c r="H275" s="176" t="s">
        <v>400</v>
      </c>
      <c r="I275" s="176" t="s">
        <v>824</v>
      </c>
      <c r="J275" s="177" t="s">
        <v>22</v>
      </c>
      <c r="K275" s="178">
        <f t="shared" si="25"/>
        <v>2754.6049256265082</v>
      </c>
      <c r="L275" s="176"/>
      <c r="M275" s="178">
        <v>2800</v>
      </c>
      <c r="O275" s="178">
        <v>2754.6049256265082</v>
      </c>
      <c r="AH275" s="175"/>
      <c r="AI275" s="175"/>
    </row>
    <row r="276" spans="1:35" s="178" customFormat="1" x14ac:dyDescent="0.25">
      <c r="A276" s="176">
        <v>5</v>
      </c>
      <c r="B276" s="176"/>
      <c r="C276" s="176">
        <f t="shared" si="21"/>
        <v>19</v>
      </c>
      <c r="D276" s="176">
        <f t="shared" si="22"/>
        <v>18</v>
      </c>
      <c r="E276" s="176">
        <f t="shared" si="23"/>
        <v>17</v>
      </c>
      <c r="F276" s="176" t="str">
        <f t="shared" si="24"/>
        <v>pm</v>
      </c>
      <c r="G276" s="176" t="s">
        <v>845</v>
      </c>
      <c r="H276" s="176" t="s">
        <v>384</v>
      </c>
      <c r="I276" s="176" t="s">
        <v>846</v>
      </c>
      <c r="J276" s="177" t="s">
        <v>22</v>
      </c>
      <c r="K276" s="178">
        <f t="shared" si="25"/>
        <v>2737.7307164150166</v>
      </c>
      <c r="L276" s="176"/>
      <c r="M276" s="178">
        <v>2800</v>
      </c>
      <c r="O276" s="178">
        <v>2696.2480007280747</v>
      </c>
      <c r="S276" s="178">
        <v>2737.7307164150166</v>
      </c>
      <c r="AH276" s="175"/>
      <c r="AI276" s="175"/>
    </row>
    <row r="277" spans="1:35" s="178" customFormat="1" x14ac:dyDescent="0.25">
      <c r="A277" s="176">
        <v>7</v>
      </c>
      <c r="B277" s="176"/>
      <c r="C277" s="176">
        <f t="shared" si="21"/>
        <v>20</v>
      </c>
      <c r="D277" s="176">
        <f t="shared" si="22"/>
        <v>18</v>
      </c>
      <c r="E277" s="176">
        <f t="shared" si="23"/>
        <v>17</v>
      </c>
      <c r="F277" s="176" t="str">
        <f t="shared" si="24"/>
        <v>pm</v>
      </c>
      <c r="G277" s="176" t="s">
        <v>839</v>
      </c>
      <c r="H277" s="176" t="s">
        <v>368</v>
      </c>
      <c r="I277" s="176" t="s">
        <v>840</v>
      </c>
      <c r="J277" s="177" t="s">
        <v>22</v>
      </c>
      <c r="K277" s="178">
        <f t="shared" si="25"/>
        <v>2693.8652056318556</v>
      </c>
      <c r="L277" s="176"/>
      <c r="M277" s="178">
        <v>2800</v>
      </c>
      <c r="O277" s="178">
        <v>2784.6569942953811</v>
      </c>
      <c r="Q277" s="178">
        <v>2775.1107645117636</v>
      </c>
      <c r="S277" s="178">
        <v>2693.8652056318556</v>
      </c>
      <c r="AH277" s="175"/>
      <c r="AI277" s="175"/>
    </row>
    <row r="278" spans="1:35" s="178" customFormat="1" x14ac:dyDescent="0.25">
      <c r="A278" s="176">
        <v>6</v>
      </c>
      <c r="B278" s="176"/>
      <c r="C278" s="176">
        <f t="shared" si="21"/>
        <v>21</v>
      </c>
      <c r="D278" s="176">
        <f t="shared" si="22"/>
        <v>18</v>
      </c>
      <c r="E278" s="176">
        <f t="shared" si="23"/>
        <v>17</v>
      </c>
      <c r="F278" s="176" t="str">
        <f t="shared" si="24"/>
        <v>pm</v>
      </c>
      <c r="G278" s="176" t="s">
        <v>827</v>
      </c>
      <c r="H278" s="176" t="s">
        <v>402</v>
      </c>
      <c r="I278" s="176" t="s">
        <v>828</v>
      </c>
      <c r="J278" s="177" t="s">
        <v>22</v>
      </c>
      <c r="K278" s="178">
        <f t="shared" si="25"/>
        <v>2622.3374001433344</v>
      </c>
      <c r="L278" s="176"/>
      <c r="M278" s="178">
        <v>2800</v>
      </c>
      <c r="Q278" s="178">
        <v>2706.2787039991958</v>
      </c>
      <c r="S278" s="178">
        <v>2622.3374001433344</v>
      </c>
      <c r="AH278" s="175"/>
      <c r="AI278" s="175"/>
    </row>
    <row r="279" spans="1:35" s="178" customFormat="1" x14ac:dyDescent="0.25">
      <c r="A279" s="176">
        <v>6</v>
      </c>
      <c r="B279" s="176"/>
      <c r="C279" s="176">
        <f t="shared" si="21"/>
        <v>22</v>
      </c>
      <c r="D279" s="176">
        <f t="shared" si="22"/>
        <v>18</v>
      </c>
      <c r="E279" s="176">
        <f t="shared" si="23"/>
        <v>17</v>
      </c>
      <c r="F279" s="176" t="str">
        <f t="shared" si="24"/>
        <v>pm</v>
      </c>
      <c r="G279" s="176" t="s">
        <v>837</v>
      </c>
      <c r="H279" s="176" t="s">
        <v>412</v>
      </c>
      <c r="I279" s="176" t="s">
        <v>838</v>
      </c>
      <c r="J279" s="177" t="s">
        <v>22</v>
      </c>
      <c r="K279" s="178">
        <f t="shared" si="25"/>
        <v>2583.0048160921388</v>
      </c>
      <c r="L279" s="176"/>
      <c r="M279" s="178">
        <v>2800</v>
      </c>
      <c r="Q279" s="178">
        <v>2662.8923313239829</v>
      </c>
      <c r="S279" s="178">
        <v>2583.0048160921388</v>
      </c>
      <c r="AH279" s="175"/>
      <c r="AI279" s="175"/>
    </row>
    <row r="280" spans="1:35" s="178" customFormat="1" x14ac:dyDescent="0.25">
      <c r="A280" s="176">
        <v>3</v>
      </c>
      <c r="B280" s="176"/>
      <c r="C280" s="176">
        <f t="shared" si="21"/>
        <v>23</v>
      </c>
      <c r="D280" s="176">
        <f t="shared" si="22"/>
        <v>23</v>
      </c>
      <c r="E280" s="176">
        <f t="shared" si="23"/>
        <v>17</v>
      </c>
      <c r="F280" s="176" t="str">
        <f t="shared" si="24"/>
        <v>pm</v>
      </c>
      <c r="G280" s="176" t="s">
        <v>865</v>
      </c>
      <c r="H280" s="176" t="s">
        <v>612</v>
      </c>
      <c r="I280" s="176" t="s">
        <v>866</v>
      </c>
      <c r="J280" s="177" t="s">
        <v>21</v>
      </c>
      <c r="K280" s="178">
        <f t="shared" si="25"/>
        <v>2447.0319715664677</v>
      </c>
      <c r="L280" s="176"/>
      <c r="M280" s="178">
        <v>2400</v>
      </c>
      <c r="O280" s="175"/>
      <c r="P280" s="175">
        <v>2541.3291547953268</v>
      </c>
      <c r="Q280" s="175"/>
      <c r="R280" s="175">
        <v>2447.0319715664677</v>
      </c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</row>
    <row r="281" spans="1:35" s="178" customFormat="1" x14ac:dyDescent="0.25">
      <c r="A281" s="176">
        <v>3</v>
      </c>
      <c r="B281" s="176"/>
      <c r="C281" s="176">
        <f t="shared" si="21"/>
        <v>24</v>
      </c>
      <c r="D281" s="176">
        <f t="shared" si="22"/>
        <v>23</v>
      </c>
      <c r="E281" s="176">
        <f t="shared" si="23"/>
        <v>17</v>
      </c>
      <c r="F281" s="176" t="str">
        <f t="shared" si="24"/>
        <v>pm</v>
      </c>
      <c r="G281" s="176" t="s">
        <v>867</v>
      </c>
      <c r="H281" s="176" t="s">
        <v>406</v>
      </c>
      <c r="I281" s="176" t="s">
        <v>868</v>
      </c>
      <c r="J281" s="177" t="s">
        <v>21</v>
      </c>
      <c r="K281" s="178">
        <f t="shared" si="25"/>
        <v>2438.5335285909896</v>
      </c>
      <c r="L281" s="176"/>
      <c r="M281" s="178">
        <v>2400</v>
      </c>
      <c r="P281" s="178">
        <v>2438.5335285909896</v>
      </c>
      <c r="AH281" s="175"/>
      <c r="AI281" s="175"/>
    </row>
    <row r="282" spans="1:35" s="178" customFormat="1" x14ac:dyDescent="0.25">
      <c r="A282" s="176">
        <v>5</v>
      </c>
      <c r="B282" s="176"/>
      <c r="C282" s="176">
        <f t="shared" si="21"/>
        <v>25</v>
      </c>
      <c r="D282" s="176">
        <f t="shared" si="22"/>
        <v>23</v>
      </c>
      <c r="E282" s="176">
        <f t="shared" si="23"/>
        <v>17</v>
      </c>
      <c r="F282" s="176" t="str">
        <f t="shared" si="24"/>
        <v>pm</v>
      </c>
      <c r="G282" s="176" t="s">
        <v>326</v>
      </c>
      <c r="H282" s="176" t="s">
        <v>637</v>
      </c>
      <c r="I282" s="176" t="s">
        <v>325</v>
      </c>
      <c r="J282" s="177" t="s">
        <v>21</v>
      </c>
      <c r="K282" s="178">
        <f t="shared" si="25"/>
        <v>2385.4518972414598</v>
      </c>
      <c r="L282" s="176"/>
      <c r="M282" s="178">
        <v>2400</v>
      </c>
      <c r="O282" s="175"/>
      <c r="P282" s="175">
        <v>2525.1096133091269</v>
      </c>
      <c r="Q282" s="175"/>
      <c r="R282" s="175"/>
      <c r="S282" s="175"/>
      <c r="T282" s="175">
        <v>2385.4518972414598</v>
      </c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</row>
    <row r="283" spans="1:35" s="178" customFormat="1" x14ac:dyDescent="0.25">
      <c r="A283" s="176">
        <v>6</v>
      </c>
      <c r="B283" s="176"/>
      <c r="C283" s="176">
        <f t="shared" si="21"/>
        <v>26</v>
      </c>
      <c r="D283" s="176">
        <f t="shared" si="22"/>
        <v>23</v>
      </c>
      <c r="E283" s="176">
        <f t="shared" si="23"/>
        <v>17</v>
      </c>
      <c r="F283" s="176" t="str">
        <f t="shared" si="24"/>
        <v>pm</v>
      </c>
      <c r="G283" s="176" t="s">
        <v>329</v>
      </c>
      <c r="H283" s="176" t="s">
        <v>392</v>
      </c>
      <c r="I283" s="176" t="s">
        <v>328</v>
      </c>
      <c r="J283" s="177" t="s">
        <v>21</v>
      </c>
      <c r="K283" s="178">
        <f t="shared" si="25"/>
        <v>2383.1397139572923</v>
      </c>
      <c r="L283" s="176"/>
      <c r="M283" s="178">
        <v>2400</v>
      </c>
      <c r="R283" s="178">
        <v>2397.9058130222679</v>
      </c>
      <c r="T283" s="178">
        <v>2383.1397139572923</v>
      </c>
      <c r="AH283" s="175"/>
      <c r="AI283" s="175"/>
    </row>
    <row r="284" spans="1:35" s="178" customFormat="1" x14ac:dyDescent="0.25">
      <c r="A284" s="176">
        <v>4</v>
      </c>
      <c r="B284" s="176"/>
      <c r="C284" s="176">
        <f t="shared" si="21"/>
        <v>27</v>
      </c>
      <c r="D284" s="176">
        <f t="shared" si="22"/>
        <v>23</v>
      </c>
      <c r="E284" s="176">
        <f t="shared" si="23"/>
        <v>17</v>
      </c>
      <c r="F284" s="176" t="str">
        <f t="shared" si="24"/>
        <v>pm</v>
      </c>
      <c r="G284" s="176" t="s">
        <v>331</v>
      </c>
      <c r="H284" s="176" t="s">
        <v>393</v>
      </c>
      <c r="I284" s="176" t="s">
        <v>330</v>
      </c>
      <c r="J284" s="177" t="s">
        <v>21</v>
      </c>
      <c r="K284" s="178">
        <f t="shared" si="25"/>
        <v>2331.6658262868896</v>
      </c>
      <c r="L284" s="176"/>
      <c r="M284" s="178">
        <v>2400</v>
      </c>
      <c r="O284" s="175"/>
      <c r="P284" s="175"/>
      <c r="Q284" s="175"/>
      <c r="R284" s="175">
        <v>2344.6275487157213</v>
      </c>
      <c r="S284" s="175"/>
      <c r="T284" s="175">
        <v>2331.6658262868896</v>
      </c>
      <c r="U284" s="175"/>
      <c r="V284" s="175"/>
      <c r="W284" s="175"/>
      <c r="X284" s="175"/>
      <c r="Y284" s="175"/>
      <c r="Z284" s="175"/>
      <c r="AA284" s="175"/>
      <c r="AB284" s="175"/>
      <c r="AC284" s="175"/>
      <c r="AH284" s="175"/>
      <c r="AI284" s="175"/>
    </row>
    <row r="285" spans="1:35" s="178" customFormat="1" x14ac:dyDescent="0.25">
      <c r="A285" s="176">
        <v>7</v>
      </c>
      <c r="B285" s="176"/>
      <c r="C285" s="176">
        <f t="shared" si="21"/>
        <v>28</v>
      </c>
      <c r="D285" s="176">
        <f t="shared" si="22"/>
        <v>23</v>
      </c>
      <c r="E285" s="176">
        <f t="shared" si="23"/>
        <v>17</v>
      </c>
      <c r="F285" s="176" t="str">
        <f t="shared" si="24"/>
        <v>pm</v>
      </c>
      <c r="G285" s="176" t="s">
        <v>333</v>
      </c>
      <c r="H285" s="176" t="s">
        <v>401</v>
      </c>
      <c r="I285" s="176" t="s">
        <v>332</v>
      </c>
      <c r="J285" s="177" t="s">
        <v>21</v>
      </c>
      <c r="K285" s="178">
        <f t="shared" si="25"/>
        <v>2303.7318480220224</v>
      </c>
      <c r="L285" s="176"/>
      <c r="M285" s="178">
        <v>2400</v>
      </c>
      <c r="P285" s="178">
        <v>2416.330453389638</v>
      </c>
      <c r="R285" s="178">
        <v>2338.5089997355412</v>
      </c>
      <c r="T285" s="178">
        <v>2303.7318480220224</v>
      </c>
      <c r="AH285" s="175"/>
      <c r="AI285" s="175"/>
    </row>
    <row r="286" spans="1:35" s="178" customFormat="1" x14ac:dyDescent="0.25">
      <c r="A286" s="176">
        <v>5</v>
      </c>
      <c r="B286" s="176"/>
      <c r="C286" s="176">
        <f t="shared" si="21"/>
        <v>29</v>
      </c>
      <c r="D286" s="176">
        <f t="shared" si="22"/>
        <v>23</v>
      </c>
      <c r="E286" s="176">
        <f t="shared" si="23"/>
        <v>17</v>
      </c>
      <c r="F286" s="176" t="str">
        <f t="shared" si="24"/>
        <v>pm</v>
      </c>
      <c r="G286" s="176" t="s">
        <v>869</v>
      </c>
      <c r="H286" s="176" t="s">
        <v>528</v>
      </c>
      <c r="I286" s="176" t="s">
        <v>870</v>
      </c>
      <c r="J286" s="177" t="s">
        <v>21</v>
      </c>
      <c r="K286" s="178">
        <f t="shared" si="25"/>
        <v>2249.8790654342693</v>
      </c>
      <c r="L286" s="176"/>
      <c r="M286" s="178">
        <v>2400</v>
      </c>
      <c r="R286" s="178">
        <v>2337.7028474617719</v>
      </c>
      <c r="T286" s="178">
        <v>2249.8790654342693</v>
      </c>
      <c r="AH286" s="175"/>
      <c r="AI286" s="175"/>
    </row>
    <row r="287" spans="1:35" s="178" customFormat="1" x14ac:dyDescent="0.25">
      <c r="A287" s="176">
        <v>3</v>
      </c>
      <c r="B287" s="176"/>
      <c r="C287" s="176">
        <f t="shared" si="21"/>
        <v>1</v>
      </c>
      <c r="D287" s="176">
        <f t="shared" si="22"/>
        <v>1</v>
      </c>
      <c r="E287" s="176">
        <f t="shared" si="23"/>
        <v>18</v>
      </c>
      <c r="F287" s="176" t="str">
        <f t="shared" si="24"/>
        <v>pm</v>
      </c>
      <c r="G287" s="176" t="s">
        <v>902</v>
      </c>
      <c r="H287" s="176" t="s">
        <v>694</v>
      </c>
      <c r="I287" s="176" t="s">
        <v>903</v>
      </c>
      <c r="J287" s="177" t="s">
        <v>22</v>
      </c>
      <c r="K287" s="178">
        <f t="shared" si="25"/>
        <v>3073.5430014703875</v>
      </c>
      <c r="L287" s="176"/>
      <c r="M287" s="178">
        <v>3000</v>
      </c>
      <c r="O287" s="178">
        <v>3073.5430014703875</v>
      </c>
      <c r="AH287" s="175"/>
      <c r="AI287" s="175"/>
    </row>
    <row r="288" spans="1:35" s="178" customFormat="1" x14ac:dyDescent="0.25">
      <c r="A288" s="176">
        <v>4</v>
      </c>
      <c r="B288" s="176"/>
      <c r="C288" s="176">
        <f t="shared" si="21"/>
        <v>2</v>
      </c>
      <c r="D288" s="176">
        <f t="shared" si="22"/>
        <v>1</v>
      </c>
      <c r="E288" s="176">
        <f t="shared" si="23"/>
        <v>18</v>
      </c>
      <c r="F288" s="176" t="str">
        <f t="shared" si="24"/>
        <v>pm</v>
      </c>
      <c r="G288" s="176" t="s">
        <v>885</v>
      </c>
      <c r="H288" s="176" t="s">
        <v>886</v>
      </c>
      <c r="I288" s="176" t="s">
        <v>887</v>
      </c>
      <c r="J288" s="177" t="s">
        <v>22</v>
      </c>
      <c r="K288" s="178">
        <f t="shared" si="25"/>
        <v>3032.3841640874152</v>
      </c>
      <c r="L288" s="176"/>
      <c r="M288" s="178">
        <v>3000</v>
      </c>
      <c r="O288" s="178">
        <v>3032.3841640874152</v>
      </c>
      <c r="AH288" s="175"/>
      <c r="AI288" s="175"/>
    </row>
    <row r="289" spans="1:35" s="178" customFormat="1" x14ac:dyDescent="0.25">
      <c r="A289" s="176">
        <v>2</v>
      </c>
      <c r="B289" s="176"/>
      <c r="C289" s="176">
        <f t="shared" si="21"/>
        <v>3</v>
      </c>
      <c r="D289" s="176">
        <f t="shared" si="22"/>
        <v>1</v>
      </c>
      <c r="E289" s="176">
        <f t="shared" si="23"/>
        <v>18</v>
      </c>
      <c r="F289" s="176" t="str">
        <f t="shared" si="24"/>
        <v>pm</v>
      </c>
      <c r="G289" s="176" t="s">
        <v>892</v>
      </c>
      <c r="H289" s="176" t="s">
        <v>387</v>
      </c>
      <c r="I289" s="176" t="s">
        <v>893</v>
      </c>
      <c r="J289" s="177" t="s">
        <v>22</v>
      </c>
      <c r="K289" s="178">
        <f t="shared" si="25"/>
        <v>3000</v>
      </c>
      <c r="L289" s="176"/>
      <c r="M289" s="178">
        <v>3000</v>
      </c>
      <c r="AH289" s="175"/>
      <c r="AI289" s="175"/>
    </row>
    <row r="290" spans="1:35" s="178" customFormat="1" x14ac:dyDescent="0.25">
      <c r="A290" s="176">
        <v>7</v>
      </c>
      <c r="B290" s="176"/>
      <c r="C290" s="176">
        <f t="shared" si="21"/>
        <v>4</v>
      </c>
      <c r="D290" s="176">
        <f t="shared" si="22"/>
        <v>1</v>
      </c>
      <c r="E290" s="176">
        <f t="shared" si="23"/>
        <v>18</v>
      </c>
      <c r="F290" s="176" t="str">
        <f t="shared" si="24"/>
        <v>pm</v>
      </c>
      <c r="G290" s="176" t="s">
        <v>888</v>
      </c>
      <c r="H290" s="176" t="s">
        <v>368</v>
      </c>
      <c r="I290" s="176" t="s">
        <v>889</v>
      </c>
      <c r="J290" s="177" t="s">
        <v>22</v>
      </c>
      <c r="K290" s="178">
        <f t="shared" si="25"/>
        <v>2955.2831566080927</v>
      </c>
      <c r="L290" s="176"/>
      <c r="M290" s="178">
        <v>3000</v>
      </c>
      <c r="O290" s="178">
        <v>2961.5530975568113</v>
      </c>
      <c r="Q290" s="178">
        <v>3046.1529835455331</v>
      </c>
      <c r="S290" s="178">
        <v>2955.2831566080927</v>
      </c>
      <c r="AH290" s="175"/>
      <c r="AI290" s="175"/>
    </row>
    <row r="291" spans="1:35" s="178" customFormat="1" x14ac:dyDescent="0.25">
      <c r="A291" s="176">
        <v>3</v>
      </c>
      <c r="B291" s="176"/>
      <c r="C291" s="176">
        <f t="shared" si="21"/>
        <v>5</v>
      </c>
      <c r="D291" s="176">
        <f t="shared" si="22"/>
        <v>1</v>
      </c>
      <c r="E291" s="176">
        <f t="shared" si="23"/>
        <v>18</v>
      </c>
      <c r="F291" s="176" t="str">
        <f t="shared" si="24"/>
        <v>pm</v>
      </c>
      <c r="G291" s="176" t="s">
        <v>894</v>
      </c>
      <c r="H291" s="176" t="s">
        <v>387</v>
      </c>
      <c r="I291" s="176" t="s">
        <v>895</v>
      </c>
      <c r="J291" s="177" t="s">
        <v>22</v>
      </c>
      <c r="K291" s="178">
        <f t="shared" si="25"/>
        <v>2951.9748898787816</v>
      </c>
      <c r="L291" s="176"/>
      <c r="M291" s="178">
        <v>3000</v>
      </c>
      <c r="S291" s="178">
        <v>2951.9748898787816</v>
      </c>
      <c r="AH291" s="175"/>
      <c r="AI291" s="175"/>
    </row>
    <row r="292" spans="1:35" s="178" customFormat="1" x14ac:dyDescent="0.25">
      <c r="A292" s="176">
        <v>2</v>
      </c>
      <c r="B292" s="176"/>
      <c r="C292" s="176">
        <f t="shared" si="21"/>
        <v>6</v>
      </c>
      <c r="D292" s="176">
        <f t="shared" si="22"/>
        <v>1</v>
      </c>
      <c r="E292" s="176">
        <f t="shared" si="23"/>
        <v>18</v>
      </c>
      <c r="F292" s="176" t="str">
        <f t="shared" si="24"/>
        <v>pm</v>
      </c>
      <c r="G292" s="176" t="s">
        <v>879</v>
      </c>
      <c r="H292" s="176" t="s">
        <v>355</v>
      </c>
      <c r="I292" s="176" t="s">
        <v>880</v>
      </c>
      <c r="J292" s="177" t="s">
        <v>22</v>
      </c>
      <c r="K292" s="178">
        <f t="shared" si="25"/>
        <v>2948.6084253075928</v>
      </c>
      <c r="L292" s="176"/>
      <c r="M292" s="178">
        <v>3000</v>
      </c>
      <c r="O292" s="178">
        <v>2948.6084253075928</v>
      </c>
      <c r="AH292" s="175"/>
      <c r="AI292" s="175"/>
    </row>
    <row r="293" spans="1:35" s="178" customFormat="1" x14ac:dyDescent="0.25">
      <c r="A293" s="176">
        <v>2</v>
      </c>
      <c r="B293" s="176"/>
      <c r="C293" s="176">
        <f t="shared" si="21"/>
        <v>7</v>
      </c>
      <c r="D293" s="176">
        <f t="shared" si="22"/>
        <v>1</v>
      </c>
      <c r="E293" s="176">
        <f t="shared" si="23"/>
        <v>18</v>
      </c>
      <c r="F293" s="176" t="str">
        <f t="shared" si="24"/>
        <v>pm</v>
      </c>
      <c r="G293" s="176" t="s">
        <v>890</v>
      </c>
      <c r="H293" s="176" t="s">
        <v>567</v>
      </c>
      <c r="I293" s="176" t="s">
        <v>891</v>
      </c>
      <c r="J293" s="177" t="s">
        <v>22</v>
      </c>
      <c r="K293" s="178">
        <f t="shared" si="25"/>
        <v>2935.1707127088944</v>
      </c>
      <c r="L293" s="176"/>
      <c r="M293" s="178">
        <v>3000</v>
      </c>
      <c r="O293" s="178">
        <v>2935.1707127088944</v>
      </c>
      <c r="AH293" s="175"/>
      <c r="AI293" s="175"/>
    </row>
    <row r="294" spans="1:35" s="178" customFormat="1" x14ac:dyDescent="0.25">
      <c r="A294" s="176">
        <v>2</v>
      </c>
      <c r="B294" s="176"/>
      <c r="C294" s="176">
        <f t="shared" si="21"/>
        <v>8</v>
      </c>
      <c r="D294" s="176">
        <f t="shared" si="22"/>
        <v>1</v>
      </c>
      <c r="E294" s="176">
        <f t="shared" si="23"/>
        <v>18</v>
      </c>
      <c r="F294" s="176" t="str">
        <f t="shared" si="24"/>
        <v>pm</v>
      </c>
      <c r="G294" s="176" t="s">
        <v>875</v>
      </c>
      <c r="H294" s="176" t="s">
        <v>461</v>
      </c>
      <c r="I294" s="176" t="s">
        <v>876</v>
      </c>
      <c r="J294" s="177" t="s">
        <v>22</v>
      </c>
      <c r="K294" s="178">
        <f t="shared" si="25"/>
        <v>2931.3411210443674</v>
      </c>
      <c r="L294" s="176"/>
      <c r="M294" s="178">
        <v>3000</v>
      </c>
      <c r="O294" s="178">
        <v>2931.3411210443674</v>
      </c>
      <c r="AH294" s="175"/>
      <c r="AI294" s="175"/>
    </row>
    <row r="295" spans="1:35" s="178" customFormat="1" x14ac:dyDescent="0.25">
      <c r="A295" s="176">
        <v>5</v>
      </c>
      <c r="B295" s="176"/>
      <c r="C295" s="176">
        <f t="shared" si="21"/>
        <v>9</v>
      </c>
      <c r="D295" s="176">
        <f t="shared" si="22"/>
        <v>1</v>
      </c>
      <c r="E295" s="176">
        <f t="shared" si="23"/>
        <v>18</v>
      </c>
      <c r="F295" s="176" t="str">
        <f t="shared" si="24"/>
        <v>pm</v>
      </c>
      <c r="G295" s="176" t="s">
        <v>883</v>
      </c>
      <c r="H295" s="176" t="s">
        <v>783</v>
      </c>
      <c r="I295" s="176" t="s">
        <v>884</v>
      </c>
      <c r="J295" s="177" t="s">
        <v>22</v>
      </c>
      <c r="K295" s="178">
        <f t="shared" si="25"/>
        <v>2926.6317320617309</v>
      </c>
      <c r="L295" s="176"/>
      <c r="M295" s="178">
        <v>3000</v>
      </c>
      <c r="O295" s="178">
        <v>2926.6317320617309</v>
      </c>
      <c r="AH295" s="175"/>
      <c r="AI295" s="175"/>
    </row>
    <row r="296" spans="1:35" s="178" customFormat="1" x14ac:dyDescent="0.25">
      <c r="A296" s="176">
        <v>3</v>
      </c>
      <c r="B296" s="176"/>
      <c r="C296" s="176">
        <f t="shared" si="21"/>
        <v>10</v>
      </c>
      <c r="D296" s="176">
        <f t="shared" si="22"/>
        <v>10</v>
      </c>
      <c r="E296" s="176">
        <f t="shared" si="23"/>
        <v>18</v>
      </c>
      <c r="F296" s="176" t="str">
        <f t="shared" si="24"/>
        <v>pm</v>
      </c>
      <c r="G296" s="176" t="s">
        <v>908</v>
      </c>
      <c r="H296" s="176" t="s">
        <v>515</v>
      </c>
      <c r="I296" s="176" t="s">
        <v>909</v>
      </c>
      <c r="J296" s="177" t="s">
        <v>22</v>
      </c>
      <c r="K296" s="178">
        <f t="shared" si="25"/>
        <v>2909.4290210334657</v>
      </c>
      <c r="L296" s="176"/>
      <c r="M296" s="178">
        <v>2866.6666666666665</v>
      </c>
      <c r="Q296" s="178">
        <v>2901.9683293212579</v>
      </c>
      <c r="R296" s="178">
        <v>2909.4290210334657</v>
      </c>
      <c r="AH296" s="175"/>
      <c r="AI296" s="175"/>
    </row>
    <row r="297" spans="1:35" s="178" customFormat="1" x14ac:dyDescent="0.25">
      <c r="A297" s="176">
        <v>2</v>
      </c>
      <c r="B297" s="176"/>
      <c r="C297" s="176">
        <f t="shared" si="21"/>
        <v>11</v>
      </c>
      <c r="D297" s="176">
        <f t="shared" si="22"/>
        <v>11</v>
      </c>
      <c r="E297" s="176">
        <f t="shared" si="23"/>
        <v>18</v>
      </c>
      <c r="F297" s="176" t="str">
        <f t="shared" si="24"/>
        <v>pm</v>
      </c>
      <c r="G297" s="176" t="s">
        <v>896</v>
      </c>
      <c r="H297" s="176" t="s">
        <v>454</v>
      </c>
      <c r="I297" s="176" t="s">
        <v>897</v>
      </c>
      <c r="J297" s="177" t="s">
        <v>22</v>
      </c>
      <c r="K297" s="178">
        <f t="shared" si="25"/>
        <v>2883.1952269491931</v>
      </c>
      <c r="L297" s="176"/>
      <c r="M297" s="178">
        <v>3000</v>
      </c>
      <c r="O297" s="178">
        <v>2883.1952269491931</v>
      </c>
      <c r="AH297" s="175"/>
      <c r="AI297" s="175"/>
    </row>
    <row r="298" spans="1:35" s="178" customFormat="1" x14ac:dyDescent="0.25">
      <c r="A298" s="176">
        <v>5</v>
      </c>
      <c r="B298" s="176"/>
      <c r="C298" s="176">
        <f t="shared" si="21"/>
        <v>12</v>
      </c>
      <c r="D298" s="176">
        <f t="shared" si="22"/>
        <v>12</v>
      </c>
      <c r="E298" s="176">
        <f t="shared" si="23"/>
        <v>18</v>
      </c>
      <c r="F298" s="176" t="str">
        <f t="shared" si="24"/>
        <v>pm</v>
      </c>
      <c r="G298" s="176" t="s">
        <v>906</v>
      </c>
      <c r="H298" s="176" t="s">
        <v>392</v>
      </c>
      <c r="I298" s="176" t="s">
        <v>907</v>
      </c>
      <c r="J298" s="177" t="s">
        <v>22</v>
      </c>
      <c r="K298" s="178">
        <f t="shared" si="25"/>
        <v>2856.7353094689088</v>
      </c>
      <c r="L298" s="176"/>
      <c r="M298" s="178">
        <v>2920</v>
      </c>
      <c r="T298" s="178">
        <v>2856.7353094689088</v>
      </c>
      <c r="AH298" s="175"/>
      <c r="AI298" s="175"/>
    </row>
    <row r="299" spans="1:35" s="178" customFormat="1" x14ac:dyDescent="0.25">
      <c r="A299" s="176">
        <v>3</v>
      </c>
      <c r="B299" s="176"/>
      <c r="C299" s="176">
        <f t="shared" si="21"/>
        <v>13</v>
      </c>
      <c r="D299" s="176">
        <f t="shared" si="22"/>
        <v>13</v>
      </c>
      <c r="E299" s="176">
        <f t="shared" si="23"/>
        <v>18</v>
      </c>
      <c r="F299" s="176" t="str">
        <f t="shared" si="24"/>
        <v>pm</v>
      </c>
      <c r="G299" s="176" t="s">
        <v>904</v>
      </c>
      <c r="H299" s="176" t="s">
        <v>694</v>
      </c>
      <c r="I299" s="176" t="s">
        <v>905</v>
      </c>
      <c r="J299" s="177" t="s">
        <v>22</v>
      </c>
      <c r="K299" s="178">
        <f t="shared" si="25"/>
        <v>2827.8864358589581</v>
      </c>
      <c r="L299" s="176"/>
      <c r="M299" s="178">
        <v>3000</v>
      </c>
      <c r="O299" s="178">
        <v>2827.8864358589581</v>
      </c>
      <c r="AH299" s="175"/>
      <c r="AI299" s="175"/>
    </row>
    <row r="300" spans="1:35" s="178" customFormat="1" x14ac:dyDescent="0.25">
      <c r="A300" s="176">
        <v>2</v>
      </c>
      <c r="B300" s="176"/>
      <c r="C300" s="176">
        <f t="shared" si="21"/>
        <v>14</v>
      </c>
      <c r="D300" s="176">
        <f t="shared" si="22"/>
        <v>14</v>
      </c>
      <c r="E300" s="176">
        <f t="shared" si="23"/>
        <v>18</v>
      </c>
      <c r="F300" s="176" t="str">
        <f t="shared" si="24"/>
        <v>pm</v>
      </c>
      <c r="G300" s="176" t="s">
        <v>910</v>
      </c>
      <c r="H300" s="176" t="s">
        <v>614</v>
      </c>
      <c r="I300" s="176" t="s">
        <v>911</v>
      </c>
      <c r="J300" s="177" t="s">
        <v>22</v>
      </c>
      <c r="K300" s="178">
        <f t="shared" si="25"/>
        <v>2800</v>
      </c>
      <c r="L300" s="176"/>
      <c r="M300" s="178">
        <v>2800</v>
      </c>
      <c r="AH300" s="175"/>
      <c r="AI300" s="175"/>
    </row>
    <row r="301" spans="1:35" s="178" customFormat="1" x14ac:dyDescent="0.25">
      <c r="A301" s="176">
        <v>6</v>
      </c>
      <c r="B301" s="176"/>
      <c r="C301" s="176">
        <f t="shared" si="21"/>
        <v>15</v>
      </c>
      <c r="D301" s="176">
        <f t="shared" si="22"/>
        <v>15</v>
      </c>
      <c r="E301" s="176">
        <f t="shared" si="23"/>
        <v>18</v>
      </c>
      <c r="F301" s="176" t="str">
        <f t="shared" si="24"/>
        <v>pm</v>
      </c>
      <c r="G301" s="176" t="s">
        <v>914</v>
      </c>
      <c r="H301" s="176" t="s">
        <v>798</v>
      </c>
      <c r="I301" s="176" t="s">
        <v>915</v>
      </c>
      <c r="J301" s="177" t="s">
        <v>21</v>
      </c>
      <c r="K301" s="178">
        <f t="shared" si="25"/>
        <v>2553.4369337621843</v>
      </c>
      <c r="L301" s="176"/>
      <c r="M301" s="178">
        <v>2600</v>
      </c>
      <c r="O301" s="175"/>
      <c r="P301" s="175">
        <v>2574.5250405208717</v>
      </c>
      <c r="Q301" s="175"/>
      <c r="R301" s="175">
        <v>2596.2496974466353</v>
      </c>
      <c r="S301" s="175"/>
      <c r="T301" s="175">
        <v>2553.4369337621843</v>
      </c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</row>
    <row r="302" spans="1:35" s="178" customFormat="1" x14ac:dyDescent="0.25">
      <c r="A302" s="176">
        <v>4</v>
      </c>
      <c r="B302" s="176"/>
      <c r="C302" s="176">
        <f t="shared" si="21"/>
        <v>16</v>
      </c>
      <c r="D302" s="176">
        <f t="shared" si="22"/>
        <v>15</v>
      </c>
      <c r="E302" s="176">
        <f t="shared" si="23"/>
        <v>18</v>
      </c>
      <c r="F302" s="176" t="str">
        <f t="shared" si="24"/>
        <v>pm</v>
      </c>
      <c r="G302" s="176" t="s">
        <v>922</v>
      </c>
      <c r="H302" s="176" t="s">
        <v>715</v>
      </c>
      <c r="I302" s="176" t="s">
        <v>923</v>
      </c>
      <c r="J302" s="177" t="s">
        <v>21</v>
      </c>
      <c r="K302" s="178">
        <f t="shared" si="25"/>
        <v>2553.2237594256922</v>
      </c>
      <c r="L302" s="176"/>
      <c r="M302" s="178">
        <v>2600</v>
      </c>
      <c r="P302" s="178">
        <v>2553.2237594256922</v>
      </c>
      <c r="AH302" s="175"/>
      <c r="AI302" s="175"/>
    </row>
    <row r="303" spans="1:35" s="178" customFormat="1" x14ac:dyDescent="0.25">
      <c r="A303" s="176">
        <v>5</v>
      </c>
      <c r="B303" s="176"/>
      <c r="C303" s="176">
        <f t="shared" si="21"/>
        <v>17</v>
      </c>
      <c r="D303" s="176">
        <f t="shared" si="22"/>
        <v>15</v>
      </c>
      <c r="E303" s="176">
        <f t="shared" si="23"/>
        <v>18</v>
      </c>
      <c r="F303" s="176" t="str">
        <f t="shared" si="24"/>
        <v>pm</v>
      </c>
      <c r="G303" s="176" t="s">
        <v>924</v>
      </c>
      <c r="H303" s="176" t="s">
        <v>528</v>
      </c>
      <c r="I303" s="176" t="s">
        <v>925</v>
      </c>
      <c r="J303" s="177" t="s">
        <v>21</v>
      </c>
      <c r="K303" s="178">
        <f t="shared" si="25"/>
        <v>2524.5863454487444</v>
      </c>
      <c r="L303" s="176"/>
      <c r="M303" s="178">
        <v>2600</v>
      </c>
      <c r="R303" s="178">
        <v>2578.5617945802783</v>
      </c>
      <c r="T303" s="178">
        <v>2524.5863454487444</v>
      </c>
      <c r="AH303" s="175"/>
      <c r="AI303" s="175"/>
    </row>
    <row r="304" spans="1:35" s="178" customFormat="1" x14ac:dyDescent="0.25">
      <c r="A304" s="176">
        <v>5</v>
      </c>
      <c r="B304" s="176"/>
      <c r="C304" s="176">
        <f t="shared" si="21"/>
        <v>18</v>
      </c>
      <c r="D304" s="176">
        <f t="shared" si="22"/>
        <v>15</v>
      </c>
      <c r="E304" s="176">
        <f t="shared" si="23"/>
        <v>18</v>
      </c>
      <c r="F304" s="176" t="str">
        <f t="shared" si="24"/>
        <v>pm</v>
      </c>
      <c r="G304" s="176" t="s">
        <v>916</v>
      </c>
      <c r="H304" s="176" t="s">
        <v>701</v>
      </c>
      <c r="I304" s="176" t="s">
        <v>917</v>
      </c>
      <c r="J304" s="177" t="s">
        <v>21</v>
      </c>
      <c r="K304" s="178">
        <f t="shared" si="25"/>
        <v>2473.7158443350222</v>
      </c>
      <c r="L304" s="176"/>
      <c r="M304" s="178">
        <v>2600</v>
      </c>
      <c r="O304" s="175"/>
      <c r="P304" s="175">
        <v>2557.8851549220831</v>
      </c>
      <c r="Q304" s="175"/>
      <c r="R304" s="175">
        <v>2473.7158443350222</v>
      </c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</row>
    <row r="305" spans="1:35" s="178" customFormat="1" x14ac:dyDescent="0.25">
      <c r="A305" s="176">
        <v>6</v>
      </c>
      <c r="B305" s="176"/>
      <c r="C305" s="176">
        <f t="shared" si="21"/>
        <v>19</v>
      </c>
      <c r="D305" s="176">
        <f t="shared" si="22"/>
        <v>15</v>
      </c>
      <c r="E305" s="176">
        <f t="shared" si="23"/>
        <v>18</v>
      </c>
      <c r="F305" s="176" t="str">
        <f t="shared" si="24"/>
        <v>pm</v>
      </c>
      <c r="G305" s="176" t="s">
        <v>918</v>
      </c>
      <c r="H305" s="176" t="s">
        <v>615</v>
      </c>
      <c r="I305" s="176" t="s">
        <v>919</v>
      </c>
      <c r="J305" s="177" t="s">
        <v>21</v>
      </c>
      <c r="K305" s="178">
        <f t="shared" si="25"/>
        <v>2433.6821061109645</v>
      </c>
      <c r="L305" s="176"/>
      <c r="M305" s="178">
        <v>2600</v>
      </c>
      <c r="P305" s="178">
        <v>2514.7294899987492</v>
      </c>
      <c r="R305" s="178">
        <v>2509.4195548725629</v>
      </c>
      <c r="T305" s="178">
        <v>2433.6821061109645</v>
      </c>
      <c r="AH305" s="175"/>
      <c r="AI305" s="175"/>
    </row>
    <row r="306" spans="1:35" s="178" customFormat="1" x14ac:dyDescent="0.25">
      <c r="A306" s="176"/>
      <c r="B306" s="176"/>
      <c r="C306" s="176"/>
      <c r="D306" s="176"/>
      <c r="E306" s="176"/>
      <c r="F306" s="176"/>
      <c r="G306" s="176"/>
      <c r="H306" s="176"/>
      <c r="I306" s="176"/>
      <c r="J306" s="177"/>
      <c r="L306" s="176"/>
      <c r="AH306" s="175"/>
      <c r="AI306" s="175"/>
    </row>
    <row r="307" spans="1:35" s="178" customFormat="1" x14ac:dyDescent="0.25">
      <c r="A307" s="176"/>
      <c r="B307" s="176"/>
      <c r="C307" s="176"/>
      <c r="D307" s="176"/>
      <c r="E307" s="176"/>
      <c r="F307" s="176"/>
      <c r="G307" s="176"/>
      <c r="H307" s="176"/>
      <c r="I307" s="176"/>
      <c r="J307" s="177"/>
      <c r="L307" s="176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</row>
    <row r="308" spans="1:35" s="178" customFormat="1" x14ac:dyDescent="0.25">
      <c r="A308" s="176"/>
      <c r="B308" s="176"/>
      <c r="C308" s="176"/>
      <c r="D308" s="176"/>
      <c r="E308" s="176"/>
      <c r="F308" s="176"/>
      <c r="G308" s="176"/>
      <c r="H308" s="176"/>
      <c r="I308" s="176"/>
      <c r="J308" s="177"/>
      <c r="L308" s="176"/>
      <c r="AH308" s="175"/>
      <c r="AI308" s="175"/>
    </row>
    <row r="309" spans="1:35" s="178" customFormat="1" x14ac:dyDescent="0.25">
      <c r="A309" s="176"/>
      <c r="B309" s="176"/>
      <c r="C309" s="176"/>
      <c r="D309" s="176"/>
      <c r="E309" s="176"/>
      <c r="F309" s="176"/>
      <c r="G309" s="176"/>
      <c r="H309" s="176"/>
      <c r="I309" s="176"/>
      <c r="J309" s="177"/>
      <c r="L309" s="176"/>
      <c r="AH309" s="175"/>
      <c r="AI309" s="175"/>
    </row>
    <row r="310" spans="1:35" s="178" customFormat="1" x14ac:dyDescent="0.25">
      <c r="A310" s="176"/>
      <c r="B310" s="176"/>
      <c r="C310" s="176"/>
      <c r="D310" s="176"/>
      <c r="E310" s="176"/>
      <c r="F310" s="176"/>
      <c r="G310" s="176"/>
      <c r="H310" s="176"/>
      <c r="I310" s="176"/>
      <c r="J310" s="177"/>
      <c r="L310" s="176"/>
      <c r="AH310" s="175"/>
      <c r="AI310" s="175"/>
    </row>
    <row r="311" spans="1:35" s="178" customFormat="1" x14ac:dyDescent="0.25">
      <c r="A311" s="176"/>
      <c r="B311" s="176"/>
      <c r="C311" s="176"/>
      <c r="D311" s="176"/>
      <c r="E311" s="176"/>
      <c r="F311" s="176"/>
      <c r="G311" s="176"/>
      <c r="H311" s="176"/>
      <c r="I311" s="176"/>
      <c r="J311" s="177"/>
      <c r="L311" s="176"/>
      <c r="AH311" s="175"/>
      <c r="AI311" s="175"/>
    </row>
    <row r="312" spans="1:35" s="178" customFormat="1" x14ac:dyDescent="0.25">
      <c r="A312" s="176"/>
      <c r="B312" s="176"/>
      <c r="C312" s="176"/>
      <c r="D312" s="176"/>
      <c r="E312" s="176"/>
      <c r="F312" s="176"/>
      <c r="G312" s="176"/>
      <c r="H312" s="176"/>
      <c r="I312" s="176"/>
      <c r="J312" s="177"/>
      <c r="L312" s="176"/>
      <c r="AH312" s="175"/>
      <c r="AI312" s="175"/>
    </row>
    <row r="313" spans="1:35" s="178" customFormat="1" x14ac:dyDescent="0.25">
      <c r="A313" s="176"/>
      <c r="B313" s="176"/>
      <c r="C313" s="176"/>
      <c r="D313" s="176"/>
      <c r="E313" s="176"/>
      <c r="F313" s="176"/>
      <c r="G313" s="176"/>
      <c r="H313" s="176"/>
      <c r="I313" s="176"/>
      <c r="J313" s="177"/>
      <c r="L313" s="176"/>
      <c r="AH313" s="175"/>
      <c r="AI313" s="175"/>
    </row>
    <row r="314" spans="1:35" s="178" customFormat="1" x14ac:dyDescent="0.25">
      <c r="A314" s="176"/>
      <c r="B314" s="176"/>
      <c r="C314" s="176"/>
      <c r="D314" s="176"/>
      <c r="E314" s="176"/>
      <c r="F314" s="176"/>
      <c r="G314" s="176"/>
      <c r="H314" s="176"/>
      <c r="I314" s="176"/>
      <c r="J314" s="177"/>
      <c r="L314" s="176"/>
      <c r="AH314" s="175"/>
      <c r="AI314" s="175"/>
    </row>
    <row r="315" spans="1:35" s="178" customFormat="1" x14ac:dyDescent="0.25">
      <c r="A315" s="176"/>
      <c r="B315" s="176"/>
      <c r="C315" s="176"/>
      <c r="D315" s="176"/>
      <c r="E315" s="176"/>
      <c r="F315" s="176"/>
      <c r="G315" s="176"/>
      <c r="H315" s="176"/>
      <c r="I315" s="176"/>
      <c r="J315" s="177"/>
      <c r="L315" s="176"/>
      <c r="AH315" s="175"/>
      <c r="AI315" s="175"/>
    </row>
    <row r="316" spans="1:35" s="178" customFormat="1" x14ac:dyDescent="0.25">
      <c r="A316" s="176"/>
      <c r="B316" s="176"/>
      <c r="C316" s="176"/>
      <c r="D316" s="176"/>
      <c r="E316" s="176"/>
      <c r="F316" s="176"/>
      <c r="G316" s="176"/>
      <c r="H316" s="176"/>
      <c r="I316" s="176"/>
      <c r="J316" s="177"/>
      <c r="L316" s="176"/>
      <c r="AH316" s="175"/>
      <c r="AI316" s="175"/>
    </row>
    <row r="317" spans="1:35" s="178" customFormat="1" x14ac:dyDescent="0.25">
      <c r="A317" s="176"/>
      <c r="B317" s="176"/>
      <c r="C317" s="176"/>
      <c r="D317" s="176"/>
      <c r="E317" s="176"/>
      <c r="F317" s="176"/>
      <c r="G317" s="176"/>
      <c r="H317" s="176"/>
      <c r="I317" s="176"/>
      <c r="J317" s="177"/>
      <c r="L317" s="176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</row>
    <row r="318" spans="1:35" s="178" customFormat="1" x14ac:dyDescent="0.25">
      <c r="A318" s="176"/>
      <c r="B318" s="176"/>
      <c r="C318" s="176"/>
      <c r="D318" s="176"/>
      <c r="E318" s="176"/>
      <c r="F318" s="176"/>
      <c r="G318" s="176"/>
      <c r="H318" s="176"/>
      <c r="I318" s="176"/>
      <c r="J318" s="177"/>
      <c r="L318" s="176"/>
      <c r="AH318" s="175"/>
      <c r="AI318" s="175"/>
    </row>
    <row r="319" spans="1:35" s="178" customFormat="1" x14ac:dyDescent="0.25">
      <c r="A319" s="176"/>
      <c r="B319" s="176"/>
      <c r="C319" s="176"/>
      <c r="D319" s="176"/>
      <c r="E319" s="176"/>
      <c r="F319" s="176"/>
      <c r="G319" s="176"/>
      <c r="H319" s="176"/>
      <c r="I319" s="176"/>
      <c r="J319" s="177"/>
      <c r="L319" s="176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H319" s="175"/>
      <c r="AI319" s="175"/>
    </row>
    <row r="320" spans="1:35" s="178" customFormat="1" x14ac:dyDescent="0.25">
      <c r="A320" s="176"/>
      <c r="B320" s="176"/>
      <c r="C320" s="176"/>
      <c r="D320" s="176"/>
      <c r="E320" s="176"/>
      <c r="F320" s="176"/>
      <c r="G320" s="176"/>
      <c r="H320" s="176"/>
      <c r="I320" s="176"/>
      <c r="J320" s="177"/>
      <c r="L320" s="176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H320" s="175"/>
      <c r="AI320" s="175"/>
    </row>
    <row r="321" spans="1:35" s="178" customFormat="1" x14ac:dyDescent="0.25">
      <c r="A321" s="176"/>
      <c r="B321" s="176"/>
      <c r="C321" s="176"/>
      <c r="D321" s="176"/>
      <c r="E321" s="176"/>
      <c r="F321" s="176"/>
      <c r="G321" s="176"/>
      <c r="H321" s="176"/>
      <c r="I321" s="176"/>
      <c r="J321" s="177"/>
      <c r="L321" s="176"/>
      <c r="AH321" s="175"/>
      <c r="AI321" s="175"/>
    </row>
    <row r="322" spans="1:35" s="178" customFormat="1" x14ac:dyDescent="0.25">
      <c r="A322" s="176"/>
      <c r="B322" s="176"/>
      <c r="C322" s="176"/>
      <c r="D322" s="176"/>
      <c r="E322" s="176"/>
      <c r="F322" s="176"/>
      <c r="G322" s="176"/>
      <c r="H322" s="176"/>
      <c r="I322" s="176"/>
      <c r="J322" s="177"/>
      <c r="L322" s="176"/>
      <c r="O322" s="175"/>
      <c r="P322" s="175"/>
      <c r="Q322" s="175"/>
      <c r="R322" s="175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H322" s="175"/>
      <c r="AI322" s="175"/>
    </row>
    <row r="323" spans="1:35" s="178" customFormat="1" x14ac:dyDescent="0.25">
      <c r="A323" s="176"/>
      <c r="B323" s="176"/>
      <c r="C323" s="176"/>
      <c r="D323" s="176"/>
      <c r="E323" s="176"/>
      <c r="F323" s="176"/>
      <c r="G323" s="176"/>
      <c r="H323" s="176"/>
      <c r="I323" s="176"/>
      <c r="J323" s="177"/>
      <c r="L323" s="176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H323" s="175"/>
      <c r="AI323" s="175"/>
    </row>
    <row r="324" spans="1:35" s="178" customFormat="1" x14ac:dyDescent="0.25">
      <c r="A324" s="176"/>
      <c r="B324" s="176"/>
      <c r="C324" s="176"/>
      <c r="D324" s="176"/>
      <c r="E324" s="176"/>
      <c r="F324" s="176"/>
      <c r="G324" s="176"/>
      <c r="H324" s="176"/>
      <c r="I324" s="176"/>
      <c r="J324" s="177"/>
      <c r="L324" s="176"/>
      <c r="O324" s="175"/>
      <c r="P324" s="175"/>
      <c r="Q324" s="175"/>
      <c r="R324" s="175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H324" s="175"/>
      <c r="AI324" s="175"/>
    </row>
    <row r="325" spans="1:35" s="178" customFormat="1" x14ac:dyDescent="0.25">
      <c r="A325" s="176"/>
      <c r="B325" s="176"/>
      <c r="C325" s="176"/>
      <c r="D325" s="176"/>
      <c r="E325" s="176"/>
      <c r="F325" s="176"/>
      <c r="G325" s="176"/>
      <c r="H325" s="176"/>
      <c r="I325" s="176"/>
      <c r="J325" s="177"/>
      <c r="L325" s="176"/>
      <c r="AH325" s="175"/>
      <c r="AI325" s="175"/>
    </row>
    <row r="326" spans="1:35" x14ac:dyDescent="0.25">
      <c r="A326" s="176"/>
      <c r="B326" s="176"/>
      <c r="C326" s="176"/>
      <c r="D326" s="176"/>
      <c r="E326" s="176"/>
      <c r="F326" s="176"/>
      <c r="G326" s="176"/>
      <c r="H326" s="176"/>
      <c r="I326" s="176"/>
      <c r="J326" s="177"/>
      <c r="L326" s="176"/>
      <c r="AD326" s="178"/>
      <c r="AE326" s="178"/>
      <c r="AF326" s="178"/>
      <c r="AG326" s="178"/>
    </row>
    <row r="327" spans="1:35" s="178" customFormat="1" x14ac:dyDescent="0.25">
      <c r="A327" s="176"/>
      <c r="B327" s="176"/>
      <c r="C327" s="176"/>
      <c r="D327" s="176"/>
      <c r="E327" s="176"/>
      <c r="F327" s="176"/>
      <c r="G327" s="176"/>
      <c r="H327" s="176"/>
      <c r="I327" s="176"/>
      <c r="J327" s="177"/>
      <c r="L327" s="176"/>
      <c r="O327" s="175"/>
      <c r="P327" s="175"/>
      <c r="Q327" s="175"/>
      <c r="R327" s="175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H327" s="175"/>
      <c r="AI327" s="175"/>
    </row>
    <row r="328" spans="1:35" s="178" customFormat="1" x14ac:dyDescent="0.25">
      <c r="A328" s="176"/>
      <c r="B328" s="176"/>
      <c r="C328" s="176"/>
      <c r="D328" s="176"/>
      <c r="E328" s="176"/>
      <c r="F328" s="176"/>
      <c r="G328" s="176"/>
      <c r="H328" s="176"/>
      <c r="I328" s="176"/>
      <c r="J328" s="177"/>
      <c r="L328" s="176"/>
      <c r="AH328" s="175"/>
      <c r="AI328" s="175"/>
    </row>
    <row r="329" spans="1:35" s="178" customFormat="1" x14ac:dyDescent="0.25">
      <c r="A329" s="176"/>
      <c r="B329" s="176"/>
      <c r="C329" s="176"/>
      <c r="D329" s="176"/>
      <c r="E329" s="176"/>
      <c r="F329" s="176"/>
      <c r="G329" s="176"/>
      <c r="H329" s="176"/>
      <c r="I329" s="176"/>
      <c r="J329" s="177"/>
      <c r="L329" s="176"/>
      <c r="O329" s="175"/>
      <c r="P329" s="175"/>
      <c r="Q329" s="175"/>
      <c r="R329" s="175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H329" s="175"/>
      <c r="AI329" s="175"/>
    </row>
    <row r="330" spans="1:35" s="178" customFormat="1" x14ac:dyDescent="0.25">
      <c r="A330" s="176"/>
      <c r="B330" s="176"/>
      <c r="C330" s="176"/>
      <c r="D330" s="176"/>
      <c r="E330" s="176"/>
      <c r="F330" s="176"/>
      <c r="G330" s="176"/>
      <c r="H330" s="176"/>
      <c r="I330" s="176"/>
      <c r="J330" s="177"/>
      <c r="L330" s="176"/>
      <c r="O330" s="175"/>
      <c r="P330" s="175"/>
      <c r="Q330" s="175"/>
      <c r="R330" s="175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H330" s="175"/>
      <c r="AI330" s="175"/>
    </row>
    <row r="331" spans="1:35" s="178" customFormat="1" x14ac:dyDescent="0.25">
      <c r="A331" s="176"/>
      <c r="B331" s="176"/>
      <c r="C331" s="176"/>
      <c r="D331" s="176"/>
      <c r="E331" s="176"/>
      <c r="F331" s="176"/>
      <c r="G331" s="176"/>
      <c r="H331" s="176"/>
      <c r="I331" s="176"/>
      <c r="J331" s="177"/>
      <c r="L331" s="176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H331" s="175"/>
      <c r="AI331" s="175"/>
    </row>
    <row r="332" spans="1:35" s="178" customFormat="1" x14ac:dyDescent="0.25">
      <c r="A332" s="176"/>
      <c r="B332" s="176"/>
      <c r="C332" s="176"/>
      <c r="D332" s="176"/>
      <c r="E332" s="176"/>
      <c r="F332" s="176"/>
      <c r="G332" s="176"/>
      <c r="H332" s="176"/>
      <c r="I332" s="176"/>
      <c r="J332" s="177"/>
      <c r="L332" s="176"/>
      <c r="AH332" s="175"/>
      <c r="AI332" s="175"/>
    </row>
    <row r="333" spans="1:35" s="178" customFormat="1" x14ac:dyDescent="0.25">
      <c r="A333" s="176"/>
      <c r="B333" s="176"/>
      <c r="C333" s="176"/>
      <c r="D333" s="176"/>
      <c r="E333" s="176"/>
      <c r="F333" s="176"/>
      <c r="G333" s="176"/>
      <c r="H333" s="176"/>
      <c r="I333" s="176"/>
      <c r="J333" s="177"/>
      <c r="L333" s="176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</row>
    <row r="334" spans="1:35" s="178" customFormat="1" x14ac:dyDescent="0.25">
      <c r="A334" s="176"/>
      <c r="B334" s="176"/>
      <c r="C334" s="176"/>
      <c r="D334" s="176"/>
      <c r="E334" s="176"/>
      <c r="F334" s="176"/>
      <c r="G334" s="176"/>
      <c r="H334" s="176"/>
      <c r="I334" s="176"/>
      <c r="J334" s="177"/>
      <c r="L334" s="176"/>
      <c r="AH334" s="175"/>
      <c r="AI334" s="175"/>
    </row>
    <row r="335" spans="1:35" s="178" customFormat="1" x14ac:dyDescent="0.25">
      <c r="A335" s="176"/>
      <c r="B335" s="176"/>
      <c r="C335" s="176"/>
      <c r="D335" s="176"/>
      <c r="E335" s="176"/>
      <c r="F335" s="176"/>
      <c r="G335" s="176"/>
      <c r="H335" s="176"/>
      <c r="I335" s="176"/>
      <c r="J335" s="177"/>
      <c r="L335" s="176"/>
      <c r="O335" s="175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H335" s="175"/>
      <c r="AI335" s="175"/>
    </row>
    <row r="336" spans="1:35" s="178" customFormat="1" x14ac:dyDescent="0.25">
      <c r="A336" s="176"/>
      <c r="B336" s="176"/>
      <c r="C336" s="176"/>
      <c r="D336" s="176"/>
      <c r="E336" s="176"/>
      <c r="F336" s="176"/>
      <c r="G336" s="176"/>
      <c r="H336" s="176"/>
      <c r="I336" s="176"/>
      <c r="J336" s="177"/>
      <c r="L336" s="176"/>
      <c r="AH336" s="175"/>
      <c r="AI336" s="175"/>
    </row>
    <row r="337" spans="1:35" s="178" customFormat="1" x14ac:dyDescent="0.25">
      <c r="A337" s="176"/>
      <c r="B337" s="176"/>
      <c r="C337" s="176"/>
      <c r="D337" s="176"/>
      <c r="E337" s="176"/>
      <c r="F337" s="176"/>
      <c r="G337" s="176"/>
      <c r="H337" s="176"/>
      <c r="I337" s="176"/>
      <c r="J337" s="177"/>
      <c r="L337" s="176"/>
      <c r="AH337" s="175"/>
      <c r="AI337" s="175"/>
    </row>
    <row r="338" spans="1:35" s="178" customFormat="1" x14ac:dyDescent="0.25">
      <c r="A338" s="176"/>
      <c r="B338" s="176"/>
      <c r="C338" s="176"/>
      <c r="D338" s="176"/>
      <c r="E338" s="176"/>
      <c r="F338" s="176"/>
      <c r="G338" s="176"/>
      <c r="H338" s="176"/>
      <c r="I338" s="176"/>
      <c r="J338" s="177"/>
      <c r="L338" s="176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H338" s="175"/>
      <c r="AI338" s="175"/>
    </row>
    <row r="339" spans="1:35" s="178" customFormat="1" x14ac:dyDescent="0.25">
      <c r="A339" s="176"/>
      <c r="B339" s="176"/>
      <c r="C339" s="176"/>
      <c r="D339" s="176"/>
      <c r="E339" s="176"/>
      <c r="F339" s="176"/>
      <c r="G339" s="176"/>
      <c r="H339" s="176"/>
      <c r="I339" s="176"/>
      <c r="J339" s="177"/>
      <c r="L339" s="176"/>
      <c r="O339" s="175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H339" s="175"/>
      <c r="AI339" s="175"/>
    </row>
    <row r="340" spans="1:35" s="178" customFormat="1" x14ac:dyDescent="0.25">
      <c r="A340" s="176"/>
      <c r="B340" s="176"/>
      <c r="C340" s="176"/>
      <c r="D340" s="176"/>
      <c r="E340" s="176"/>
      <c r="F340" s="176"/>
      <c r="G340" s="176"/>
      <c r="H340" s="176"/>
      <c r="I340" s="176"/>
      <c r="J340" s="177"/>
      <c r="L340" s="176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H340" s="175"/>
      <c r="AI340" s="175"/>
    </row>
    <row r="342" spans="1:35" s="178" customFormat="1" x14ac:dyDescent="0.25">
      <c r="A342" s="176"/>
      <c r="B342" s="176"/>
      <c r="C342" s="176"/>
      <c r="D342" s="176"/>
      <c r="E342" s="176"/>
      <c r="F342" s="176"/>
      <c r="G342" s="176"/>
      <c r="H342" s="176"/>
      <c r="I342" s="176"/>
      <c r="J342" s="177"/>
      <c r="L342" s="176"/>
      <c r="O342" s="175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H342" s="175"/>
      <c r="AI342" s="175"/>
    </row>
    <row r="343" spans="1:35" s="178" customFormat="1" x14ac:dyDescent="0.25">
      <c r="A343" s="176"/>
      <c r="B343" s="176"/>
      <c r="C343" s="176"/>
      <c r="D343" s="176"/>
      <c r="E343" s="176"/>
      <c r="F343" s="176"/>
      <c r="G343" s="176"/>
      <c r="H343" s="176"/>
      <c r="I343" s="176"/>
      <c r="J343" s="177"/>
      <c r="L343" s="176"/>
      <c r="O343" s="175"/>
      <c r="P343" s="175"/>
      <c r="Q343" s="175"/>
      <c r="R343" s="175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H343" s="175"/>
      <c r="AI343" s="175"/>
    </row>
    <row r="344" spans="1:35" s="178" customFormat="1" x14ac:dyDescent="0.25">
      <c r="A344" s="176"/>
      <c r="B344" s="176"/>
      <c r="C344" s="176"/>
      <c r="D344" s="176"/>
      <c r="E344" s="176"/>
      <c r="F344" s="176"/>
      <c r="G344" s="176"/>
      <c r="H344" s="176"/>
      <c r="I344" s="176"/>
      <c r="J344" s="177"/>
      <c r="L344" s="176"/>
      <c r="O344" s="175"/>
      <c r="P344" s="175"/>
      <c r="Q344" s="175"/>
      <c r="R344" s="175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H344" s="175"/>
      <c r="AI344" s="175"/>
    </row>
    <row r="345" spans="1:35" s="178" customFormat="1" x14ac:dyDescent="0.25">
      <c r="A345" s="176"/>
      <c r="B345" s="176"/>
      <c r="C345" s="176"/>
      <c r="D345" s="176"/>
      <c r="E345" s="176"/>
      <c r="F345" s="176"/>
      <c r="G345" s="176"/>
      <c r="H345" s="176"/>
      <c r="I345" s="176"/>
      <c r="J345" s="177"/>
      <c r="L345" s="176"/>
      <c r="O345" s="175"/>
      <c r="P345" s="175"/>
      <c r="Q345" s="175"/>
      <c r="R345" s="175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H345" s="175"/>
      <c r="AI345" s="175"/>
    </row>
    <row r="346" spans="1:35" s="178" customFormat="1" x14ac:dyDescent="0.25">
      <c r="A346" s="176"/>
      <c r="B346" s="176"/>
      <c r="C346" s="176"/>
      <c r="D346" s="176"/>
      <c r="E346" s="176"/>
      <c r="F346" s="176"/>
      <c r="G346" s="176"/>
      <c r="H346" s="176"/>
      <c r="I346" s="176"/>
      <c r="J346" s="177"/>
      <c r="L346" s="176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H346" s="175"/>
      <c r="AI346" s="175"/>
    </row>
    <row r="347" spans="1:35" s="178" customFormat="1" x14ac:dyDescent="0.25">
      <c r="A347" s="176"/>
      <c r="B347" s="176"/>
      <c r="C347" s="176"/>
      <c r="D347" s="176"/>
      <c r="E347" s="176"/>
      <c r="F347" s="176"/>
      <c r="G347" s="176"/>
      <c r="H347" s="176"/>
      <c r="I347" s="176"/>
      <c r="J347" s="177"/>
      <c r="L347" s="176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H347" s="175"/>
      <c r="AI347" s="175"/>
    </row>
    <row r="348" spans="1:35" s="178" customFormat="1" x14ac:dyDescent="0.25">
      <c r="A348" s="176"/>
      <c r="B348" s="176"/>
      <c r="C348" s="176"/>
      <c r="D348" s="176"/>
      <c r="E348" s="176"/>
      <c r="F348" s="176"/>
      <c r="G348" s="176"/>
      <c r="H348" s="176"/>
      <c r="I348" s="176"/>
      <c r="J348" s="177"/>
      <c r="L348" s="176"/>
      <c r="O348" s="175"/>
      <c r="P348" s="175"/>
      <c r="Q348" s="175"/>
      <c r="R348" s="175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H348" s="175"/>
      <c r="AI348" s="175"/>
    </row>
    <row r="349" spans="1:35" s="178" customFormat="1" x14ac:dyDescent="0.25">
      <c r="A349" s="176"/>
      <c r="B349" s="176"/>
      <c r="C349" s="176"/>
      <c r="D349" s="176"/>
      <c r="E349" s="176"/>
      <c r="F349" s="176"/>
      <c r="G349" s="176"/>
      <c r="H349" s="176"/>
      <c r="I349" s="176"/>
      <c r="J349" s="177"/>
      <c r="L349" s="176"/>
      <c r="O349" s="175"/>
      <c r="P349" s="175"/>
      <c r="Q349" s="175"/>
      <c r="R349" s="175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H349" s="175"/>
      <c r="AI349" s="175"/>
    </row>
    <row r="350" spans="1:35" s="178" customFormat="1" x14ac:dyDescent="0.25">
      <c r="A350" s="176"/>
      <c r="B350" s="176"/>
      <c r="C350" s="176"/>
      <c r="D350" s="176"/>
      <c r="E350" s="176"/>
      <c r="F350" s="176"/>
      <c r="G350" s="176"/>
      <c r="H350" s="176"/>
      <c r="I350" s="176"/>
      <c r="J350" s="177"/>
      <c r="L350" s="176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H350" s="175"/>
      <c r="AI350" s="175"/>
    </row>
    <row r="351" spans="1:35" s="178" customFormat="1" x14ac:dyDescent="0.25">
      <c r="A351" s="176"/>
      <c r="B351" s="176"/>
      <c r="C351" s="176"/>
      <c r="D351" s="176"/>
      <c r="E351" s="176"/>
      <c r="F351" s="176"/>
      <c r="G351" s="176"/>
      <c r="H351" s="176"/>
      <c r="I351" s="176"/>
      <c r="J351" s="177"/>
      <c r="L351" s="176"/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H351" s="175"/>
      <c r="AI351" s="175"/>
    </row>
    <row r="352" spans="1:35" s="178" customFormat="1" x14ac:dyDescent="0.25">
      <c r="A352" s="176"/>
      <c r="B352" s="176"/>
      <c r="C352" s="176"/>
      <c r="D352" s="176"/>
      <c r="E352" s="176"/>
      <c r="F352" s="176"/>
      <c r="G352" s="176"/>
      <c r="H352" s="176"/>
      <c r="I352" s="176"/>
      <c r="J352" s="177"/>
      <c r="L352" s="176"/>
      <c r="O352" s="175"/>
      <c r="P352" s="175"/>
      <c r="Q352" s="175"/>
      <c r="R352" s="175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H352" s="175"/>
      <c r="AI352" s="175"/>
    </row>
    <row r="353" spans="1:35" s="178" customFormat="1" x14ac:dyDescent="0.25">
      <c r="A353" s="176"/>
      <c r="B353" s="176"/>
      <c r="C353" s="176"/>
      <c r="D353" s="176"/>
      <c r="E353" s="176"/>
      <c r="F353" s="176"/>
      <c r="G353" s="176"/>
      <c r="H353" s="176"/>
      <c r="I353" s="176"/>
      <c r="J353" s="177"/>
      <c r="L353" s="176"/>
      <c r="O353" s="175"/>
      <c r="P353" s="175"/>
      <c r="Q353" s="175"/>
      <c r="R353" s="175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H353" s="175"/>
      <c r="AI353" s="175"/>
    </row>
    <row r="354" spans="1:35" s="178" customFormat="1" x14ac:dyDescent="0.25">
      <c r="A354" s="176"/>
      <c r="B354" s="176"/>
      <c r="C354" s="176"/>
      <c r="D354" s="176"/>
      <c r="E354" s="176"/>
      <c r="F354" s="176"/>
      <c r="G354" s="176"/>
      <c r="H354" s="176"/>
      <c r="I354" s="176"/>
      <c r="J354" s="177"/>
      <c r="L354" s="176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H354" s="175"/>
      <c r="AI354" s="175"/>
    </row>
    <row r="356" spans="1:35" s="178" customFormat="1" x14ac:dyDescent="0.25">
      <c r="A356" s="176"/>
      <c r="B356" s="176"/>
      <c r="C356" s="176"/>
      <c r="D356" s="176"/>
      <c r="E356" s="176"/>
      <c r="F356" s="176"/>
      <c r="G356" s="176"/>
      <c r="H356" s="176"/>
      <c r="I356" s="176"/>
      <c r="J356" s="177"/>
      <c r="L356" s="176"/>
      <c r="O356" s="175"/>
      <c r="P356" s="175"/>
      <c r="Q356" s="175"/>
      <c r="R356" s="175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H356" s="175"/>
      <c r="AI356" s="175"/>
    </row>
    <row r="357" spans="1:35" s="178" customFormat="1" x14ac:dyDescent="0.25">
      <c r="A357" s="176"/>
      <c r="B357" s="176"/>
      <c r="C357" s="176"/>
      <c r="D357" s="176"/>
      <c r="E357" s="176"/>
      <c r="F357" s="176"/>
      <c r="G357" s="176"/>
      <c r="H357" s="176"/>
      <c r="I357" s="176"/>
      <c r="J357" s="177"/>
      <c r="L357" s="176"/>
      <c r="O357" s="175"/>
      <c r="P357" s="175"/>
      <c r="Q357" s="175"/>
      <c r="R357" s="175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H357" s="175"/>
      <c r="AI357" s="175"/>
    </row>
    <row r="358" spans="1:35" s="178" customFormat="1" x14ac:dyDescent="0.25">
      <c r="A358" s="176"/>
      <c r="B358" s="176"/>
      <c r="C358" s="176"/>
      <c r="D358" s="176"/>
      <c r="E358" s="176"/>
      <c r="F358" s="176"/>
      <c r="G358" s="176"/>
      <c r="H358" s="176"/>
      <c r="I358" s="176"/>
      <c r="J358" s="177"/>
      <c r="L358" s="176"/>
      <c r="O358" s="175"/>
      <c r="P358" s="175"/>
      <c r="Q358" s="175"/>
      <c r="R358" s="175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H358" s="175"/>
      <c r="AI358" s="175"/>
    </row>
    <row r="360" spans="1:35" s="178" customFormat="1" x14ac:dyDescent="0.25">
      <c r="A360" s="176"/>
      <c r="B360" s="176"/>
      <c r="C360" s="176"/>
      <c r="D360" s="176"/>
      <c r="E360" s="176"/>
      <c r="F360" s="176"/>
      <c r="G360" s="176"/>
      <c r="H360" s="176"/>
      <c r="I360" s="176"/>
      <c r="J360" s="177"/>
      <c r="L360" s="176"/>
      <c r="O360" s="175"/>
      <c r="P360" s="175"/>
      <c r="Q360" s="175"/>
      <c r="R360" s="175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H360" s="175"/>
      <c r="AI360" s="175"/>
    </row>
    <row r="361" spans="1:35" s="178" customFormat="1" x14ac:dyDescent="0.25">
      <c r="A361" s="176"/>
      <c r="B361" s="176"/>
      <c r="C361" s="176"/>
      <c r="D361" s="176"/>
      <c r="E361" s="176"/>
      <c r="F361" s="176"/>
      <c r="G361" s="176"/>
      <c r="H361" s="176"/>
      <c r="I361" s="176"/>
      <c r="J361" s="177"/>
      <c r="L361" s="176"/>
      <c r="O361" s="175"/>
      <c r="P361" s="175"/>
      <c r="Q361" s="175"/>
      <c r="R361" s="175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H361" s="175"/>
      <c r="AI361" s="175"/>
    </row>
    <row r="362" spans="1:35" s="178" customFormat="1" x14ac:dyDescent="0.25">
      <c r="A362" s="176"/>
      <c r="B362" s="176"/>
      <c r="C362" s="176"/>
      <c r="D362" s="176"/>
      <c r="E362" s="176"/>
      <c r="F362" s="176"/>
      <c r="G362" s="176"/>
      <c r="H362" s="176"/>
      <c r="I362" s="176"/>
      <c r="J362" s="177"/>
      <c r="L362" s="176"/>
      <c r="O362" s="175"/>
      <c r="P362" s="175"/>
      <c r="Q362" s="175"/>
      <c r="R362" s="175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H362" s="175"/>
      <c r="AI362" s="175"/>
    </row>
    <row r="363" spans="1:35" s="178" customFormat="1" x14ac:dyDescent="0.25">
      <c r="A363" s="176"/>
      <c r="B363" s="176"/>
      <c r="C363" s="176"/>
      <c r="D363" s="176"/>
      <c r="E363" s="176"/>
      <c r="F363" s="176"/>
      <c r="G363" s="176"/>
      <c r="H363" s="176"/>
      <c r="I363" s="176"/>
      <c r="J363" s="177"/>
      <c r="L363" s="176"/>
      <c r="O363" s="175"/>
      <c r="P363" s="175"/>
      <c r="Q363" s="175"/>
      <c r="R363" s="175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H363" s="175"/>
      <c r="AI363" s="175"/>
    </row>
    <row r="364" spans="1:35" s="178" customFormat="1" x14ac:dyDescent="0.25">
      <c r="A364" s="176"/>
      <c r="B364" s="176"/>
      <c r="C364" s="176"/>
      <c r="D364" s="176"/>
      <c r="E364" s="176"/>
      <c r="F364" s="176"/>
      <c r="G364" s="176"/>
      <c r="H364" s="176"/>
      <c r="I364" s="176"/>
      <c r="J364" s="177"/>
      <c r="L364" s="176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H364" s="175"/>
      <c r="AI364" s="175"/>
    </row>
    <row r="365" spans="1:35" s="178" customFormat="1" x14ac:dyDescent="0.25">
      <c r="A365" s="176"/>
      <c r="B365" s="176"/>
      <c r="C365" s="176"/>
      <c r="D365" s="176"/>
      <c r="E365" s="176"/>
      <c r="F365" s="176"/>
      <c r="G365" s="176"/>
      <c r="H365" s="176"/>
      <c r="I365" s="176"/>
      <c r="J365" s="177"/>
      <c r="L365" s="176"/>
      <c r="O365" s="175"/>
      <c r="P365" s="175"/>
      <c r="Q365" s="175"/>
      <c r="R365" s="175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H365" s="175"/>
      <c r="AI365" s="175"/>
    </row>
    <row r="366" spans="1:35" s="178" customFormat="1" x14ac:dyDescent="0.25">
      <c r="A366" s="176"/>
      <c r="B366" s="176"/>
      <c r="C366" s="176"/>
      <c r="D366" s="176"/>
      <c r="E366" s="176"/>
      <c r="F366" s="176"/>
      <c r="G366" s="176"/>
      <c r="H366" s="176"/>
      <c r="I366" s="176"/>
      <c r="J366" s="177"/>
      <c r="L366" s="176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H366" s="175"/>
      <c r="AI366" s="175"/>
    </row>
    <row r="367" spans="1:35" s="178" customFormat="1" x14ac:dyDescent="0.25">
      <c r="A367" s="176"/>
      <c r="B367" s="176"/>
      <c r="C367" s="176"/>
      <c r="D367" s="176"/>
      <c r="E367" s="176"/>
      <c r="F367" s="176"/>
      <c r="G367" s="176"/>
      <c r="H367" s="176"/>
      <c r="I367" s="176"/>
      <c r="J367" s="177"/>
      <c r="L367" s="176"/>
      <c r="O367" s="175"/>
      <c r="P367" s="175"/>
      <c r="Q367" s="175"/>
      <c r="R367" s="175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H367" s="175"/>
      <c r="AI367" s="175"/>
    </row>
    <row r="368" spans="1:35" s="178" customFormat="1" x14ac:dyDescent="0.25">
      <c r="A368" s="176"/>
      <c r="B368" s="176"/>
      <c r="C368" s="176"/>
      <c r="D368" s="176"/>
      <c r="E368" s="176"/>
      <c r="F368" s="176"/>
      <c r="G368" s="176"/>
      <c r="H368" s="176"/>
      <c r="I368" s="176"/>
      <c r="J368" s="177"/>
      <c r="L368" s="176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H368" s="175"/>
      <c r="AI368" s="175"/>
    </row>
    <row r="369" spans="1:35" s="178" customFormat="1" x14ac:dyDescent="0.25">
      <c r="A369" s="176"/>
      <c r="B369" s="176"/>
      <c r="C369" s="176"/>
      <c r="D369" s="176"/>
      <c r="E369" s="176"/>
      <c r="F369" s="176"/>
      <c r="G369" s="176"/>
      <c r="H369" s="176"/>
      <c r="I369" s="176"/>
      <c r="J369" s="177"/>
      <c r="L369" s="176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  <c r="AA369" s="175"/>
      <c r="AB369" s="175"/>
      <c r="AC369" s="175"/>
      <c r="AH369" s="175"/>
      <c r="AI369" s="175"/>
    </row>
    <row r="370" spans="1:35" s="178" customFormat="1" x14ac:dyDescent="0.25">
      <c r="A370" s="176"/>
      <c r="B370" s="176"/>
      <c r="C370" s="176"/>
      <c r="D370" s="176"/>
      <c r="E370" s="176"/>
      <c r="F370" s="176"/>
      <c r="G370" s="176"/>
      <c r="H370" s="176"/>
      <c r="I370" s="176"/>
      <c r="J370" s="177"/>
      <c r="L370" s="176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5"/>
      <c r="Z370" s="175"/>
      <c r="AA370" s="175"/>
      <c r="AB370" s="175"/>
      <c r="AC370" s="175"/>
      <c r="AH370" s="175"/>
      <c r="AI370" s="175"/>
    </row>
    <row r="371" spans="1:35" s="178" customFormat="1" x14ac:dyDescent="0.25">
      <c r="A371" s="176"/>
      <c r="B371" s="176"/>
      <c r="C371" s="176"/>
      <c r="D371" s="176"/>
      <c r="E371" s="176"/>
      <c r="F371" s="176"/>
      <c r="G371" s="176"/>
      <c r="H371" s="176"/>
      <c r="I371" s="176"/>
      <c r="J371" s="177"/>
      <c r="L371" s="176"/>
      <c r="O371" s="175"/>
      <c r="P371" s="175"/>
      <c r="Q371" s="175"/>
      <c r="R371" s="175"/>
      <c r="S371" s="175"/>
      <c r="T371" s="175"/>
      <c r="U371" s="175"/>
      <c r="V371" s="175"/>
      <c r="W371" s="175"/>
      <c r="X371" s="175"/>
      <c r="Y371" s="175"/>
      <c r="Z371" s="175"/>
      <c r="AA371" s="175"/>
      <c r="AB371" s="175"/>
      <c r="AC371" s="175"/>
      <c r="AH371" s="175"/>
      <c r="AI371" s="175"/>
    </row>
    <row r="372" spans="1:35" s="178" customFormat="1" x14ac:dyDescent="0.25">
      <c r="A372" s="176"/>
      <c r="B372" s="176"/>
      <c r="C372" s="176"/>
      <c r="D372" s="176"/>
      <c r="E372" s="176"/>
      <c r="F372" s="176"/>
      <c r="G372" s="176"/>
      <c r="H372" s="176"/>
      <c r="I372" s="176"/>
      <c r="J372" s="177"/>
      <c r="L372" s="176"/>
      <c r="O372" s="175"/>
      <c r="P372" s="175"/>
      <c r="Q372" s="175"/>
      <c r="R372" s="175"/>
      <c r="S372" s="175"/>
      <c r="T372" s="175"/>
      <c r="U372" s="175"/>
      <c r="V372" s="175"/>
      <c r="W372" s="175"/>
      <c r="X372" s="175"/>
      <c r="Y372" s="175"/>
      <c r="Z372" s="175"/>
      <c r="AA372" s="175"/>
      <c r="AB372" s="175"/>
      <c r="AC372" s="175"/>
      <c r="AH372" s="175"/>
      <c r="AI372" s="175"/>
    </row>
    <row r="373" spans="1:35" s="178" customFormat="1" x14ac:dyDescent="0.25">
      <c r="A373" s="176"/>
      <c r="B373" s="176"/>
      <c r="C373" s="176"/>
      <c r="D373" s="176"/>
      <c r="E373" s="176"/>
      <c r="F373" s="176"/>
      <c r="G373" s="176"/>
      <c r="H373" s="176"/>
      <c r="I373" s="176"/>
      <c r="J373" s="177"/>
      <c r="L373" s="176"/>
      <c r="O373" s="175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  <c r="AA373" s="175"/>
      <c r="AB373" s="175"/>
      <c r="AC373" s="175"/>
      <c r="AH373" s="175"/>
      <c r="AI373" s="175"/>
    </row>
    <row r="374" spans="1:35" s="178" customFormat="1" x14ac:dyDescent="0.25">
      <c r="A374" s="176"/>
      <c r="B374" s="176"/>
      <c r="C374" s="176"/>
      <c r="D374" s="176"/>
      <c r="E374" s="176"/>
      <c r="F374" s="176"/>
      <c r="G374" s="176"/>
      <c r="H374" s="176"/>
      <c r="I374" s="176"/>
      <c r="J374" s="177"/>
      <c r="L374" s="176"/>
      <c r="O374" s="175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  <c r="AA374" s="175"/>
      <c r="AB374" s="175"/>
      <c r="AC374" s="175"/>
      <c r="AH374" s="175"/>
      <c r="AI374" s="175"/>
    </row>
    <row r="375" spans="1:35" s="178" customFormat="1" x14ac:dyDescent="0.25">
      <c r="A375" s="176"/>
      <c r="B375" s="176"/>
      <c r="C375" s="176"/>
      <c r="D375" s="176"/>
      <c r="E375" s="176"/>
      <c r="F375" s="176"/>
      <c r="G375" s="176"/>
      <c r="H375" s="176"/>
      <c r="I375" s="176"/>
      <c r="J375" s="177"/>
      <c r="L375" s="176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  <c r="AA375" s="175"/>
      <c r="AB375" s="175"/>
      <c r="AC375" s="175"/>
      <c r="AH375" s="175"/>
      <c r="AI375" s="175"/>
    </row>
    <row r="376" spans="1:35" s="178" customFormat="1" x14ac:dyDescent="0.25">
      <c r="A376" s="176"/>
      <c r="B376" s="176"/>
      <c r="C376" s="176"/>
      <c r="D376" s="176"/>
      <c r="E376" s="176"/>
      <c r="F376" s="176"/>
      <c r="G376" s="176"/>
      <c r="H376" s="176"/>
      <c r="I376" s="176"/>
      <c r="J376" s="177"/>
      <c r="L376" s="176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H376" s="175"/>
      <c r="AI376" s="175"/>
    </row>
    <row r="377" spans="1:35" s="178" customFormat="1" x14ac:dyDescent="0.25">
      <c r="A377" s="176"/>
      <c r="B377" s="176"/>
      <c r="C377" s="176"/>
      <c r="D377" s="176"/>
      <c r="E377" s="176"/>
      <c r="F377" s="176"/>
      <c r="G377" s="176"/>
      <c r="H377" s="176"/>
      <c r="I377" s="176"/>
      <c r="J377" s="177"/>
      <c r="L377" s="176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H377" s="175"/>
      <c r="AI377" s="175"/>
    </row>
    <row r="378" spans="1:35" s="178" customFormat="1" x14ac:dyDescent="0.25">
      <c r="A378" s="176"/>
      <c r="B378" s="176"/>
      <c r="C378" s="176"/>
      <c r="D378" s="176"/>
      <c r="E378" s="176"/>
      <c r="F378" s="176"/>
      <c r="G378" s="176"/>
      <c r="H378" s="176"/>
      <c r="I378" s="176"/>
      <c r="J378" s="177"/>
      <c r="L378" s="176"/>
      <c r="O378" s="175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  <c r="AA378" s="175"/>
      <c r="AB378" s="175"/>
      <c r="AC378" s="175"/>
      <c r="AH378" s="175"/>
      <c r="AI378" s="175"/>
    </row>
    <row r="379" spans="1:35" s="178" customFormat="1" x14ac:dyDescent="0.25">
      <c r="A379" s="176"/>
      <c r="B379" s="176"/>
      <c r="C379" s="176"/>
      <c r="D379" s="176"/>
      <c r="E379" s="176"/>
      <c r="F379" s="176"/>
      <c r="G379" s="176"/>
      <c r="H379" s="176"/>
      <c r="I379" s="176"/>
      <c r="J379" s="177"/>
      <c r="L379" s="176"/>
      <c r="O379" s="175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  <c r="AA379" s="175"/>
      <c r="AB379" s="175"/>
      <c r="AC379" s="175"/>
      <c r="AH379" s="175"/>
      <c r="AI379" s="175"/>
    </row>
    <row r="380" spans="1:35" s="178" customFormat="1" x14ac:dyDescent="0.25">
      <c r="A380" s="176"/>
      <c r="B380" s="176"/>
      <c r="C380" s="176"/>
      <c r="D380" s="176"/>
      <c r="E380" s="176"/>
      <c r="F380" s="176"/>
      <c r="G380" s="176"/>
      <c r="H380" s="176"/>
      <c r="I380" s="176"/>
      <c r="J380" s="177"/>
      <c r="L380" s="176"/>
      <c r="O380" s="175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  <c r="AA380" s="175"/>
      <c r="AB380" s="175"/>
      <c r="AC380" s="175"/>
      <c r="AH380" s="175"/>
      <c r="AI380" s="175"/>
    </row>
    <row r="381" spans="1:35" s="178" customFormat="1" x14ac:dyDescent="0.25">
      <c r="A381" s="176"/>
      <c r="B381" s="176"/>
      <c r="C381" s="176"/>
      <c r="D381" s="176"/>
      <c r="E381" s="176"/>
      <c r="F381" s="176"/>
      <c r="G381" s="176"/>
      <c r="H381" s="176"/>
      <c r="I381" s="176"/>
      <c r="J381" s="177"/>
      <c r="L381" s="176"/>
      <c r="O381" s="175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  <c r="AA381" s="175"/>
      <c r="AB381" s="175"/>
      <c r="AC381" s="175"/>
      <c r="AH381" s="175"/>
      <c r="AI381" s="175"/>
    </row>
    <row r="382" spans="1:35" s="178" customFormat="1" x14ac:dyDescent="0.25">
      <c r="A382" s="176"/>
      <c r="B382" s="176"/>
      <c r="C382" s="176"/>
      <c r="D382" s="176"/>
      <c r="E382" s="176"/>
      <c r="F382" s="176"/>
      <c r="G382" s="176"/>
      <c r="H382" s="176"/>
      <c r="I382" s="176"/>
      <c r="J382" s="177"/>
      <c r="L382" s="176"/>
      <c r="O382" s="175"/>
      <c r="P382" s="175"/>
      <c r="Q382" s="175"/>
      <c r="R382" s="175"/>
      <c r="S382" s="175"/>
      <c r="T382" s="175"/>
      <c r="U382" s="175"/>
      <c r="V382" s="175"/>
      <c r="W382" s="175"/>
      <c r="X382" s="175"/>
      <c r="Y382" s="175"/>
      <c r="Z382" s="175"/>
      <c r="AA382" s="175"/>
      <c r="AB382" s="175"/>
      <c r="AC382" s="175"/>
      <c r="AH382" s="175"/>
      <c r="AI382" s="175"/>
    </row>
    <row r="383" spans="1:35" s="178" customFormat="1" x14ac:dyDescent="0.25">
      <c r="A383" s="176"/>
      <c r="B383" s="176"/>
      <c r="C383" s="176"/>
      <c r="D383" s="176"/>
      <c r="E383" s="176"/>
      <c r="F383" s="176"/>
      <c r="G383" s="176"/>
      <c r="H383" s="176"/>
      <c r="I383" s="176"/>
      <c r="J383" s="177"/>
      <c r="L383" s="176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  <c r="AA383" s="175"/>
      <c r="AB383" s="175"/>
      <c r="AC383" s="175"/>
      <c r="AH383" s="175"/>
      <c r="AI383" s="175"/>
    </row>
    <row r="384" spans="1:35" x14ac:dyDescent="0.25">
      <c r="K384" s="175"/>
      <c r="M384" s="175"/>
      <c r="N384" s="175"/>
    </row>
    <row r="385" spans="1:35" s="178" customFormat="1" x14ac:dyDescent="0.25">
      <c r="A385" s="176"/>
      <c r="B385" s="176"/>
      <c r="C385" s="176"/>
      <c r="D385" s="176"/>
      <c r="E385" s="176"/>
      <c r="F385" s="176"/>
      <c r="G385" s="176"/>
      <c r="H385" s="176"/>
      <c r="I385" s="176"/>
      <c r="J385" s="177"/>
      <c r="L385" s="176"/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  <c r="AA385" s="175"/>
      <c r="AB385" s="175"/>
      <c r="AC385" s="175"/>
      <c r="AH385" s="175"/>
      <c r="AI385" s="175"/>
    </row>
    <row r="386" spans="1:35" x14ac:dyDescent="0.25">
      <c r="K386" s="175"/>
      <c r="M386" s="175"/>
      <c r="N386" s="175"/>
    </row>
    <row r="387" spans="1:35" s="178" customFormat="1" x14ac:dyDescent="0.25">
      <c r="A387" s="176"/>
      <c r="B387" s="176"/>
      <c r="C387" s="176"/>
      <c r="D387" s="176"/>
      <c r="E387" s="176"/>
      <c r="F387" s="176"/>
      <c r="G387" s="176"/>
      <c r="H387" s="176"/>
      <c r="I387" s="176"/>
      <c r="J387" s="177"/>
      <c r="L387" s="176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H387" s="175"/>
      <c r="AI387" s="175"/>
    </row>
    <row r="388" spans="1:35" x14ac:dyDescent="0.25">
      <c r="K388" s="175"/>
      <c r="M388" s="175"/>
      <c r="N388" s="175"/>
    </row>
    <row r="389" spans="1:35" x14ac:dyDescent="0.25">
      <c r="K389" s="175"/>
      <c r="M389" s="175"/>
      <c r="N389" s="175"/>
    </row>
    <row r="390" spans="1:35" x14ac:dyDescent="0.25">
      <c r="K390" s="175"/>
      <c r="M390" s="175"/>
      <c r="N390" s="175"/>
    </row>
    <row r="391" spans="1:35" x14ac:dyDescent="0.25">
      <c r="K391" s="175"/>
      <c r="M391" s="175"/>
      <c r="N391" s="175"/>
    </row>
    <row r="392" spans="1:35" x14ac:dyDescent="0.25">
      <c r="K392" s="175"/>
      <c r="M392" s="175"/>
      <c r="N392" s="175"/>
    </row>
    <row r="393" spans="1:35" x14ac:dyDescent="0.25">
      <c r="K393" s="175"/>
      <c r="M393" s="175"/>
      <c r="N393" s="175"/>
    </row>
    <row r="394" spans="1:35" x14ac:dyDescent="0.25">
      <c r="K394" s="175"/>
      <c r="M394" s="175"/>
      <c r="N394" s="175"/>
    </row>
    <row r="395" spans="1:35" x14ac:dyDescent="0.25">
      <c r="K395" s="175"/>
      <c r="M395" s="175"/>
      <c r="N395" s="175"/>
    </row>
    <row r="396" spans="1:35" x14ac:dyDescent="0.25">
      <c r="K396" s="175"/>
      <c r="M396" s="175"/>
      <c r="N396" s="175"/>
    </row>
    <row r="397" spans="1:35" x14ac:dyDescent="0.25">
      <c r="K397" s="175"/>
      <c r="M397" s="175"/>
      <c r="N397" s="175"/>
    </row>
    <row r="398" spans="1:35" x14ac:dyDescent="0.25">
      <c r="K398" s="175"/>
      <c r="M398" s="175"/>
      <c r="N398" s="175"/>
    </row>
    <row r="399" spans="1:35" x14ac:dyDescent="0.25">
      <c r="K399" s="175"/>
      <c r="M399" s="175"/>
      <c r="N399" s="175"/>
    </row>
    <row r="400" spans="1:35" x14ac:dyDescent="0.25">
      <c r="K400" s="175"/>
      <c r="M400" s="175"/>
      <c r="N400" s="175"/>
    </row>
    <row r="401" spans="11:14" x14ac:dyDescent="0.25">
      <c r="K401" s="175"/>
      <c r="M401" s="175"/>
      <c r="N401" s="175"/>
    </row>
    <row r="402" spans="11:14" x14ac:dyDescent="0.25">
      <c r="K402" s="175"/>
      <c r="M402" s="175"/>
      <c r="N402" s="175"/>
    </row>
    <row r="403" spans="11:14" x14ac:dyDescent="0.25">
      <c r="K403" s="175"/>
      <c r="M403" s="175"/>
      <c r="N403" s="175"/>
    </row>
    <row r="404" spans="11:14" x14ac:dyDescent="0.25">
      <c r="K404" s="175"/>
      <c r="M404" s="175"/>
      <c r="N404" s="175"/>
    </row>
    <row r="405" spans="11:14" x14ac:dyDescent="0.25">
      <c r="K405" s="175"/>
      <c r="M405" s="175"/>
      <c r="N405" s="175"/>
    </row>
    <row r="406" spans="11:14" x14ac:dyDescent="0.25">
      <c r="K406" s="175"/>
      <c r="M406" s="175"/>
      <c r="N406" s="175"/>
    </row>
    <row r="407" spans="11:14" x14ac:dyDescent="0.25">
      <c r="K407" s="175"/>
      <c r="M407" s="175"/>
      <c r="N407" s="175"/>
    </row>
    <row r="408" spans="11:14" x14ac:dyDescent="0.25">
      <c r="K408" s="175"/>
      <c r="M408" s="175"/>
      <c r="N408" s="175"/>
    </row>
    <row r="409" spans="11:14" x14ac:dyDescent="0.25">
      <c r="K409" s="175"/>
      <c r="M409" s="175"/>
      <c r="N409" s="175"/>
    </row>
    <row r="410" spans="11:14" x14ac:dyDescent="0.25">
      <c r="K410" s="175"/>
      <c r="M410" s="175"/>
      <c r="N410" s="175"/>
    </row>
    <row r="411" spans="11:14" x14ac:dyDescent="0.25">
      <c r="K411" s="175"/>
      <c r="M411" s="175"/>
      <c r="N411" s="175"/>
    </row>
    <row r="412" spans="11:14" x14ac:dyDescent="0.25">
      <c r="K412" s="175"/>
      <c r="M412" s="175"/>
      <c r="N412" s="175"/>
    </row>
    <row r="413" spans="11:14" x14ac:dyDescent="0.25">
      <c r="K413" s="175"/>
      <c r="M413" s="175"/>
      <c r="N413" s="175"/>
    </row>
    <row r="414" spans="11:14" x14ac:dyDescent="0.25">
      <c r="K414" s="175"/>
      <c r="M414" s="175"/>
      <c r="N414" s="175"/>
    </row>
    <row r="415" spans="11:14" x14ac:dyDescent="0.25">
      <c r="K415" s="175"/>
      <c r="M415" s="175"/>
      <c r="N415" s="175"/>
    </row>
    <row r="416" spans="11:14" x14ac:dyDescent="0.25">
      <c r="K416" s="175"/>
      <c r="M416" s="175"/>
      <c r="N416" s="175"/>
    </row>
    <row r="417" spans="11:14" x14ac:dyDescent="0.25">
      <c r="K417" s="175"/>
      <c r="M417" s="175"/>
      <c r="N417" s="175"/>
    </row>
    <row r="418" spans="11:14" x14ac:dyDescent="0.25">
      <c r="K418" s="175"/>
      <c r="M418" s="175"/>
      <c r="N418" s="175"/>
    </row>
    <row r="419" spans="11:14" x14ac:dyDescent="0.25">
      <c r="K419" s="175"/>
      <c r="M419" s="175"/>
      <c r="N419" s="175"/>
    </row>
    <row r="420" spans="11:14" x14ac:dyDescent="0.25">
      <c r="K420" s="175"/>
      <c r="M420" s="175"/>
      <c r="N420" s="175"/>
    </row>
    <row r="421" spans="11:14" x14ac:dyDescent="0.25">
      <c r="K421" s="175"/>
      <c r="M421" s="175"/>
      <c r="N421" s="175"/>
    </row>
    <row r="422" spans="11:14" x14ac:dyDescent="0.25">
      <c r="K422" s="175"/>
      <c r="M422" s="175"/>
      <c r="N422" s="175"/>
    </row>
    <row r="423" spans="11:14" x14ac:dyDescent="0.25">
      <c r="K423" s="175"/>
      <c r="M423" s="175"/>
      <c r="N423" s="175"/>
    </row>
    <row r="424" spans="11:14" x14ac:dyDescent="0.25">
      <c r="K424" s="175"/>
      <c r="M424" s="175"/>
      <c r="N424" s="175"/>
    </row>
    <row r="425" spans="11:14" x14ac:dyDescent="0.25">
      <c r="K425" s="175"/>
      <c r="M425" s="175"/>
      <c r="N425" s="175"/>
    </row>
    <row r="426" spans="11:14" x14ac:dyDescent="0.25">
      <c r="K426" s="175"/>
      <c r="M426" s="175"/>
      <c r="N426" s="175"/>
    </row>
    <row r="427" spans="11:14" x14ac:dyDescent="0.25">
      <c r="K427" s="175"/>
      <c r="M427" s="175"/>
      <c r="N427" s="175"/>
    </row>
    <row r="428" spans="11:14" x14ac:dyDescent="0.25">
      <c r="K428" s="175"/>
      <c r="M428" s="175"/>
      <c r="N428" s="175"/>
    </row>
    <row r="429" spans="11:14" x14ac:dyDescent="0.25">
      <c r="K429" s="175"/>
      <c r="M429" s="175"/>
      <c r="N429" s="175"/>
    </row>
    <row r="430" spans="11:14" x14ac:dyDescent="0.25">
      <c r="K430" s="175"/>
      <c r="M430" s="175"/>
      <c r="N430" s="175"/>
    </row>
    <row r="431" spans="11:14" x14ac:dyDescent="0.25">
      <c r="K431" s="175"/>
      <c r="M431" s="175"/>
      <c r="N431" s="175"/>
    </row>
    <row r="432" spans="11:14" x14ac:dyDescent="0.25">
      <c r="K432" s="175"/>
      <c r="M432" s="175"/>
      <c r="N432" s="175"/>
    </row>
    <row r="433" spans="11:14" x14ac:dyDescent="0.25">
      <c r="K433" s="175"/>
      <c r="M433" s="175"/>
      <c r="N433" s="175"/>
    </row>
    <row r="434" spans="11:14" x14ac:dyDescent="0.25">
      <c r="K434" s="175"/>
      <c r="M434" s="175"/>
      <c r="N434" s="175"/>
    </row>
    <row r="435" spans="11:14" x14ac:dyDescent="0.25">
      <c r="K435" s="175"/>
      <c r="M435" s="175"/>
      <c r="N435" s="175"/>
    </row>
    <row r="436" spans="11:14" x14ac:dyDescent="0.25">
      <c r="K436" s="175"/>
      <c r="M436" s="175"/>
      <c r="N436" s="175"/>
    </row>
    <row r="437" spans="11:14" x14ac:dyDescent="0.25">
      <c r="K437" s="175"/>
      <c r="M437" s="175"/>
      <c r="N437" s="175"/>
    </row>
    <row r="438" spans="11:14" x14ac:dyDescent="0.25">
      <c r="K438" s="175"/>
      <c r="M438" s="175"/>
      <c r="N438" s="175"/>
    </row>
    <row r="439" spans="11:14" x14ac:dyDescent="0.25">
      <c r="K439" s="175"/>
      <c r="M439" s="175"/>
      <c r="N439" s="175"/>
    </row>
    <row r="440" spans="11:14" x14ac:dyDescent="0.25">
      <c r="K440" s="175"/>
      <c r="M440" s="175"/>
      <c r="N440" s="175"/>
    </row>
    <row r="441" spans="11:14" x14ac:dyDescent="0.25">
      <c r="K441" s="175"/>
      <c r="M441" s="175"/>
      <c r="N441" s="175"/>
    </row>
    <row r="442" spans="11:14" x14ac:dyDescent="0.25">
      <c r="K442" s="175"/>
      <c r="M442" s="175"/>
      <c r="N442" s="175"/>
    </row>
    <row r="443" spans="11:14" x14ac:dyDescent="0.25">
      <c r="K443" s="175"/>
      <c r="M443" s="175"/>
      <c r="N443" s="175"/>
    </row>
    <row r="444" spans="11:14" x14ac:dyDescent="0.25">
      <c r="K444" s="175"/>
      <c r="M444" s="175"/>
      <c r="N444" s="175"/>
    </row>
    <row r="445" spans="11:14" x14ac:dyDescent="0.25">
      <c r="K445" s="175"/>
      <c r="M445" s="175"/>
      <c r="N445" s="175"/>
    </row>
    <row r="446" spans="11:14" x14ac:dyDescent="0.25">
      <c r="K446" s="175"/>
      <c r="M446" s="175"/>
      <c r="N446" s="175"/>
    </row>
    <row r="447" spans="11:14" x14ac:dyDescent="0.25">
      <c r="K447" s="175"/>
      <c r="M447" s="175"/>
      <c r="N447" s="175"/>
    </row>
    <row r="448" spans="11:14" x14ac:dyDescent="0.25">
      <c r="K448" s="175"/>
      <c r="M448" s="175"/>
      <c r="N448" s="175"/>
    </row>
    <row r="449" spans="11:14" x14ac:dyDescent="0.25">
      <c r="K449" s="175"/>
      <c r="M449" s="175"/>
      <c r="N449" s="175"/>
    </row>
    <row r="450" spans="11:14" x14ac:dyDescent="0.25">
      <c r="K450" s="175"/>
      <c r="M450" s="175"/>
      <c r="N450" s="175"/>
    </row>
    <row r="451" spans="11:14" x14ac:dyDescent="0.25">
      <c r="K451" s="175"/>
      <c r="M451" s="175"/>
      <c r="N451" s="175"/>
    </row>
    <row r="452" spans="11:14" x14ac:dyDescent="0.25">
      <c r="K452" s="175"/>
      <c r="M452" s="175"/>
      <c r="N452" s="175"/>
    </row>
    <row r="453" spans="11:14" x14ac:dyDescent="0.25">
      <c r="K453" s="175"/>
      <c r="M453" s="175"/>
      <c r="N453" s="175"/>
    </row>
    <row r="454" spans="11:14" x14ac:dyDescent="0.25">
      <c r="K454" s="175"/>
      <c r="M454" s="175"/>
      <c r="N454" s="175"/>
    </row>
    <row r="455" spans="11:14" x14ac:dyDescent="0.25">
      <c r="K455" s="175"/>
      <c r="M455" s="175"/>
      <c r="N455" s="175"/>
    </row>
    <row r="456" spans="11:14" x14ac:dyDescent="0.25">
      <c r="K456" s="175"/>
      <c r="M456" s="175"/>
      <c r="N456" s="175"/>
    </row>
    <row r="457" spans="11:14" x14ac:dyDescent="0.25">
      <c r="K457" s="175"/>
      <c r="M457" s="175"/>
      <c r="N457" s="175"/>
    </row>
    <row r="458" spans="11:14" x14ac:dyDescent="0.25">
      <c r="K458" s="175"/>
      <c r="M458" s="175"/>
      <c r="N458" s="175"/>
    </row>
    <row r="459" spans="11:14" x14ac:dyDescent="0.25">
      <c r="K459" s="175"/>
      <c r="M459" s="175"/>
      <c r="N459" s="175"/>
    </row>
    <row r="460" spans="11:14" x14ac:dyDescent="0.25">
      <c r="K460" s="175"/>
      <c r="M460" s="175"/>
      <c r="N460" s="175"/>
    </row>
    <row r="461" spans="11:14" x14ac:dyDescent="0.25">
      <c r="K461" s="175"/>
      <c r="M461" s="175"/>
      <c r="N461" s="175"/>
    </row>
    <row r="462" spans="11:14" x14ac:dyDescent="0.25">
      <c r="K462" s="175"/>
      <c r="M462" s="175"/>
      <c r="N462" s="175"/>
    </row>
    <row r="463" spans="11:14" x14ac:dyDescent="0.25">
      <c r="K463" s="175"/>
      <c r="M463" s="175"/>
      <c r="N463" s="175"/>
    </row>
    <row r="464" spans="11:14" x14ac:dyDescent="0.25">
      <c r="K464" s="175"/>
      <c r="M464" s="175"/>
      <c r="N464" s="175"/>
    </row>
    <row r="465" spans="11:14" x14ac:dyDescent="0.25">
      <c r="K465" s="175"/>
      <c r="M465" s="175"/>
      <c r="N465" s="175"/>
    </row>
    <row r="466" spans="11:14" x14ac:dyDescent="0.25">
      <c r="K466" s="175"/>
      <c r="M466" s="175"/>
      <c r="N466" s="175"/>
    </row>
    <row r="467" spans="11:14" x14ac:dyDescent="0.25">
      <c r="K467" s="175"/>
      <c r="M467" s="175"/>
      <c r="N467" s="175"/>
    </row>
    <row r="468" spans="11:14" x14ac:dyDescent="0.25">
      <c r="K468" s="175"/>
      <c r="M468" s="175"/>
      <c r="N468" s="175"/>
    </row>
    <row r="469" spans="11:14" x14ac:dyDescent="0.25">
      <c r="K469" s="175"/>
      <c r="M469" s="175"/>
      <c r="N469" s="175"/>
    </row>
    <row r="470" spans="11:14" x14ac:dyDescent="0.25">
      <c r="K470" s="175"/>
      <c r="M470" s="175"/>
      <c r="N470" s="175"/>
    </row>
    <row r="471" spans="11:14" x14ac:dyDescent="0.25">
      <c r="K471" s="175"/>
      <c r="M471" s="175"/>
      <c r="N471" s="175"/>
    </row>
    <row r="472" spans="11:14" x14ac:dyDescent="0.25">
      <c r="K472" s="175"/>
      <c r="M472" s="175"/>
      <c r="N472" s="175"/>
    </row>
    <row r="473" spans="11:14" x14ac:dyDescent="0.25">
      <c r="K473" s="175"/>
      <c r="M473" s="175"/>
      <c r="N473" s="175"/>
    </row>
    <row r="474" spans="11:14" x14ac:dyDescent="0.25">
      <c r="K474" s="175"/>
      <c r="M474" s="175"/>
      <c r="N474" s="175"/>
    </row>
    <row r="475" spans="11:14" x14ac:dyDescent="0.25">
      <c r="K475" s="175"/>
      <c r="M475" s="175"/>
      <c r="N475" s="175"/>
    </row>
    <row r="476" spans="11:14" x14ac:dyDescent="0.25">
      <c r="K476" s="175"/>
      <c r="M476" s="175"/>
      <c r="N476" s="175"/>
    </row>
    <row r="477" spans="11:14" x14ac:dyDescent="0.25">
      <c r="K477" s="175"/>
      <c r="M477" s="175"/>
      <c r="N477" s="175"/>
    </row>
    <row r="478" spans="11:14" x14ac:dyDescent="0.25">
      <c r="K478" s="175"/>
      <c r="M478" s="175"/>
      <c r="N478" s="175"/>
    </row>
    <row r="479" spans="11:14" x14ac:dyDescent="0.25">
      <c r="K479" s="175"/>
      <c r="M479" s="175"/>
      <c r="N479" s="175"/>
    </row>
    <row r="480" spans="11:14" x14ac:dyDescent="0.25">
      <c r="K480" s="175"/>
      <c r="M480" s="175"/>
      <c r="N480" s="175"/>
    </row>
    <row r="481" spans="11:14" x14ac:dyDescent="0.25">
      <c r="K481" s="175"/>
      <c r="M481" s="175"/>
      <c r="N481" s="175"/>
    </row>
    <row r="482" spans="11:14" x14ac:dyDescent="0.25">
      <c r="K482" s="175"/>
      <c r="M482" s="175"/>
      <c r="N482" s="175"/>
    </row>
    <row r="483" spans="11:14" x14ac:dyDescent="0.25">
      <c r="K483" s="175"/>
      <c r="M483" s="175"/>
      <c r="N483" s="175"/>
    </row>
    <row r="484" spans="11:14" x14ac:dyDescent="0.25">
      <c r="K484" s="175"/>
      <c r="M484" s="175"/>
      <c r="N484" s="175"/>
    </row>
    <row r="485" spans="11:14" x14ac:dyDescent="0.25">
      <c r="K485" s="175"/>
      <c r="M485" s="175"/>
      <c r="N485" s="175"/>
    </row>
    <row r="486" spans="11:14" x14ac:dyDescent="0.25">
      <c r="K486" s="175"/>
      <c r="M486" s="175"/>
      <c r="N486" s="175"/>
    </row>
    <row r="487" spans="11:14" x14ac:dyDescent="0.25">
      <c r="K487" s="175"/>
      <c r="M487" s="175"/>
      <c r="N487" s="175"/>
    </row>
    <row r="488" spans="11:14" x14ac:dyDescent="0.25">
      <c r="K488" s="175"/>
      <c r="M488" s="175"/>
      <c r="N488" s="175"/>
    </row>
    <row r="489" spans="11:14" x14ac:dyDescent="0.25">
      <c r="K489" s="175"/>
      <c r="M489" s="175"/>
      <c r="N489" s="175"/>
    </row>
    <row r="490" spans="11:14" x14ac:dyDescent="0.25">
      <c r="K490" s="175"/>
      <c r="M490" s="175"/>
      <c r="N490" s="175"/>
    </row>
    <row r="491" spans="11:14" x14ac:dyDescent="0.25">
      <c r="K491" s="175"/>
      <c r="M491" s="175"/>
      <c r="N491" s="175"/>
    </row>
    <row r="492" spans="11:14" x14ac:dyDescent="0.25">
      <c r="K492" s="175"/>
      <c r="M492" s="175"/>
      <c r="N492" s="175"/>
    </row>
    <row r="493" spans="11:14" x14ac:dyDescent="0.25">
      <c r="K493" s="175"/>
      <c r="M493" s="175"/>
      <c r="N493" s="175"/>
    </row>
    <row r="494" spans="11:14" x14ac:dyDescent="0.25">
      <c r="K494" s="175"/>
      <c r="M494" s="175"/>
      <c r="N494" s="175"/>
    </row>
    <row r="495" spans="11:14" x14ac:dyDescent="0.25">
      <c r="K495" s="175"/>
      <c r="M495" s="175"/>
      <c r="N495" s="175"/>
    </row>
    <row r="496" spans="11:14" x14ac:dyDescent="0.25">
      <c r="K496" s="175"/>
      <c r="M496" s="175"/>
      <c r="N496" s="175"/>
    </row>
    <row r="497" spans="11:14" x14ac:dyDescent="0.25">
      <c r="K497" s="175"/>
      <c r="M497" s="175"/>
      <c r="N497" s="175"/>
    </row>
    <row r="498" spans="11:14" x14ac:dyDescent="0.25">
      <c r="K498" s="175"/>
      <c r="M498" s="175"/>
      <c r="N498" s="175"/>
    </row>
    <row r="499" spans="11:14" x14ac:dyDescent="0.25">
      <c r="K499" s="175"/>
      <c r="M499" s="175"/>
      <c r="N499" s="175"/>
    </row>
    <row r="500" spans="11:14" x14ac:dyDescent="0.25">
      <c r="K500" s="175"/>
      <c r="M500" s="175"/>
      <c r="N500" s="175"/>
    </row>
    <row r="501" spans="11:14" x14ac:dyDescent="0.25">
      <c r="K501" s="175"/>
      <c r="M501" s="175"/>
      <c r="N501" s="175"/>
    </row>
    <row r="502" spans="11:14" x14ac:dyDescent="0.25">
      <c r="K502" s="175"/>
      <c r="M502" s="175"/>
      <c r="N502" s="175"/>
    </row>
    <row r="503" spans="11:14" x14ac:dyDescent="0.25">
      <c r="K503" s="175"/>
      <c r="M503" s="175"/>
      <c r="N503" s="175"/>
    </row>
    <row r="504" spans="11:14" x14ac:dyDescent="0.25">
      <c r="K504" s="175"/>
      <c r="M504" s="175"/>
      <c r="N504" s="175"/>
    </row>
    <row r="505" spans="11:14" x14ac:dyDescent="0.25">
      <c r="K505" s="175"/>
      <c r="M505" s="175"/>
      <c r="N505" s="175"/>
    </row>
    <row r="506" spans="11:14" x14ac:dyDescent="0.25">
      <c r="K506" s="175"/>
      <c r="M506" s="175"/>
      <c r="N506" s="175"/>
    </row>
    <row r="507" spans="11:14" x14ac:dyDescent="0.25">
      <c r="K507" s="175"/>
      <c r="M507" s="175"/>
      <c r="N507" s="175"/>
    </row>
    <row r="508" spans="11:14" x14ac:dyDescent="0.25">
      <c r="K508" s="175"/>
      <c r="M508" s="175"/>
      <c r="N508" s="175"/>
    </row>
    <row r="509" spans="11:14" x14ac:dyDescent="0.25">
      <c r="K509" s="175"/>
      <c r="M509" s="175"/>
      <c r="N509" s="175"/>
    </row>
    <row r="510" spans="11:14" x14ac:dyDescent="0.25">
      <c r="K510" s="175"/>
      <c r="M510" s="175"/>
      <c r="N510" s="175"/>
    </row>
    <row r="511" spans="11:14" x14ac:dyDescent="0.25">
      <c r="K511" s="175"/>
      <c r="M511" s="175"/>
      <c r="N511" s="175"/>
    </row>
    <row r="512" spans="11:14" x14ac:dyDescent="0.25">
      <c r="K512" s="175"/>
      <c r="M512" s="175"/>
      <c r="N512" s="175"/>
    </row>
    <row r="513" spans="11:14" x14ac:dyDescent="0.25">
      <c r="K513" s="175"/>
      <c r="M513" s="175"/>
      <c r="N513" s="175"/>
    </row>
    <row r="514" spans="11:14" x14ac:dyDescent="0.25">
      <c r="K514" s="175"/>
      <c r="M514" s="175"/>
      <c r="N514" s="175"/>
    </row>
    <row r="515" spans="11:14" x14ac:dyDescent="0.25">
      <c r="K515" s="175"/>
      <c r="M515" s="175"/>
      <c r="N515" s="175"/>
    </row>
    <row r="516" spans="11:14" x14ac:dyDescent="0.25">
      <c r="K516" s="175"/>
      <c r="M516" s="175"/>
      <c r="N516" s="175"/>
    </row>
    <row r="517" spans="11:14" x14ac:dyDescent="0.25">
      <c r="K517" s="175"/>
      <c r="M517" s="175"/>
      <c r="N517" s="175"/>
    </row>
    <row r="518" spans="11:14" x14ac:dyDescent="0.25">
      <c r="K518" s="175"/>
      <c r="M518" s="175"/>
      <c r="N518" s="175"/>
    </row>
    <row r="519" spans="11:14" x14ac:dyDescent="0.25">
      <c r="K519" s="175"/>
      <c r="M519" s="175"/>
      <c r="N519" s="175"/>
    </row>
    <row r="520" spans="11:14" x14ac:dyDescent="0.25">
      <c r="K520" s="175"/>
      <c r="M520" s="175"/>
      <c r="N520" s="175"/>
    </row>
    <row r="521" spans="11:14" x14ac:dyDescent="0.25">
      <c r="K521" s="175"/>
      <c r="M521" s="175"/>
      <c r="N521" s="175"/>
    </row>
    <row r="522" spans="11:14" x14ac:dyDescent="0.25">
      <c r="K522" s="175"/>
      <c r="M522" s="175"/>
      <c r="N522" s="175"/>
    </row>
    <row r="523" spans="11:14" x14ac:dyDescent="0.25">
      <c r="K523" s="175"/>
      <c r="M523" s="175"/>
      <c r="N523" s="175"/>
    </row>
    <row r="524" spans="11:14" x14ac:dyDescent="0.25">
      <c r="K524" s="175"/>
      <c r="M524" s="175"/>
      <c r="N524" s="175"/>
    </row>
    <row r="525" spans="11:14" x14ac:dyDescent="0.25">
      <c r="K525" s="175"/>
      <c r="M525" s="175"/>
      <c r="N525" s="175"/>
    </row>
    <row r="526" spans="11:14" x14ac:dyDescent="0.25">
      <c r="K526" s="175"/>
      <c r="M526" s="175"/>
      <c r="N526" s="175"/>
    </row>
    <row r="527" spans="11:14" x14ac:dyDescent="0.25">
      <c r="K527" s="175"/>
      <c r="M527" s="175"/>
      <c r="N527" s="175"/>
    </row>
    <row r="528" spans="11:14" x14ac:dyDescent="0.25">
      <c r="K528" s="175"/>
      <c r="M528" s="175"/>
      <c r="N528" s="175"/>
    </row>
    <row r="529" spans="11:14" x14ac:dyDescent="0.25">
      <c r="K529" s="175"/>
      <c r="M529" s="175"/>
      <c r="N529" s="175"/>
    </row>
    <row r="530" spans="11:14" x14ac:dyDescent="0.25">
      <c r="K530" s="175"/>
      <c r="M530" s="175"/>
      <c r="N530" s="175"/>
    </row>
    <row r="531" spans="11:14" x14ac:dyDescent="0.25">
      <c r="K531" s="175"/>
      <c r="M531" s="175"/>
      <c r="N531" s="175"/>
    </row>
    <row r="532" spans="11:14" x14ac:dyDescent="0.25">
      <c r="K532" s="175"/>
      <c r="M532" s="175"/>
      <c r="N532" s="175"/>
    </row>
    <row r="533" spans="11:14" x14ac:dyDescent="0.25">
      <c r="K533" s="175"/>
      <c r="M533" s="175"/>
      <c r="N533" s="175"/>
    </row>
    <row r="534" spans="11:14" x14ac:dyDescent="0.25">
      <c r="K534" s="175"/>
      <c r="M534" s="175"/>
      <c r="N534" s="175"/>
    </row>
    <row r="535" spans="11:14" x14ac:dyDescent="0.25">
      <c r="K535" s="175"/>
      <c r="M535" s="175"/>
      <c r="N535" s="175"/>
    </row>
    <row r="536" spans="11:14" x14ac:dyDescent="0.25">
      <c r="K536" s="175"/>
      <c r="M536" s="175"/>
      <c r="N536" s="175"/>
    </row>
    <row r="537" spans="11:14" x14ac:dyDescent="0.25">
      <c r="K537" s="175"/>
      <c r="M537" s="175"/>
      <c r="N537" s="175"/>
    </row>
    <row r="538" spans="11:14" x14ac:dyDescent="0.25">
      <c r="K538" s="175"/>
      <c r="M538" s="175"/>
      <c r="N538" s="175"/>
    </row>
    <row r="539" spans="11:14" x14ac:dyDescent="0.25">
      <c r="K539" s="175"/>
      <c r="M539" s="175"/>
      <c r="N539" s="175"/>
    </row>
    <row r="540" spans="11:14" x14ac:dyDescent="0.25">
      <c r="K540" s="175"/>
      <c r="M540" s="175"/>
      <c r="N540" s="175"/>
    </row>
    <row r="541" spans="11:14" x14ac:dyDescent="0.25">
      <c r="K541" s="175"/>
      <c r="M541" s="175"/>
      <c r="N541" s="175"/>
    </row>
    <row r="542" spans="11:14" x14ac:dyDescent="0.25">
      <c r="K542" s="175"/>
      <c r="M542" s="175"/>
      <c r="N542" s="175"/>
    </row>
    <row r="543" spans="11:14" x14ac:dyDescent="0.25">
      <c r="K543" s="175"/>
      <c r="M543" s="175"/>
      <c r="N543" s="175"/>
    </row>
    <row r="544" spans="11:14" x14ac:dyDescent="0.25">
      <c r="K544" s="175"/>
      <c r="M544" s="175"/>
      <c r="N544" s="175"/>
    </row>
    <row r="545" spans="11:14" x14ac:dyDescent="0.25">
      <c r="K545" s="175"/>
      <c r="M545" s="175"/>
      <c r="N545" s="175"/>
    </row>
    <row r="546" spans="11:14" x14ac:dyDescent="0.25">
      <c r="K546" s="175"/>
      <c r="M546" s="175"/>
      <c r="N546" s="175"/>
    </row>
    <row r="547" spans="11:14" x14ac:dyDescent="0.25">
      <c r="K547" s="175"/>
      <c r="M547" s="175"/>
      <c r="N547" s="175"/>
    </row>
    <row r="548" spans="11:14" x14ac:dyDescent="0.25">
      <c r="K548" s="175"/>
      <c r="M548" s="175"/>
      <c r="N548" s="175"/>
    </row>
    <row r="549" spans="11:14" x14ac:dyDescent="0.25">
      <c r="K549" s="175"/>
      <c r="M549" s="175"/>
      <c r="N549" s="175"/>
    </row>
    <row r="550" spans="11:14" x14ac:dyDescent="0.25">
      <c r="K550" s="175"/>
      <c r="M550" s="175"/>
      <c r="N550" s="175"/>
    </row>
    <row r="551" spans="11:14" x14ac:dyDescent="0.25">
      <c r="K551" s="175"/>
      <c r="M551" s="175"/>
      <c r="N551" s="175"/>
    </row>
    <row r="552" spans="11:14" x14ac:dyDescent="0.25">
      <c r="K552" s="175"/>
      <c r="M552" s="175"/>
      <c r="N552" s="175"/>
    </row>
    <row r="553" spans="11:14" x14ac:dyDescent="0.25">
      <c r="K553" s="175"/>
      <c r="M553" s="175"/>
      <c r="N553" s="175"/>
    </row>
    <row r="554" spans="11:14" x14ac:dyDescent="0.25">
      <c r="K554" s="175"/>
      <c r="M554" s="175"/>
      <c r="N554" s="175"/>
    </row>
    <row r="555" spans="11:14" x14ac:dyDescent="0.25">
      <c r="K555" s="175"/>
      <c r="M555" s="175"/>
      <c r="N555" s="175"/>
    </row>
    <row r="556" spans="11:14" x14ac:dyDescent="0.25">
      <c r="K556" s="175"/>
      <c r="M556" s="175"/>
      <c r="N556" s="175"/>
    </row>
    <row r="557" spans="11:14" x14ac:dyDescent="0.25">
      <c r="K557" s="175"/>
      <c r="M557" s="175"/>
      <c r="N557" s="175"/>
    </row>
    <row r="558" spans="11:14" x14ac:dyDescent="0.25">
      <c r="K558" s="175"/>
      <c r="M558" s="175"/>
      <c r="N558" s="175"/>
    </row>
    <row r="559" spans="11:14" x14ac:dyDescent="0.25">
      <c r="K559" s="175"/>
      <c r="M559" s="175"/>
      <c r="N559" s="175"/>
    </row>
    <row r="560" spans="11:14" x14ac:dyDescent="0.25">
      <c r="K560" s="175"/>
      <c r="M560" s="175"/>
      <c r="N560" s="175"/>
    </row>
    <row r="561" spans="11:14" x14ac:dyDescent="0.25">
      <c r="K561" s="175"/>
      <c r="M561" s="175"/>
      <c r="N561" s="175"/>
    </row>
    <row r="562" spans="11:14" x14ac:dyDescent="0.25">
      <c r="K562" s="175"/>
      <c r="M562" s="175"/>
      <c r="N562" s="175"/>
    </row>
    <row r="563" spans="11:14" x14ac:dyDescent="0.25">
      <c r="K563" s="175"/>
      <c r="M563" s="175"/>
      <c r="N563" s="175"/>
    </row>
    <row r="564" spans="11:14" x14ac:dyDescent="0.25">
      <c r="K564" s="175"/>
      <c r="M564" s="175"/>
      <c r="N564" s="175"/>
    </row>
    <row r="565" spans="11:14" x14ac:dyDescent="0.25">
      <c r="K565" s="175"/>
      <c r="M565" s="175"/>
      <c r="N565" s="175"/>
    </row>
    <row r="566" spans="11:14" x14ac:dyDescent="0.25">
      <c r="K566" s="175"/>
      <c r="M566" s="175"/>
      <c r="N566" s="175"/>
    </row>
    <row r="567" spans="11:14" x14ac:dyDescent="0.25">
      <c r="K567" s="175"/>
      <c r="M567" s="175"/>
      <c r="N567" s="175"/>
    </row>
    <row r="568" spans="11:14" x14ac:dyDescent="0.25">
      <c r="K568" s="175"/>
      <c r="M568" s="175"/>
      <c r="N568" s="175"/>
    </row>
    <row r="569" spans="11:14" x14ac:dyDescent="0.25">
      <c r="K569" s="175"/>
      <c r="M569" s="175"/>
      <c r="N569" s="175"/>
    </row>
    <row r="570" spans="11:14" x14ac:dyDescent="0.25">
      <c r="K570" s="175"/>
      <c r="M570" s="175"/>
      <c r="N570" s="175"/>
    </row>
    <row r="571" spans="11:14" x14ac:dyDescent="0.25">
      <c r="K571" s="175"/>
      <c r="M571" s="175"/>
      <c r="N571" s="175"/>
    </row>
    <row r="572" spans="11:14" x14ac:dyDescent="0.25">
      <c r="K572" s="175"/>
      <c r="M572" s="175"/>
      <c r="N572" s="175"/>
    </row>
    <row r="573" spans="11:14" x14ac:dyDescent="0.25">
      <c r="K573" s="175"/>
      <c r="M573" s="175"/>
      <c r="N573" s="175"/>
    </row>
    <row r="574" spans="11:14" x14ac:dyDescent="0.25">
      <c r="K574" s="175"/>
      <c r="M574" s="175"/>
      <c r="N574" s="175"/>
    </row>
    <row r="575" spans="11:14" x14ac:dyDescent="0.25">
      <c r="K575" s="175"/>
      <c r="M575" s="175"/>
      <c r="N575" s="175"/>
    </row>
    <row r="576" spans="11:14" x14ac:dyDescent="0.25">
      <c r="K576" s="175"/>
      <c r="M576" s="175"/>
      <c r="N576" s="175"/>
    </row>
    <row r="577" spans="11:14" x14ac:dyDescent="0.25">
      <c r="K577" s="175"/>
      <c r="M577" s="175"/>
      <c r="N577" s="175"/>
    </row>
    <row r="578" spans="11:14" x14ac:dyDescent="0.25">
      <c r="K578" s="175"/>
      <c r="M578" s="175"/>
      <c r="N578" s="175"/>
    </row>
    <row r="579" spans="11:14" x14ac:dyDescent="0.25">
      <c r="K579" s="175"/>
      <c r="M579" s="175"/>
      <c r="N579" s="175"/>
    </row>
    <row r="580" spans="11:14" x14ac:dyDescent="0.25">
      <c r="K580" s="175"/>
      <c r="M580" s="175"/>
      <c r="N580" s="175"/>
    </row>
    <row r="581" spans="11:14" x14ac:dyDescent="0.25">
      <c r="K581" s="175"/>
      <c r="M581" s="175"/>
      <c r="N581" s="175"/>
    </row>
    <row r="582" spans="11:14" x14ac:dyDescent="0.25">
      <c r="K582" s="175"/>
      <c r="M582" s="175"/>
      <c r="N582" s="175"/>
    </row>
    <row r="583" spans="11:14" x14ac:dyDescent="0.25">
      <c r="K583" s="175"/>
      <c r="M583" s="175"/>
      <c r="N583" s="175"/>
    </row>
    <row r="584" spans="11:14" x14ac:dyDescent="0.25">
      <c r="K584" s="175"/>
      <c r="M584" s="175"/>
      <c r="N584" s="175"/>
    </row>
    <row r="585" spans="11:14" x14ac:dyDescent="0.25">
      <c r="K585" s="175"/>
      <c r="M585" s="175"/>
      <c r="N585" s="175"/>
    </row>
    <row r="586" spans="11:14" x14ac:dyDescent="0.25">
      <c r="K586" s="175"/>
      <c r="M586" s="175"/>
      <c r="N586" s="175"/>
    </row>
    <row r="587" spans="11:14" x14ac:dyDescent="0.25">
      <c r="K587" s="175"/>
      <c r="M587" s="175"/>
      <c r="N587" s="175"/>
    </row>
    <row r="588" spans="11:14" x14ac:dyDescent="0.25">
      <c r="K588" s="175"/>
      <c r="M588" s="175"/>
      <c r="N588" s="175"/>
    </row>
    <row r="589" spans="11:14" x14ac:dyDescent="0.25">
      <c r="K589" s="175"/>
      <c r="M589" s="175"/>
      <c r="N589" s="175"/>
    </row>
    <row r="590" spans="11:14" x14ac:dyDescent="0.25">
      <c r="K590" s="175"/>
      <c r="M590" s="175"/>
      <c r="N590" s="175"/>
    </row>
    <row r="591" spans="11:14" x14ac:dyDescent="0.25">
      <c r="K591" s="175"/>
      <c r="M591" s="175"/>
      <c r="N591" s="175"/>
    </row>
    <row r="592" spans="11:14" x14ac:dyDescent="0.25">
      <c r="K592" s="175"/>
      <c r="M592" s="175"/>
      <c r="N592" s="175"/>
    </row>
    <row r="593" spans="11:14" x14ac:dyDescent="0.25">
      <c r="K593" s="175"/>
      <c r="M593" s="175"/>
      <c r="N593" s="175"/>
    </row>
    <row r="594" spans="11:14" x14ac:dyDescent="0.25">
      <c r="K594" s="175"/>
      <c r="M594" s="175"/>
      <c r="N594" s="175"/>
    </row>
    <row r="595" spans="11:14" x14ac:dyDescent="0.25">
      <c r="K595" s="175"/>
      <c r="M595" s="175"/>
      <c r="N595" s="175"/>
    </row>
    <row r="596" spans="11:14" x14ac:dyDescent="0.25">
      <c r="K596" s="175"/>
      <c r="M596" s="175"/>
      <c r="N596" s="175"/>
    </row>
    <row r="597" spans="11:14" x14ac:dyDescent="0.25">
      <c r="K597" s="175"/>
      <c r="M597" s="175"/>
      <c r="N597" s="175"/>
    </row>
    <row r="598" spans="11:14" x14ac:dyDescent="0.25">
      <c r="K598" s="175"/>
      <c r="M598" s="175"/>
      <c r="N598" s="175"/>
    </row>
    <row r="599" spans="11:14" x14ac:dyDescent="0.25">
      <c r="K599" s="175"/>
      <c r="M599" s="175"/>
      <c r="N599" s="175"/>
    </row>
    <row r="600" spans="11:14" x14ac:dyDescent="0.25">
      <c r="K600" s="175"/>
      <c r="M600" s="175"/>
      <c r="N600" s="175"/>
    </row>
    <row r="601" spans="11:14" x14ac:dyDescent="0.25">
      <c r="K601" s="175"/>
      <c r="M601" s="175"/>
      <c r="N601" s="175"/>
    </row>
    <row r="602" spans="11:14" x14ac:dyDescent="0.25">
      <c r="K602" s="175"/>
      <c r="M602" s="175"/>
      <c r="N602" s="175"/>
    </row>
    <row r="603" spans="11:14" x14ac:dyDescent="0.25">
      <c r="K603" s="175"/>
      <c r="M603" s="175"/>
      <c r="N603" s="175"/>
    </row>
    <row r="604" spans="11:14" x14ac:dyDescent="0.25">
      <c r="K604" s="175"/>
      <c r="M604" s="175"/>
      <c r="N604" s="175"/>
    </row>
    <row r="605" spans="11:14" x14ac:dyDescent="0.25">
      <c r="K605" s="175"/>
      <c r="M605" s="175"/>
      <c r="N605" s="175"/>
    </row>
    <row r="606" spans="11:14" x14ac:dyDescent="0.25">
      <c r="K606" s="175"/>
      <c r="M606" s="175"/>
      <c r="N606" s="175"/>
    </row>
    <row r="607" spans="11:14" x14ac:dyDescent="0.25">
      <c r="K607" s="175"/>
      <c r="M607" s="175"/>
      <c r="N607" s="175"/>
    </row>
    <row r="608" spans="11:14" x14ac:dyDescent="0.25">
      <c r="K608" s="175"/>
      <c r="M608" s="175"/>
      <c r="N608" s="175"/>
    </row>
    <row r="609" spans="11:14" x14ac:dyDescent="0.25">
      <c r="K609" s="175"/>
      <c r="M609" s="175"/>
      <c r="N609" s="175"/>
    </row>
    <row r="610" spans="11:14" x14ac:dyDescent="0.25">
      <c r="K610" s="175"/>
      <c r="M610" s="175"/>
      <c r="N610" s="175"/>
    </row>
    <row r="611" spans="11:14" x14ac:dyDescent="0.25">
      <c r="K611" s="175"/>
      <c r="M611" s="175"/>
      <c r="N611" s="175"/>
    </row>
    <row r="612" spans="11:14" x14ac:dyDescent="0.25">
      <c r="K612" s="175"/>
      <c r="M612" s="175"/>
      <c r="N612" s="175"/>
    </row>
    <row r="613" spans="11:14" x14ac:dyDescent="0.25">
      <c r="K613" s="175"/>
      <c r="M613" s="175"/>
      <c r="N613" s="175"/>
    </row>
    <row r="614" spans="11:14" x14ac:dyDescent="0.25">
      <c r="K614" s="175"/>
      <c r="M614" s="175"/>
      <c r="N614" s="175"/>
    </row>
    <row r="615" spans="11:14" x14ac:dyDescent="0.25">
      <c r="K615" s="175"/>
      <c r="M615" s="175"/>
      <c r="N615" s="175"/>
    </row>
    <row r="616" spans="11:14" x14ac:dyDescent="0.25">
      <c r="K616" s="175"/>
      <c r="M616" s="175"/>
      <c r="N616" s="175"/>
    </row>
    <row r="617" spans="11:14" x14ac:dyDescent="0.25">
      <c r="K617" s="175"/>
      <c r="M617" s="175"/>
      <c r="N617" s="175"/>
    </row>
    <row r="618" spans="11:14" x14ac:dyDescent="0.25">
      <c r="K618" s="175"/>
      <c r="M618" s="175"/>
      <c r="N618" s="175"/>
    </row>
    <row r="619" spans="11:14" x14ac:dyDescent="0.25">
      <c r="K619" s="175"/>
      <c r="M619" s="175"/>
      <c r="N619" s="175"/>
    </row>
    <row r="620" spans="11:14" x14ac:dyDescent="0.25">
      <c r="K620" s="175"/>
      <c r="M620" s="175"/>
      <c r="N620" s="175"/>
    </row>
    <row r="621" spans="11:14" x14ac:dyDescent="0.25">
      <c r="K621" s="175"/>
      <c r="M621" s="175"/>
      <c r="N621" s="175"/>
    </row>
    <row r="622" spans="11:14" x14ac:dyDescent="0.25">
      <c r="K622" s="175"/>
      <c r="M622" s="175"/>
      <c r="N622" s="175"/>
    </row>
    <row r="623" spans="11:14" x14ac:dyDescent="0.25">
      <c r="K623" s="175"/>
      <c r="M623" s="175"/>
      <c r="N623" s="175"/>
    </row>
    <row r="624" spans="11:14" x14ac:dyDescent="0.25">
      <c r="K624" s="175"/>
      <c r="M624" s="175"/>
      <c r="N624" s="175"/>
    </row>
    <row r="625" spans="11:14" x14ac:dyDescent="0.25">
      <c r="K625" s="175"/>
      <c r="M625" s="175"/>
      <c r="N625" s="175"/>
    </row>
    <row r="626" spans="11:14" x14ac:dyDescent="0.25">
      <c r="K626" s="175"/>
      <c r="M626" s="175"/>
      <c r="N626" s="175"/>
    </row>
    <row r="627" spans="11:14" x14ac:dyDescent="0.25">
      <c r="K627" s="175"/>
      <c r="M627" s="175"/>
      <c r="N627" s="175"/>
    </row>
    <row r="628" spans="11:14" x14ac:dyDescent="0.25">
      <c r="K628" s="175"/>
      <c r="M628" s="175"/>
      <c r="N628" s="175"/>
    </row>
    <row r="629" spans="11:14" x14ac:dyDescent="0.25">
      <c r="K629" s="175"/>
      <c r="M629" s="175"/>
      <c r="N629" s="175"/>
    </row>
    <row r="630" spans="11:14" x14ac:dyDescent="0.25">
      <c r="K630" s="175"/>
      <c r="M630" s="175"/>
      <c r="N630" s="175"/>
    </row>
    <row r="631" spans="11:14" x14ac:dyDescent="0.25">
      <c r="K631" s="175"/>
      <c r="M631" s="175"/>
      <c r="N631" s="175"/>
    </row>
    <row r="632" spans="11:14" x14ac:dyDescent="0.25">
      <c r="K632" s="175"/>
      <c r="M632" s="175"/>
      <c r="N632" s="175"/>
    </row>
    <row r="633" spans="11:14" x14ac:dyDescent="0.25">
      <c r="K633" s="175"/>
      <c r="M633" s="175"/>
      <c r="N633" s="175"/>
    </row>
    <row r="634" spans="11:14" x14ac:dyDescent="0.25">
      <c r="K634" s="175"/>
      <c r="M634" s="175"/>
      <c r="N634" s="175"/>
    </row>
    <row r="635" spans="11:14" x14ac:dyDescent="0.25">
      <c r="K635" s="175"/>
      <c r="M635" s="175"/>
      <c r="N635" s="175"/>
    </row>
    <row r="636" spans="11:14" x14ac:dyDescent="0.25">
      <c r="K636" s="175"/>
      <c r="M636" s="175"/>
      <c r="N636" s="175"/>
    </row>
    <row r="637" spans="11:14" x14ac:dyDescent="0.25">
      <c r="K637" s="175"/>
      <c r="M637" s="175"/>
      <c r="N637" s="175"/>
    </row>
    <row r="638" spans="11:14" x14ac:dyDescent="0.25">
      <c r="K638" s="175"/>
      <c r="M638" s="175"/>
      <c r="N638" s="175"/>
    </row>
    <row r="639" spans="11:14" x14ac:dyDescent="0.25">
      <c r="K639" s="175"/>
      <c r="M639" s="175"/>
      <c r="N639" s="175"/>
    </row>
    <row r="640" spans="11:14" x14ac:dyDescent="0.25">
      <c r="K640" s="175"/>
      <c r="M640" s="175"/>
      <c r="N640" s="175"/>
    </row>
    <row r="641" spans="11:14" x14ac:dyDescent="0.25">
      <c r="K641" s="175"/>
      <c r="M641" s="175"/>
      <c r="N641" s="175"/>
    </row>
    <row r="642" spans="11:14" x14ac:dyDescent="0.25">
      <c r="K642" s="175"/>
      <c r="M642" s="175"/>
      <c r="N642" s="175"/>
    </row>
    <row r="643" spans="11:14" x14ac:dyDescent="0.25">
      <c r="K643" s="175"/>
      <c r="M643" s="175"/>
      <c r="N643" s="175"/>
    </row>
    <row r="644" spans="11:14" x14ac:dyDescent="0.25">
      <c r="K644" s="175"/>
      <c r="M644" s="175"/>
      <c r="N644" s="175"/>
    </row>
    <row r="645" spans="11:14" x14ac:dyDescent="0.25">
      <c r="K645" s="175"/>
      <c r="M645" s="175"/>
      <c r="N645" s="175"/>
    </row>
    <row r="646" spans="11:14" x14ac:dyDescent="0.25">
      <c r="K646" s="175"/>
      <c r="M646" s="175"/>
      <c r="N646" s="175"/>
    </row>
    <row r="647" spans="11:14" x14ac:dyDescent="0.25">
      <c r="K647" s="175"/>
      <c r="M647" s="175"/>
      <c r="N647" s="175"/>
    </row>
    <row r="648" spans="11:14" x14ac:dyDescent="0.25">
      <c r="K648" s="175"/>
      <c r="M648" s="175"/>
      <c r="N648" s="175"/>
    </row>
    <row r="649" spans="11:14" x14ac:dyDescent="0.25">
      <c r="K649" s="175"/>
      <c r="M649" s="175"/>
      <c r="N649" s="175"/>
    </row>
    <row r="650" spans="11:14" x14ac:dyDescent="0.25">
      <c r="K650" s="175"/>
      <c r="M650" s="175"/>
      <c r="N650" s="175"/>
    </row>
    <row r="651" spans="11:14" x14ac:dyDescent="0.25">
      <c r="K651" s="175"/>
      <c r="M651" s="175"/>
      <c r="N651" s="175"/>
    </row>
    <row r="652" spans="11:14" x14ac:dyDescent="0.25">
      <c r="K652" s="175"/>
      <c r="M652" s="175"/>
      <c r="N652" s="175"/>
    </row>
    <row r="653" spans="11:14" x14ac:dyDescent="0.25">
      <c r="K653" s="175"/>
      <c r="M653" s="175"/>
      <c r="N653" s="175"/>
    </row>
    <row r="654" spans="11:14" x14ac:dyDescent="0.25">
      <c r="K654" s="175"/>
      <c r="M654" s="175"/>
      <c r="N654" s="175"/>
    </row>
    <row r="655" spans="11:14" x14ac:dyDescent="0.25">
      <c r="K655" s="175"/>
      <c r="M655" s="175"/>
      <c r="N655" s="175"/>
    </row>
    <row r="656" spans="11:14" x14ac:dyDescent="0.25">
      <c r="K656" s="175"/>
      <c r="M656" s="175"/>
      <c r="N656" s="175"/>
    </row>
    <row r="657" spans="11:14" x14ac:dyDescent="0.25">
      <c r="K657" s="175"/>
      <c r="M657" s="175"/>
      <c r="N657" s="175"/>
    </row>
    <row r="658" spans="11:14" x14ac:dyDescent="0.25">
      <c r="K658" s="175"/>
      <c r="M658" s="175"/>
      <c r="N658" s="175"/>
    </row>
    <row r="659" spans="11:14" x14ac:dyDescent="0.25">
      <c r="K659" s="175"/>
      <c r="M659" s="175"/>
      <c r="N659" s="175"/>
    </row>
    <row r="660" spans="11:14" x14ac:dyDescent="0.25">
      <c r="K660" s="175"/>
      <c r="M660" s="175"/>
      <c r="N660" s="175"/>
    </row>
    <row r="661" spans="11:14" x14ac:dyDescent="0.25">
      <c r="K661" s="175"/>
      <c r="M661" s="175"/>
      <c r="N661" s="175"/>
    </row>
    <row r="662" spans="11:14" x14ac:dyDescent="0.25">
      <c r="K662" s="175"/>
      <c r="M662" s="175"/>
      <c r="N662" s="175"/>
    </row>
    <row r="663" spans="11:14" x14ac:dyDescent="0.25">
      <c r="K663" s="175"/>
      <c r="M663" s="175"/>
      <c r="N663" s="175"/>
    </row>
    <row r="664" spans="11:14" x14ac:dyDescent="0.25">
      <c r="K664" s="175"/>
      <c r="M664" s="175"/>
      <c r="N664" s="175"/>
    </row>
    <row r="665" spans="11:14" x14ac:dyDescent="0.25">
      <c r="K665" s="175"/>
      <c r="M665" s="175"/>
      <c r="N665" s="175"/>
    </row>
    <row r="666" spans="11:14" x14ac:dyDescent="0.25">
      <c r="K666" s="175"/>
      <c r="M666" s="175"/>
      <c r="N666" s="175"/>
    </row>
    <row r="667" spans="11:14" x14ac:dyDescent="0.25">
      <c r="K667" s="175"/>
      <c r="M667" s="175"/>
      <c r="N667" s="175"/>
    </row>
    <row r="668" spans="11:14" x14ac:dyDescent="0.25">
      <c r="K668" s="175"/>
      <c r="M668" s="175"/>
      <c r="N668" s="175"/>
    </row>
    <row r="669" spans="11:14" x14ac:dyDescent="0.25">
      <c r="K669" s="175"/>
      <c r="M669" s="175"/>
      <c r="N669" s="175"/>
    </row>
    <row r="670" spans="11:14" x14ac:dyDescent="0.25">
      <c r="K670" s="175"/>
      <c r="M670" s="175"/>
      <c r="N670" s="175"/>
    </row>
    <row r="671" spans="11:14" x14ac:dyDescent="0.25">
      <c r="K671" s="175"/>
      <c r="M671" s="175"/>
      <c r="N671" s="175"/>
    </row>
    <row r="672" spans="11:14" x14ac:dyDescent="0.25">
      <c r="K672" s="175"/>
      <c r="M672" s="175"/>
      <c r="N672" s="175"/>
    </row>
    <row r="673" spans="11:14" x14ac:dyDescent="0.25">
      <c r="K673" s="175"/>
      <c r="M673" s="175"/>
      <c r="N673" s="175"/>
    </row>
    <row r="674" spans="11:14" x14ac:dyDescent="0.25">
      <c r="K674" s="175"/>
      <c r="M674" s="175"/>
      <c r="N674" s="175"/>
    </row>
    <row r="675" spans="11:14" x14ac:dyDescent="0.25">
      <c r="K675" s="175"/>
      <c r="M675" s="175"/>
      <c r="N675" s="175"/>
    </row>
    <row r="676" spans="11:14" x14ac:dyDescent="0.25">
      <c r="K676" s="175"/>
      <c r="M676" s="175"/>
      <c r="N676" s="175"/>
    </row>
    <row r="677" spans="11:14" x14ac:dyDescent="0.25">
      <c r="K677" s="175"/>
      <c r="M677" s="175"/>
      <c r="N677" s="175"/>
    </row>
    <row r="678" spans="11:14" x14ac:dyDescent="0.25">
      <c r="K678" s="175"/>
      <c r="M678" s="175"/>
      <c r="N678" s="175"/>
    </row>
    <row r="679" spans="11:14" x14ac:dyDescent="0.25">
      <c r="K679" s="175"/>
      <c r="M679" s="175"/>
      <c r="N679" s="175"/>
    </row>
    <row r="680" spans="11:14" x14ac:dyDescent="0.25">
      <c r="K680" s="175"/>
      <c r="M680" s="175"/>
      <c r="N680" s="175"/>
    </row>
    <row r="681" spans="11:14" x14ac:dyDescent="0.25">
      <c r="K681" s="175"/>
      <c r="M681" s="175"/>
      <c r="N681" s="175"/>
    </row>
    <row r="682" spans="11:14" x14ac:dyDescent="0.25">
      <c r="K682" s="175"/>
      <c r="M682" s="175"/>
      <c r="N682" s="175"/>
    </row>
    <row r="683" spans="11:14" x14ac:dyDescent="0.25">
      <c r="K683" s="175"/>
      <c r="M683" s="175"/>
      <c r="N683" s="175"/>
    </row>
    <row r="684" spans="11:14" x14ac:dyDescent="0.25">
      <c r="K684" s="175"/>
      <c r="M684" s="175"/>
      <c r="N684" s="175"/>
    </row>
    <row r="685" spans="11:14" x14ac:dyDescent="0.25">
      <c r="K685" s="175"/>
      <c r="M685" s="175"/>
      <c r="N685" s="175"/>
    </row>
    <row r="686" spans="11:14" x14ac:dyDescent="0.25">
      <c r="K686" s="175"/>
      <c r="M686" s="175"/>
      <c r="N686" s="175"/>
    </row>
    <row r="687" spans="11:14" x14ac:dyDescent="0.25">
      <c r="K687" s="175"/>
      <c r="M687" s="175"/>
      <c r="N687" s="175"/>
    </row>
    <row r="688" spans="11:14" x14ac:dyDescent="0.25">
      <c r="K688" s="175"/>
      <c r="M688" s="175"/>
      <c r="N688" s="175"/>
    </row>
    <row r="689" spans="11:14" x14ac:dyDescent="0.25">
      <c r="K689" s="175"/>
      <c r="M689" s="175"/>
      <c r="N689" s="175"/>
    </row>
    <row r="690" spans="11:14" x14ac:dyDescent="0.25">
      <c r="K690" s="175"/>
      <c r="M690" s="175"/>
      <c r="N690" s="175"/>
    </row>
    <row r="691" spans="11:14" x14ac:dyDescent="0.25">
      <c r="K691" s="175"/>
      <c r="M691" s="175"/>
      <c r="N691" s="175"/>
    </row>
    <row r="692" spans="11:14" x14ac:dyDescent="0.25">
      <c r="K692" s="175"/>
      <c r="M692" s="175"/>
      <c r="N692" s="175"/>
    </row>
    <row r="693" spans="11:14" x14ac:dyDescent="0.25">
      <c r="K693" s="175"/>
      <c r="M693" s="175"/>
      <c r="N693" s="175"/>
    </row>
    <row r="694" spans="11:14" x14ac:dyDescent="0.25">
      <c r="K694" s="175"/>
      <c r="M694" s="175"/>
      <c r="N694" s="175"/>
    </row>
    <row r="695" spans="11:14" x14ac:dyDescent="0.25">
      <c r="K695" s="175"/>
      <c r="M695" s="175"/>
      <c r="N695" s="175"/>
    </row>
    <row r="696" spans="11:14" x14ac:dyDescent="0.25">
      <c r="K696" s="175"/>
      <c r="M696" s="175"/>
      <c r="N696" s="175"/>
    </row>
    <row r="697" spans="11:14" x14ac:dyDescent="0.25">
      <c r="K697" s="175"/>
      <c r="M697" s="175"/>
      <c r="N697" s="175"/>
    </row>
    <row r="698" spans="11:14" x14ac:dyDescent="0.25">
      <c r="K698" s="175"/>
      <c r="M698" s="175"/>
      <c r="N698" s="175"/>
    </row>
    <row r="699" spans="11:14" x14ac:dyDescent="0.25">
      <c r="K699" s="175"/>
      <c r="M699" s="175"/>
      <c r="N699" s="175"/>
    </row>
    <row r="700" spans="11:14" x14ac:dyDescent="0.25">
      <c r="K700" s="175"/>
      <c r="M700" s="175"/>
      <c r="N700" s="175"/>
    </row>
    <row r="701" spans="11:14" x14ac:dyDescent="0.25">
      <c r="K701" s="175"/>
      <c r="M701" s="175"/>
      <c r="N701" s="175"/>
    </row>
    <row r="702" spans="11:14" x14ac:dyDescent="0.25">
      <c r="K702" s="175"/>
      <c r="M702" s="175"/>
      <c r="N702" s="175"/>
    </row>
    <row r="703" spans="11:14" x14ac:dyDescent="0.25">
      <c r="K703" s="175"/>
      <c r="M703" s="175"/>
      <c r="N703" s="175"/>
    </row>
    <row r="704" spans="11:14" x14ac:dyDescent="0.25">
      <c r="K704" s="175"/>
      <c r="M704" s="175"/>
      <c r="N704" s="175"/>
    </row>
    <row r="705" spans="11:14" x14ac:dyDescent="0.25">
      <c r="K705" s="175"/>
      <c r="M705" s="175"/>
      <c r="N705" s="175"/>
    </row>
    <row r="706" spans="11:14" x14ac:dyDescent="0.25">
      <c r="K706" s="175"/>
      <c r="M706" s="175"/>
      <c r="N706" s="175"/>
    </row>
    <row r="707" spans="11:14" x14ac:dyDescent="0.25">
      <c r="K707" s="175"/>
      <c r="M707" s="175"/>
      <c r="N707" s="175"/>
    </row>
    <row r="708" spans="11:14" x14ac:dyDescent="0.25">
      <c r="K708" s="175"/>
      <c r="M708" s="175"/>
      <c r="N708" s="175"/>
    </row>
    <row r="709" spans="11:14" x14ac:dyDescent="0.25">
      <c r="K709" s="175"/>
      <c r="M709" s="175"/>
      <c r="N709" s="175"/>
    </row>
    <row r="710" spans="11:14" x14ac:dyDescent="0.25">
      <c r="K710" s="175"/>
      <c r="M710" s="175"/>
      <c r="N710" s="175"/>
    </row>
    <row r="711" spans="11:14" x14ac:dyDescent="0.25">
      <c r="K711" s="175"/>
      <c r="M711" s="175"/>
      <c r="N711" s="175"/>
    </row>
    <row r="712" spans="11:14" x14ac:dyDescent="0.25">
      <c r="K712" s="175"/>
      <c r="M712" s="175"/>
      <c r="N712" s="175"/>
    </row>
    <row r="713" spans="11:14" x14ac:dyDescent="0.25">
      <c r="K713" s="175"/>
      <c r="M713" s="175"/>
      <c r="N713" s="175"/>
    </row>
    <row r="714" spans="11:14" x14ac:dyDescent="0.25">
      <c r="K714" s="175"/>
      <c r="M714" s="175"/>
      <c r="N714" s="175"/>
    </row>
    <row r="715" spans="11:14" x14ac:dyDescent="0.25">
      <c r="K715" s="175"/>
      <c r="M715" s="175"/>
      <c r="N715" s="175"/>
    </row>
    <row r="716" spans="11:14" x14ac:dyDescent="0.25">
      <c r="K716" s="175"/>
      <c r="M716" s="175"/>
      <c r="N716" s="175"/>
    </row>
    <row r="717" spans="11:14" x14ac:dyDescent="0.25">
      <c r="K717" s="175"/>
      <c r="M717" s="175"/>
      <c r="N717" s="175"/>
    </row>
    <row r="718" spans="11:14" x14ac:dyDescent="0.25">
      <c r="K718" s="175"/>
      <c r="M718" s="175"/>
      <c r="N718" s="175"/>
    </row>
    <row r="719" spans="11:14" x14ac:dyDescent="0.25">
      <c r="K719" s="175"/>
      <c r="M719" s="175"/>
      <c r="N719" s="175"/>
    </row>
    <row r="720" spans="11:14" x14ac:dyDescent="0.25">
      <c r="K720" s="175"/>
      <c r="M720" s="175"/>
      <c r="N720" s="175"/>
    </row>
    <row r="721" spans="11:14" x14ac:dyDescent="0.25">
      <c r="K721" s="175"/>
      <c r="M721" s="175"/>
      <c r="N721" s="175"/>
    </row>
    <row r="722" spans="11:14" x14ac:dyDescent="0.25">
      <c r="K722" s="175"/>
      <c r="M722" s="175"/>
      <c r="N722" s="175"/>
    </row>
    <row r="723" spans="11:14" x14ac:dyDescent="0.25">
      <c r="K723" s="175"/>
      <c r="M723" s="175"/>
      <c r="N723" s="175"/>
    </row>
    <row r="724" spans="11:14" x14ac:dyDescent="0.25">
      <c r="K724" s="175"/>
      <c r="M724" s="175"/>
      <c r="N724" s="175"/>
    </row>
    <row r="725" spans="11:14" x14ac:dyDescent="0.25">
      <c r="K725" s="175"/>
      <c r="M725" s="175"/>
      <c r="N725" s="175"/>
    </row>
    <row r="726" spans="11:14" x14ac:dyDescent="0.25">
      <c r="K726" s="175"/>
      <c r="M726" s="175"/>
      <c r="N726" s="175"/>
    </row>
    <row r="727" spans="11:14" x14ac:dyDescent="0.25">
      <c r="K727" s="175"/>
      <c r="M727" s="175"/>
      <c r="N727" s="175"/>
    </row>
    <row r="728" spans="11:14" x14ac:dyDescent="0.25">
      <c r="K728" s="175"/>
      <c r="M728" s="175"/>
      <c r="N728" s="175"/>
    </row>
    <row r="729" spans="11:14" x14ac:dyDescent="0.25">
      <c r="K729" s="175"/>
      <c r="M729" s="175"/>
      <c r="N729" s="175"/>
    </row>
    <row r="730" spans="11:14" x14ac:dyDescent="0.25">
      <c r="K730" s="175"/>
      <c r="M730" s="175"/>
      <c r="N730" s="175"/>
    </row>
    <row r="731" spans="11:14" x14ac:dyDescent="0.25">
      <c r="K731" s="175"/>
      <c r="M731" s="175"/>
      <c r="N731" s="175"/>
    </row>
    <row r="732" spans="11:14" x14ac:dyDescent="0.25">
      <c r="K732" s="175"/>
      <c r="M732" s="175"/>
      <c r="N732" s="175"/>
    </row>
    <row r="733" spans="11:14" x14ac:dyDescent="0.25">
      <c r="K733" s="175"/>
      <c r="M733" s="175"/>
      <c r="N733" s="175"/>
    </row>
    <row r="734" spans="11:14" x14ac:dyDescent="0.25">
      <c r="K734" s="175"/>
      <c r="M734" s="175"/>
      <c r="N734" s="175"/>
    </row>
    <row r="735" spans="11:14" x14ac:dyDescent="0.25">
      <c r="K735" s="175"/>
      <c r="M735" s="175"/>
      <c r="N735" s="175"/>
    </row>
    <row r="736" spans="11:14" x14ac:dyDescent="0.25">
      <c r="K736" s="175"/>
      <c r="M736" s="175"/>
      <c r="N736" s="175"/>
    </row>
    <row r="737" spans="11:14" x14ac:dyDescent="0.25">
      <c r="K737" s="175"/>
      <c r="M737" s="175"/>
      <c r="N737" s="175"/>
    </row>
    <row r="738" spans="11:14" x14ac:dyDescent="0.25">
      <c r="K738" s="175"/>
      <c r="M738" s="175"/>
      <c r="N738" s="175"/>
    </row>
    <row r="739" spans="11:14" x14ac:dyDescent="0.25">
      <c r="K739" s="175"/>
      <c r="M739" s="175"/>
      <c r="N739" s="175"/>
    </row>
    <row r="740" spans="11:14" x14ac:dyDescent="0.25">
      <c r="K740" s="175"/>
      <c r="M740" s="175"/>
      <c r="N740" s="175"/>
    </row>
    <row r="741" spans="11:14" x14ac:dyDescent="0.25">
      <c r="K741" s="175"/>
      <c r="M741" s="175"/>
      <c r="N741" s="175"/>
    </row>
    <row r="742" spans="11:14" x14ac:dyDescent="0.25">
      <c r="K742" s="175"/>
      <c r="M742" s="175"/>
      <c r="N742" s="175"/>
    </row>
    <row r="743" spans="11:14" x14ac:dyDescent="0.25">
      <c r="K743" s="175"/>
      <c r="M743" s="175"/>
      <c r="N743" s="175"/>
    </row>
    <row r="744" spans="11:14" x14ac:dyDescent="0.25">
      <c r="K744" s="175"/>
      <c r="M744" s="175"/>
      <c r="N744" s="175"/>
    </row>
    <row r="745" spans="11:14" x14ac:dyDescent="0.25">
      <c r="K745" s="175"/>
      <c r="M745" s="175"/>
      <c r="N745" s="175"/>
    </row>
    <row r="746" spans="11:14" x14ac:dyDescent="0.25">
      <c r="K746" s="175"/>
      <c r="M746" s="175"/>
      <c r="N746" s="175"/>
    </row>
    <row r="747" spans="11:14" x14ac:dyDescent="0.25">
      <c r="K747" s="175"/>
      <c r="M747" s="175"/>
      <c r="N747" s="175"/>
    </row>
    <row r="748" spans="11:14" x14ac:dyDescent="0.25">
      <c r="K748" s="175"/>
      <c r="M748" s="175"/>
      <c r="N748" s="175"/>
    </row>
    <row r="749" spans="11:14" x14ac:dyDescent="0.25">
      <c r="K749" s="175"/>
      <c r="M749" s="175"/>
      <c r="N749" s="175"/>
    </row>
    <row r="750" spans="11:14" x14ac:dyDescent="0.25">
      <c r="K750" s="175"/>
      <c r="M750" s="175"/>
      <c r="N750" s="175"/>
    </row>
    <row r="751" spans="11:14" x14ac:dyDescent="0.25">
      <c r="K751" s="175"/>
      <c r="M751" s="175"/>
      <c r="N751" s="175"/>
    </row>
    <row r="752" spans="11:14" x14ac:dyDescent="0.25">
      <c r="K752" s="175"/>
      <c r="M752" s="175"/>
      <c r="N752" s="175"/>
    </row>
    <row r="753" spans="11:14" x14ac:dyDescent="0.25">
      <c r="K753" s="175"/>
      <c r="M753" s="175"/>
      <c r="N753" s="175"/>
    </row>
    <row r="754" spans="11:14" x14ac:dyDescent="0.25">
      <c r="K754" s="175"/>
      <c r="M754" s="175"/>
      <c r="N754" s="175"/>
    </row>
    <row r="755" spans="11:14" x14ac:dyDescent="0.25">
      <c r="K755" s="175"/>
      <c r="M755" s="175"/>
      <c r="N755" s="175"/>
    </row>
    <row r="756" spans="11:14" x14ac:dyDescent="0.25">
      <c r="K756" s="175"/>
      <c r="M756" s="175"/>
      <c r="N756" s="175"/>
    </row>
    <row r="757" spans="11:14" x14ac:dyDescent="0.25">
      <c r="K757" s="175"/>
      <c r="M757" s="175"/>
      <c r="N757" s="175"/>
    </row>
    <row r="758" spans="11:14" x14ac:dyDescent="0.25">
      <c r="K758" s="175"/>
      <c r="M758" s="175"/>
      <c r="N758" s="175"/>
    </row>
    <row r="759" spans="11:14" x14ac:dyDescent="0.25">
      <c r="K759" s="175"/>
      <c r="M759" s="175"/>
      <c r="N759" s="175"/>
    </row>
    <row r="760" spans="11:14" x14ac:dyDescent="0.25">
      <c r="K760" s="175"/>
      <c r="M760" s="175"/>
      <c r="N760" s="175"/>
    </row>
    <row r="761" spans="11:14" x14ac:dyDescent="0.25">
      <c r="K761" s="175"/>
      <c r="M761" s="175"/>
      <c r="N761" s="175"/>
    </row>
    <row r="762" spans="11:14" x14ac:dyDescent="0.25">
      <c r="K762" s="175"/>
      <c r="M762" s="175"/>
      <c r="N762" s="175"/>
    </row>
    <row r="763" spans="11:14" x14ac:dyDescent="0.25">
      <c r="K763" s="175"/>
      <c r="M763" s="175"/>
      <c r="N763" s="175"/>
    </row>
    <row r="764" spans="11:14" x14ac:dyDescent="0.25">
      <c r="K764" s="175"/>
      <c r="M764" s="175"/>
      <c r="N764" s="175"/>
    </row>
    <row r="765" spans="11:14" x14ac:dyDescent="0.25">
      <c r="K765" s="175"/>
      <c r="M765" s="175"/>
      <c r="N765" s="175"/>
    </row>
    <row r="766" spans="11:14" x14ac:dyDescent="0.25">
      <c r="K766" s="175"/>
      <c r="M766" s="175"/>
      <c r="N766" s="175"/>
    </row>
    <row r="767" spans="11:14" x14ac:dyDescent="0.25">
      <c r="K767" s="175"/>
      <c r="M767" s="175"/>
      <c r="N767" s="175"/>
    </row>
    <row r="768" spans="11:14" x14ac:dyDescent="0.25">
      <c r="K768" s="175"/>
      <c r="M768" s="175"/>
      <c r="N768" s="175"/>
    </row>
    <row r="769" spans="11:14" x14ac:dyDescent="0.25">
      <c r="K769" s="175"/>
      <c r="M769" s="175"/>
      <c r="N769" s="175"/>
    </row>
    <row r="770" spans="11:14" x14ac:dyDescent="0.25">
      <c r="K770" s="175"/>
      <c r="M770" s="175"/>
      <c r="N770" s="175"/>
    </row>
    <row r="771" spans="11:14" x14ac:dyDescent="0.25">
      <c r="K771" s="175"/>
      <c r="M771" s="175"/>
      <c r="N771" s="175"/>
    </row>
    <row r="772" spans="11:14" x14ac:dyDescent="0.25">
      <c r="K772" s="175"/>
      <c r="M772" s="175"/>
      <c r="N772" s="175"/>
    </row>
    <row r="773" spans="11:14" x14ac:dyDescent="0.25">
      <c r="K773" s="175"/>
      <c r="M773" s="175"/>
      <c r="N773" s="175"/>
    </row>
    <row r="774" spans="11:14" x14ac:dyDescent="0.25">
      <c r="K774" s="175"/>
      <c r="M774" s="175"/>
      <c r="N774" s="175"/>
    </row>
    <row r="775" spans="11:14" x14ac:dyDescent="0.25">
      <c r="K775" s="175"/>
      <c r="M775" s="175"/>
      <c r="N775" s="175"/>
    </row>
    <row r="776" spans="11:14" x14ac:dyDescent="0.25">
      <c r="K776" s="175"/>
      <c r="M776" s="175"/>
      <c r="N776" s="175"/>
    </row>
    <row r="777" spans="11:14" x14ac:dyDescent="0.25">
      <c r="K777" s="175"/>
      <c r="M777" s="175"/>
      <c r="N777" s="175"/>
    </row>
    <row r="778" spans="11:14" x14ac:dyDescent="0.25">
      <c r="K778" s="175"/>
      <c r="M778" s="175"/>
      <c r="N778" s="175"/>
    </row>
    <row r="779" spans="11:14" x14ac:dyDescent="0.25">
      <c r="K779" s="175"/>
      <c r="M779" s="175"/>
      <c r="N779" s="175"/>
    </row>
    <row r="780" spans="11:14" x14ac:dyDescent="0.25">
      <c r="K780" s="175"/>
      <c r="M780" s="175"/>
      <c r="N780" s="175"/>
    </row>
    <row r="781" spans="11:14" x14ac:dyDescent="0.25">
      <c r="K781" s="175"/>
      <c r="M781" s="175"/>
      <c r="N781" s="175"/>
    </row>
    <row r="782" spans="11:14" x14ac:dyDescent="0.25">
      <c r="K782" s="175"/>
      <c r="M782" s="175"/>
      <c r="N782" s="175"/>
    </row>
    <row r="783" spans="11:14" x14ac:dyDescent="0.25">
      <c r="K783" s="175"/>
      <c r="M783" s="175"/>
      <c r="N783" s="175"/>
    </row>
    <row r="784" spans="11:14" x14ac:dyDescent="0.25">
      <c r="K784" s="175"/>
      <c r="M784" s="175"/>
      <c r="N784" s="175"/>
    </row>
    <row r="785" spans="11:14" x14ac:dyDescent="0.25">
      <c r="K785" s="175"/>
      <c r="M785" s="175"/>
      <c r="N785" s="175"/>
    </row>
    <row r="786" spans="11:14" x14ac:dyDescent="0.25">
      <c r="K786" s="175"/>
      <c r="M786" s="175"/>
      <c r="N786" s="175"/>
    </row>
    <row r="787" spans="11:14" x14ac:dyDescent="0.25">
      <c r="K787" s="175"/>
      <c r="M787" s="175"/>
      <c r="N787" s="175"/>
    </row>
    <row r="788" spans="11:14" x14ac:dyDescent="0.25">
      <c r="K788" s="175"/>
      <c r="M788" s="175"/>
      <c r="N788" s="175"/>
    </row>
    <row r="789" spans="11:14" x14ac:dyDescent="0.25">
      <c r="K789" s="175"/>
      <c r="M789" s="175"/>
      <c r="N789" s="175"/>
    </row>
    <row r="790" spans="11:14" x14ac:dyDescent="0.25">
      <c r="K790" s="175"/>
      <c r="M790" s="175"/>
      <c r="N790" s="175"/>
    </row>
    <row r="791" spans="11:14" x14ac:dyDescent="0.25">
      <c r="K791" s="175"/>
      <c r="M791" s="175"/>
      <c r="N791" s="175"/>
    </row>
    <row r="792" spans="11:14" x14ac:dyDescent="0.25">
      <c r="K792" s="175"/>
      <c r="M792" s="175"/>
      <c r="N792" s="175"/>
    </row>
    <row r="793" spans="11:14" x14ac:dyDescent="0.25">
      <c r="K793" s="175"/>
      <c r="M793" s="175"/>
      <c r="N793" s="175"/>
    </row>
    <row r="794" spans="11:14" x14ac:dyDescent="0.25">
      <c r="K794" s="175"/>
      <c r="M794" s="175"/>
      <c r="N794" s="175"/>
    </row>
    <row r="795" spans="11:14" x14ac:dyDescent="0.25">
      <c r="K795" s="175"/>
      <c r="M795" s="175"/>
      <c r="N795" s="175"/>
    </row>
    <row r="796" spans="11:14" x14ac:dyDescent="0.25">
      <c r="K796" s="175"/>
      <c r="M796" s="175"/>
      <c r="N796" s="175"/>
    </row>
    <row r="797" spans="11:14" x14ac:dyDescent="0.25">
      <c r="K797" s="175"/>
      <c r="M797" s="175"/>
      <c r="N797" s="175"/>
    </row>
    <row r="798" spans="11:14" x14ac:dyDescent="0.25">
      <c r="K798" s="175"/>
      <c r="M798" s="175"/>
      <c r="N798" s="175"/>
    </row>
    <row r="799" spans="11:14" x14ac:dyDescent="0.25">
      <c r="K799" s="175"/>
      <c r="M799" s="175"/>
      <c r="N799" s="175"/>
    </row>
    <row r="800" spans="11:14" x14ac:dyDescent="0.25">
      <c r="K800" s="175"/>
      <c r="M800" s="175"/>
      <c r="N800" s="175"/>
    </row>
    <row r="801" spans="11:14" x14ac:dyDescent="0.25">
      <c r="K801" s="175"/>
      <c r="M801" s="175"/>
      <c r="N801" s="175"/>
    </row>
    <row r="802" spans="11:14" x14ac:dyDescent="0.25">
      <c r="K802" s="175"/>
      <c r="M802" s="175"/>
      <c r="N802" s="175"/>
    </row>
    <row r="803" spans="11:14" x14ac:dyDescent="0.25">
      <c r="K803" s="175"/>
      <c r="M803" s="175"/>
      <c r="N803" s="175"/>
    </row>
    <row r="804" spans="11:14" x14ac:dyDescent="0.25">
      <c r="K804" s="175"/>
      <c r="M804" s="175"/>
      <c r="N804" s="175"/>
    </row>
    <row r="805" spans="11:14" x14ac:dyDescent="0.25">
      <c r="K805" s="175"/>
      <c r="M805" s="175"/>
      <c r="N805" s="175"/>
    </row>
    <row r="806" spans="11:14" x14ac:dyDescent="0.25">
      <c r="K806" s="175"/>
      <c r="M806" s="175"/>
      <c r="N806" s="175"/>
    </row>
    <row r="807" spans="11:14" x14ac:dyDescent="0.25">
      <c r="K807" s="175"/>
      <c r="M807" s="175"/>
      <c r="N807" s="175"/>
    </row>
    <row r="808" spans="11:14" x14ac:dyDescent="0.25">
      <c r="K808" s="175"/>
      <c r="M808" s="175"/>
      <c r="N808" s="175"/>
    </row>
    <row r="809" spans="11:14" x14ac:dyDescent="0.25">
      <c r="K809" s="175"/>
      <c r="M809" s="175"/>
      <c r="N809" s="175"/>
    </row>
    <row r="810" spans="11:14" x14ac:dyDescent="0.25">
      <c r="K810" s="175"/>
      <c r="M810" s="175"/>
      <c r="N810" s="175"/>
    </row>
    <row r="811" spans="11:14" x14ac:dyDescent="0.25">
      <c r="K811" s="175"/>
      <c r="M811" s="175"/>
      <c r="N811" s="175"/>
    </row>
    <row r="812" spans="11:14" x14ac:dyDescent="0.25">
      <c r="K812" s="175"/>
      <c r="M812" s="175"/>
      <c r="N812" s="175"/>
    </row>
    <row r="813" spans="11:14" x14ac:dyDescent="0.25">
      <c r="K813" s="175"/>
      <c r="M813" s="175"/>
      <c r="N813" s="175"/>
    </row>
    <row r="814" spans="11:14" x14ac:dyDescent="0.25">
      <c r="K814" s="175"/>
      <c r="M814" s="175"/>
      <c r="N814" s="175"/>
    </row>
    <row r="815" spans="11:14" x14ac:dyDescent="0.25">
      <c r="K815" s="175"/>
      <c r="M815" s="175"/>
      <c r="N815" s="175"/>
    </row>
    <row r="816" spans="11:14" x14ac:dyDescent="0.25">
      <c r="K816" s="175"/>
      <c r="M816" s="175"/>
      <c r="N816" s="175"/>
    </row>
    <row r="817" spans="11:14" x14ac:dyDescent="0.25">
      <c r="K817" s="175"/>
      <c r="M817" s="175"/>
      <c r="N817" s="175"/>
    </row>
    <row r="818" spans="11:14" x14ac:dyDescent="0.25">
      <c r="K818" s="175"/>
      <c r="M818" s="175"/>
      <c r="N818" s="175"/>
    </row>
    <row r="819" spans="11:14" x14ac:dyDescent="0.25">
      <c r="K819" s="175"/>
      <c r="M819" s="175"/>
      <c r="N819" s="175"/>
    </row>
    <row r="820" spans="11:14" x14ac:dyDescent="0.25">
      <c r="K820" s="175"/>
      <c r="M820" s="175"/>
      <c r="N820" s="175"/>
    </row>
    <row r="821" spans="11:14" x14ac:dyDescent="0.25">
      <c r="K821" s="175"/>
      <c r="M821" s="175"/>
      <c r="N821" s="175"/>
    </row>
    <row r="822" spans="11:14" x14ac:dyDescent="0.25">
      <c r="K822" s="175"/>
      <c r="M822" s="175"/>
      <c r="N822" s="175"/>
    </row>
    <row r="823" spans="11:14" x14ac:dyDescent="0.25">
      <c r="K823" s="175"/>
      <c r="M823" s="175"/>
      <c r="N823" s="175"/>
    </row>
    <row r="824" spans="11:14" x14ac:dyDescent="0.25">
      <c r="K824" s="175"/>
      <c r="M824" s="175"/>
      <c r="N824" s="175"/>
    </row>
    <row r="825" spans="11:14" x14ac:dyDescent="0.25">
      <c r="K825" s="175"/>
      <c r="M825" s="175"/>
      <c r="N825" s="175"/>
    </row>
    <row r="826" spans="11:14" x14ac:dyDescent="0.25">
      <c r="K826" s="175"/>
      <c r="M826" s="175"/>
      <c r="N826" s="175"/>
    </row>
    <row r="827" spans="11:14" x14ac:dyDescent="0.25">
      <c r="K827" s="175"/>
      <c r="M827" s="175"/>
      <c r="N827" s="175"/>
    </row>
    <row r="828" spans="11:14" x14ac:dyDescent="0.25">
      <c r="K828" s="175"/>
      <c r="M828" s="175"/>
      <c r="N828" s="175"/>
    </row>
    <row r="829" spans="11:14" x14ac:dyDescent="0.25">
      <c r="K829" s="175"/>
      <c r="M829" s="175"/>
      <c r="N829" s="175"/>
    </row>
    <row r="830" spans="11:14" x14ac:dyDescent="0.25">
      <c r="K830" s="175"/>
      <c r="M830" s="175"/>
      <c r="N830" s="175"/>
    </row>
    <row r="831" spans="11:14" x14ac:dyDescent="0.25">
      <c r="K831" s="175"/>
      <c r="M831" s="175"/>
      <c r="N831" s="175"/>
    </row>
    <row r="832" spans="11:14" x14ac:dyDescent="0.25">
      <c r="K832" s="175"/>
      <c r="M832" s="175"/>
      <c r="N832" s="175"/>
    </row>
    <row r="833" spans="11:14" x14ac:dyDescent="0.25">
      <c r="K833" s="175"/>
      <c r="M833" s="175"/>
      <c r="N833" s="175"/>
    </row>
    <row r="834" spans="11:14" x14ac:dyDescent="0.25">
      <c r="K834" s="175"/>
      <c r="M834" s="175"/>
      <c r="N834" s="175"/>
    </row>
    <row r="835" spans="11:14" x14ac:dyDescent="0.25">
      <c r="K835" s="175"/>
      <c r="M835" s="175"/>
      <c r="N835" s="175"/>
    </row>
    <row r="836" spans="11:14" x14ac:dyDescent="0.25">
      <c r="K836" s="175"/>
      <c r="M836" s="175"/>
      <c r="N836" s="175"/>
    </row>
    <row r="837" spans="11:14" x14ac:dyDescent="0.25">
      <c r="K837" s="175"/>
      <c r="M837" s="175"/>
      <c r="N837" s="175"/>
    </row>
    <row r="838" spans="11:14" x14ac:dyDescent="0.25">
      <c r="K838" s="175"/>
      <c r="M838" s="175"/>
      <c r="N838" s="175"/>
    </row>
    <row r="839" spans="11:14" x14ac:dyDescent="0.25">
      <c r="K839" s="175"/>
      <c r="M839" s="175"/>
      <c r="N839" s="175"/>
    </row>
    <row r="840" spans="11:14" x14ac:dyDescent="0.25">
      <c r="K840" s="175"/>
      <c r="M840" s="175"/>
      <c r="N840" s="175"/>
    </row>
    <row r="841" spans="11:14" x14ac:dyDescent="0.25">
      <c r="K841" s="175"/>
      <c r="M841" s="175"/>
      <c r="N841" s="175"/>
    </row>
    <row r="842" spans="11:14" x14ac:dyDescent="0.25">
      <c r="K842" s="175"/>
      <c r="M842" s="175"/>
      <c r="N842" s="175"/>
    </row>
    <row r="843" spans="11:14" x14ac:dyDescent="0.25">
      <c r="K843" s="175"/>
      <c r="M843" s="175"/>
      <c r="N843" s="175"/>
    </row>
    <row r="844" spans="11:14" x14ac:dyDescent="0.25">
      <c r="K844" s="175"/>
      <c r="M844" s="175"/>
      <c r="N844" s="175"/>
    </row>
    <row r="845" spans="11:14" x14ac:dyDescent="0.25">
      <c r="K845" s="175"/>
      <c r="M845" s="175"/>
      <c r="N845" s="175"/>
    </row>
    <row r="846" spans="11:14" x14ac:dyDescent="0.25">
      <c r="K846" s="175"/>
      <c r="M846" s="175"/>
      <c r="N846" s="175"/>
    </row>
    <row r="847" spans="11:14" x14ac:dyDescent="0.25">
      <c r="K847" s="175"/>
      <c r="M847" s="175"/>
      <c r="N847" s="175"/>
    </row>
    <row r="848" spans="11:14" x14ac:dyDescent="0.25">
      <c r="K848" s="175"/>
      <c r="M848" s="175"/>
      <c r="N848" s="175"/>
    </row>
    <row r="849" spans="11:14" x14ac:dyDescent="0.25">
      <c r="K849" s="175"/>
      <c r="M849" s="175"/>
      <c r="N849" s="175"/>
    </row>
    <row r="850" spans="11:14" x14ac:dyDescent="0.25">
      <c r="K850" s="175"/>
      <c r="M850" s="175"/>
      <c r="N850" s="175"/>
    </row>
    <row r="851" spans="11:14" x14ac:dyDescent="0.25">
      <c r="K851" s="175"/>
      <c r="M851" s="175"/>
      <c r="N851" s="175"/>
    </row>
    <row r="852" spans="11:14" x14ac:dyDescent="0.25">
      <c r="K852" s="175"/>
      <c r="M852" s="175"/>
      <c r="N852" s="175"/>
    </row>
    <row r="853" spans="11:14" x14ac:dyDescent="0.25">
      <c r="K853" s="175"/>
      <c r="M853" s="175"/>
      <c r="N853" s="175"/>
    </row>
    <row r="854" spans="11:14" x14ac:dyDescent="0.25">
      <c r="K854" s="175"/>
      <c r="M854" s="175"/>
      <c r="N854" s="175"/>
    </row>
    <row r="855" spans="11:14" x14ac:dyDescent="0.25">
      <c r="K855" s="175"/>
      <c r="M855" s="175"/>
      <c r="N855" s="175"/>
    </row>
    <row r="856" spans="11:14" x14ac:dyDescent="0.25">
      <c r="K856" s="175"/>
      <c r="M856" s="175"/>
      <c r="N856" s="175"/>
    </row>
    <row r="857" spans="11:14" x14ac:dyDescent="0.25">
      <c r="K857" s="175"/>
      <c r="M857" s="175"/>
      <c r="N857" s="175"/>
    </row>
    <row r="858" spans="11:14" x14ac:dyDescent="0.25">
      <c r="K858" s="175"/>
      <c r="M858" s="175"/>
      <c r="N858" s="175"/>
    </row>
    <row r="859" spans="11:14" x14ac:dyDescent="0.25">
      <c r="K859" s="175"/>
      <c r="M859" s="175"/>
      <c r="N859" s="175"/>
    </row>
    <row r="860" spans="11:14" x14ac:dyDescent="0.25">
      <c r="K860" s="175"/>
      <c r="M860" s="175"/>
      <c r="N860" s="175"/>
    </row>
    <row r="861" spans="11:14" x14ac:dyDescent="0.25">
      <c r="K861" s="175"/>
      <c r="M861" s="175"/>
      <c r="N861" s="175"/>
    </row>
    <row r="862" spans="11:14" x14ac:dyDescent="0.25">
      <c r="K862" s="175"/>
      <c r="M862" s="175"/>
      <c r="N862" s="175"/>
    </row>
    <row r="863" spans="11:14" x14ac:dyDescent="0.25">
      <c r="K863" s="175"/>
      <c r="M863" s="175"/>
      <c r="N863" s="175"/>
    </row>
    <row r="864" spans="11:14" x14ac:dyDescent="0.25">
      <c r="K864" s="175"/>
      <c r="M864" s="175"/>
      <c r="N864" s="175"/>
    </row>
    <row r="865" spans="11:14" x14ac:dyDescent="0.25">
      <c r="K865" s="175"/>
      <c r="M865" s="175"/>
      <c r="N865" s="175"/>
    </row>
    <row r="866" spans="11:14" x14ac:dyDescent="0.25">
      <c r="K866" s="175"/>
      <c r="M866" s="175"/>
      <c r="N866" s="175"/>
    </row>
    <row r="867" spans="11:14" x14ac:dyDescent="0.25">
      <c r="K867" s="175"/>
      <c r="M867" s="175"/>
      <c r="N867" s="175"/>
    </row>
    <row r="868" spans="11:14" x14ac:dyDescent="0.25">
      <c r="K868" s="175"/>
      <c r="M868" s="175"/>
      <c r="N868" s="175"/>
    </row>
    <row r="869" spans="11:14" x14ac:dyDescent="0.25">
      <c r="K869" s="175"/>
      <c r="M869" s="175"/>
      <c r="N869" s="175"/>
    </row>
    <row r="870" spans="11:14" x14ac:dyDescent="0.25">
      <c r="K870" s="175"/>
      <c r="M870" s="175"/>
      <c r="N870" s="175"/>
    </row>
    <row r="871" spans="11:14" x14ac:dyDescent="0.25">
      <c r="K871" s="175"/>
      <c r="M871" s="175"/>
      <c r="N871" s="175"/>
    </row>
    <row r="872" spans="11:14" x14ac:dyDescent="0.25">
      <c r="K872" s="175"/>
      <c r="M872" s="175"/>
      <c r="N872" s="175"/>
    </row>
    <row r="873" spans="11:14" x14ac:dyDescent="0.25">
      <c r="K873" s="175"/>
      <c r="M873" s="175"/>
      <c r="N873" s="175"/>
    </row>
    <row r="874" spans="11:14" x14ac:dyDescent="0.25">
      <c r="K874" s="175"/>
      <c r="M874" s="175"/>
      <c r="N874" s="175"/>
    </row>
    <row r="875" spans="11:14" x14ac:dyDescent="0.25">
      <c r="K875" s="175"/>
      <c r="M875" s="175"/>
      <c r="N875" s="175"/>
    </row>
    <row r="876" spans="11:14" x14ac:dyDescent="0.25">
      <c r="K876" s="175"/>
      <c r="M876" s="175"/>
      <c r="N876" s="175"/>
    </row>
    <row r="877" spans="11:14" x14ac:dyDescent="0.25">
      <c r="K877" s="175"/>
      <c r="M877" s="175"/>
      <c r="N877" s="175"/>
    </row>
    <row r="878" spans="11:14" x14ac:dyDescent="0.25">
      <c r="K878" s="175"/>
      <c r="M878" s="175"/>
      <c r="N878" s="175"/>
    </row>
    <row r="879" spans="11:14" x14ac:dyDescent="0.25">
      <c r="K879" s="175"/>
      <c r="M879" s="175"/>
      <c r="N879" s="175"/>
    </row>
    <row r="880" spans="11:14" x14ac:dyDescent="0.25">
      <c r="K880" s="175"/>
      <c r="M880" s="175"/>
      <c r="N880" s="175"/>
    </row>
    <row r="881" spans="11:14" x14ac:dyDescent="0.25">
      <c r="K881" s="175"/>
      <c r="M881" s="175"/>
      <c r="N881" s="175"/>
    </row>
    <row r="882" spans="11:14" x14ac:dyDescent="0.25">
      <c r="K882" s="175"/>
      <c r="M882" s="175"/>
      <c r="N882" s="175"/>
    </row>
    <row r="883" spans="11:14" x14ac:dyDescent="0.25">
      <c r="K883" s="175"/>
      <c r="M883" s="175"/>
      <c r="N883" s="175"/>
    </row>
    <row r="884" spans="11:14" x14ac:dyDescent="0.25">
      <c r="K884" s="175"/>
      <c r="M884" s="175"/>
      <c r="N884" s="175"/>
    </row>
    <row r="885" spans="11:14" x14ac:dyDescent="0.25">
      <c r="K885" s="175"/>
      <c r="M885" s="175"/>
      <c r="N885" s="175"/>
    </row>
    <row r="886" spans="11:14" x14ac:dyDescent="0.25">
      <c r="K886" s="175"/>
      <c r="M886" s="175"/>
      <c r="N886" s="175"/>
    </row>
    <row r="887" spans="11:14" x14ac:dyDescent="0.25">
      <c r="K887" s="175"/>
      <c r="M887" s="175"/>
      <c r="N887" s="175"/>
    </row>
    <row r="888" spans="11:14" x14ac:dyDescent="0.25">
      <c r="K888" s="175"/>
      <c r="M888" s="175"/>
      <c r="N888" s="175"/>
    </row>
    <row r="889" spans="11:14" x14ac:dyDescent="0.25">
      <c r="K889" s="175"/>
      <c r="M889" s="175"/>
      <c r="N889" s="175"/>
    </row>
    <row r="890" spans="11:14" x14ac:dyDescent="0.25">
      <c r="K890" s="175"/>
      <c r="M890" s="175"/>
      <c r="N890" s="175"/>
    </row>
    <row r="891" spans="11:14" x14ac:dyDescent="0.25">
      <c r="K891" s="175"/>
      <c r="M891" s="175"/>
      <c r="N891" s="175"/>
    </row>
    <row r="892" spans="11:14" x14ac:dyDescent="0.25">
      <c r="K892" s="175"/>
      <c r="M892" s="175"/>
      <c r="N892" s="175"/>
    </row>
    <row r="893" spans="11:14" x14ac:dyDescent="0.25">
      <c r="K893" s="175"/>
      <c r="M893" s="175"/>
      <c r="N893" s="175"/>
    </row>
    <row r="894" spans="11:14" x14ac:dyDescent="0.25">
      <c r="K894" s="175"/>
      <c r="M894" s="175"/>
      <c r="N894" s="175"/>
    </row>
    <row r="895" spans="11:14" x14ac:dyDescent="0.25">
      <c r="K895" s="175"/>
      <c r="M895" s="175"/>
      <c r="N895" s="175"/>
    </row>
    <row r="896" spans="11:14" x14ac:dyDescent="0.25">
      <c r="K896" s="175"/>
      <c r="M896" s="175"/>
      <c r="N896" s="175"/>
    </row>
    <row r="897" spans="11:14" x14ac:dyDescent="0.25">
      <c r="K897" s="175"/>
      <c r="M897" s="175"/>
      <c r="N897" s="175"/>
    </row>
    <row r="898" spans="11:14" x14ac:dyDescent="0.25">
      <c r="K898" s="175"/>
      <c r="M898" s="175"/>
      <c r="N898" s="175"/>
    </row>
    <row r="899" spans="11:14" x14ac:dyDescent="0.25">
      <c r="K899" s="175"/>
      <c r="M899" s="175"/>
      <c r="N899" s="175"/>
    </row>
    <row r="900" spans="11:14" x14ac:dyDescent="0.25">
      <c r="K900" s="175"/>
      <c r="M900" s="175"/>
      <c r="N900" s="175"/>
    </row>
    <row r="901" spans="11:14" x14ac:dyDescent="0.25">
      <c r="K901" s="175"/>
      <c r="M901" s="175"/>
      <c r="N901" s="175"/>
    </row>
    <row r="902" spans="11:14" x14ac:dyDescent="0.25">
      <c r="K902" s="175"/>
      <c r="M902" s="175"/>
      <c r="N902" s="175"/>
    </row>
    <row r="903" spans="11:14" x14ac:dyDescent="0.25">
      <c r="K903" s="175"/>
      <c r="M903" s="175"/>
      <c r="N903" s="175"/>
    </row>
    <row r="904" spans="11:14" x14ac:dyDescent="0.25">
      <c r="K904" s="175"/>
      <c r="M904" s="175"/>
      <c r="N904" s="175"/>
    </row>
    <row r="905" spans="11:14" x14ac:dyDescent="0.25">
      <c r="K905" s="175"/>
      <c r="M905" s="175"/>
      <c r="N905" s="175"/>
    </row>
    <row r="906" spans="11:14" x14ac:dyDescent="0.25">
      <c r="K906" s="175"/>
      <c r="M906" s="175"/>
      <c r="N906" s="175"/>
    </row>
    <row r="907" spans="11:14" x14ac:dyDescent="0.25">
      <c r="K907" s="175"/>
      <c r="M907" s="175"/>
      <c r="N907" s="175"/>
    </row>
    <row r="908" spans="11:14" x14ac:dyDescent="0.25">
      <c r="K908" s="175"/>
      <c r="M908" s="175"/>
      <c r="N908" s="175"/>
    </row>
    <row r="909" spans="11:14" x14ac:dyDescent="0.25">
      <c r="K909" s="175"/>
      <c r="M909" s="175"/>
      <c r="N909" s="175"/>
    </row>
    <row r="910" spans="11:14" x14ac:dyDescent="0.25">
      <c r="K910" s="175"/>
      <c r="M910" s="175"/>
      <c r="N910" s="175"/>
    </row>
    <row r="911" spans="11:14" x14ac:dyDescent="0.25">
      <c r="K911" s="175"/>
      <c r="M911" s="175"/>
      <c r="N911" s="175"/>
    </row>
    <row r="912" spans="11:14" x14ac:dyDescent="0.25">
      <c r="K912" s="175"/>
      <c r="M912" s="175"/>
      <c r="N912" s="175"/>
    </row>
    <row r="913" spans="11:14" x14ac:dyDescent="0.25">
      <c r="K913" s="175"/>
      <c r="M913" s="175"/>
      <c r="N913" s="175"/>
    </row>
    <row r="914" spans="11:14" x14ac:dyDescent="0.25">
      <c r="K914" s="175"/>
      <c r="M914" s="175"/>
      <c r="N914" s="175"/>
    </row>
    <row r="915" spans="11:14" x14ac:dyDescent="0.25">
      <c r="K915" s="175"/>
      <c r="M915" s="175"/>
      <c r="N915" s="175"/>
    </row>
    <row r="916" spans="11:14" x14ac:dyDescent="0.25">
      <c r="K916" s="175"/>
      <c r="M916" s="175"/>
      <c r="N916" s="175"/>
    </row>
    <row r="917" spans="11:14" x14ac:dyDescent="0.25">
      <c r="K917" s="175"/>
      <c r="M917" s="175"/>
      <c r="N917" s="175"/>
    </row>
    <row r="918" spans="11:14" x14ac:dyDescent="0.25">
      <c r="K918" s="175"/>
      <c r="M918" s="175"/>
      <c r="N918" s="175"/>
    </row>
    <row r="919" spans="11:14" x14ac:dyDescent="0.25">
      <c r="K919" s="175"/>
      <c r="M919" s="175"/>
      <c r="N919" s="175"/>
    </row>
    <row r="920" spans="11:14" x14ac:dyDescent="0.25">
      <c r="K920" s="175"/>
      <c r="M920" s="175"/>
      <c r="N920" s="175"/>
    </row>
    <row r="921" spans="11:14" x14ac:dyDescent="0.25">
      <c r="K921" s="175"/>
      <c r="M921" s="175"/>
      <c r="N921" s="175"/>
    </row>
    <row r="922" spans="11:14" x14ac:dyDescent="0.25">
      <c r="K922" s="175"/>
      <c r="M922" s="175"/>
      <c r="N922" s="175"/>
    </row>
    <row r="923" spans="11:14" x14ac:dyDescent="0.25">
      <c r="K923" s="175"/>
      <c r="M923" s="175"/>
      <c r="N923" s="175"/>
    </row>
    <row r="924" spans="11:14" x14ac:dyDescent="0.25">
      <c r="K924" s="175"/>
      <c r="M924" s="175"/>
      <c r="N924" s="175"/>
    </row>
    <row r="925" spans="11:14" x14ac:dyDescent="0.25">
      <c r="K925" s="175"/>
      <c r="M925" s="175"/>
      <c r="N925" s="175"/>
    </row>
    <row r="926" spans="11:14" x14ac:dyDescent="0.25">
      <c r="K926" s="175"/>
      <c r="M926" s="175"/>
      <c r="N926" s="175"/>
    </row>
    <row r="927" spans="11:14" x14ac:dyDescent="0.25">
      <c r="K927" s="175"/>
      <c r="M927" s="175"/>
      <c r="N927" s="175"/>
    </row>
    <row r="928" spans="11:14" x14ac:dyDescent="0.25">
      <c r="K928" s="175"/>
      <c r="M928" s="175"/>
      <c r="N928" s="175"/>
    </row>
    <row r="929" spans="11:14" x14ac:dyDescent="0.25">
      <c r="K929" s="175"/>
      <c r="M929" s="175"/>
      <c r="N929" s="175"/>
    </row>
    <row r="930" spans="11:14" x14ac:dyDescent="0.25">
      <c r="K930" s="175"/>
      <c r="M930" s="175"/>
      <c r="N930" s="175"/>
    </row>
    <row r="931" spans="11:14" x14ac:dyDescent="0.25">
      <c r="K931" s="175"/>
      <c r="M931" s="175"/>
      <c r="N931" s="175"/>
    </row>
    <row r="932" spans="11:14" x14ac:dyDescent="0.25">
      <c r="K932" s="175"/>
      <c r="M932" s="175"/>
      <c r="N932" s="175"/>
    </row>
    <row r="933" spans="11:14" x14ac:dyDescent="0.25">
      <c r="K933" s="175"/>
      <c r="M933" s="175"/>
      <c r="N933" s="175"/>
    </row>
    <row r="934" spans="11:14" x14ac:dyDescent="0.25">
      <c r="K934" s="175"/>
      <c r="M934" s="175"/>
      <c r="N934" s="175"/>
    </row>
    <row r="935" spans="11:14" x14ac:dyDescent="0.25">
      <c r="K935" s="175"/>
      <c r="M935" s="175"/>
      <c r="N935" s="175"/>
    </row>
    <row r="936" spans="11:14" x14ac:dyDescent="0.25">
      <c r="K936" s="175"/>
      <c r="M936" s="175"/>
      <c r="N936" s="175"/>
    </row>
    <row r="937" spans="11:14" x14ac:dyDescent="0.25">
      <c r="K937" s="175"/>
      <c r="M937" s="175"/>
      <c r="N937" s="175"/>
    </row>
    <row r="938" spans="11:14" x14ac:dyDescent="0.25">
      <c r="K938" s="175"/>
      <c r="M938" s="175"/>
      <c r="N938" s="175"/>
    </row>
    <row r="939" spans="11:14" x14ac:dyDescent="0.25">
      <c r="K939" s="175"/>
      <c r="M939" s="175"/>
      <c r="N939" s="175"/>
    </row>
    <row r="940" spans="11:14" x14ac:dyDescent="0.25">
      <c r="K940" s="175"/>
      <c r="M940" s="175"/>
      <c r="N940" s="175"/>
    </row>
    <row r="941" spans="11:14" x14ac:dyDescent="0.25">
      <c r="K941" s="175"/>
      <c r="M941" s="175"/>
      <c r="N941" s="175"/>
    </row>
    <row r="942" spans="11:14" x14ac:dyDescent="0.25">
      <c r="K942" s="175"/>
      <c r="M942" s="175"/>
      <c r="N942" s="175"/>
    </row>
    <row r="943" spans="11:14" x14ac:dyDescent="0.25">
      <c r="K943" s="175"/>
      <c r="M943" s="175"/>
      <c r="N943" s="175"/>
    </row>
    <row r="944" spans="11:14" x14ac:dyDescent="0.25">
      <c r="K944" s="175"/>
      <c r="M944" s="175"/>
      <c r="N944" s="175"/>
    </row>
    <row r="945" spans="11:14" x14ac:dyDescent="0.25">
      <c r="K945" s="175"/>
      <c r="M945" s="175"/>
      <c r="N945" s="175"/>
    </row>
    <row r="946" spans="11:14" x14ac:dyDescent="0.25">
      <c r="K946" s="175"/>
      <c r="M946" s="175"/>
      <c r="N946" s="175"/>
    </row>
    <row r="947" spans="11:14" x14ac:dyDescent="0.25">
      <c r="K947" s="175"/>
      <c r="M947" s="175"/>
      <c r="N947" s="175"/>
    </row>
    <row r="948" spans="11:14" x14ac:dyDescent="0.25">
      <c r="K948" s="175"/>
      <c r="M948" s="175"/>
      <c r="N948" s="175"/>
    </row>
    <row r="949" spans="11:14" x14ac:dyDescent="0.25">
      <c r="K949" s="175"/>
      <c r="M949" s="175"/>
      <c r="N949" s="175"/>
    </row>
    <row r="950" spans="11:14" x14ac:dyDescent="0.25">
      <c r="K950" s="175"/>
      <c r="M950" s="175"/>
      <c r="N950" s="175"/>
    </row>
    <row r="951" spans="11:14" x14ac:dyDescent="0.25">
      <c r="K951" s="175"/>
      <c r="M951" s="175"/>
      <c r="N951" s="175"/>
    </row>
    <row r="952" spans="11:14" x14ac:dyDescent="0.25">
      <c r="K952" s="175"/>
      <c r="M952" s="175"/>
      <c r="N952" s="175"/>
    </row>
    <row r="953" spans="11:14" x14ac:dyDescent="0.25">
      <c r="K953" s="175"/>
      <c r="M953" s="175"/>
      <c r="N953" s="175"/>
    </row>
    <row r="954" spans="11:14" x14ac:dyDescent="0.25">
      <c r="K954" s="175"/>
      <c r="M954" s="175"/>
      <c r="N954" s="175"/>
    </row>
    <row r="955" spans="11:14" x14ac:dyDescent="0.25">
      <c r="K955" s="175"/>
      <c r="M955" s="175"/>
      <c r="N955" s="175"/>
    </row>
    <row r="956" spans="11:14" x14ac:dyDescent="0.25">
      <c r="K956" s="175"/>
      <c r="M956" s="175"/>
      <c r="N956" s="175"/>
    </row>
    <row r="957" spans="11:14" x14ac:dyDescent="0.25">
      <c r="K957" s="175"/>
      <c r="M957" s="175"/>
      <c r="N957" s="175"/>
    </row>
    <row r="958" spans="11:14" x14ac:dyDescent="0.25">
      <c r="K958" s="175"/>
      <c r="M958" s="175"/>
      <c r="N958" s="175"/>
    </row>
    <row r="959" spans="11:14" x14ac:dyDescent="0.25">
      <c r="K959" s="175"/>
      <c r="M959" s="175"/>
      <c r="N959" s="175"/>
    </row>
    <row r="960" spans="11:14" x14ac:dyDescent="0.25">
      <c r="K960" s="175"/>
      <c r="M960" s="175"/>
      <c r="N960" s="175"/>
    </row>
    <row r="961" spans="11:14" x14ac:dyDescent="0.25">
      <c r="K961" s="175"/>
      <c r="M961" s="175"/>
      <c r="N961" s="175"/>
    </row>
    <row r="962" spans="11:14" x14ac:dyDescent="0.25">
      <c r="K962" s="175"/>
      <c r="M962" s="175"/>
      <c r="N962" s="175"/>
    </row>
    <row r="963" spans="11:14" x14ac:dyDescent="0.25">
      <c r="K963" s="175"/>
      <c r="M963" s="175"/>
      <c r="N963" s="175"/>
    </row>
    <row r="964" spans="11:14" x14ac:dyDescent="0.25">
      <c r="K964" s="175"/>
      <c r="M964" s="175"/>
      <c r="N964" s="175"/>
    </row>
    <row r="965" spans="11:14" x14ac:dyDescent="0.25">
      <c r="K965" s="175"/>
      <c r="M965" s="175"/>
      <c r="N965" s="175"/>
    </row>
    <row r="966" spans="11:14" x14ac:dyDescent="0.25">
      <c r="K966" s="175"/>
      <c r="M966" s="175"/>
      <c r="N966" s="175"/>
    </row>
    <row r="967" spans="11:14" x14ac:dyDescent="0.25">
      <c r="K967" s="175"/>
      <c r="M967" s="175"/>
      <c r="N967" s="175"/>
    </row>
    <row r="968" spans="11:14" x14ac:dyDescent="0.25">
      <c r="K968" s="175"/>
      <c r="M968" s="175"/>
      <c r="N968" s="175"/>
    </row>
    <row r="969" spans="11:14" x14ac:dyDescent="0.25">
      <c r="K969" s="175"/>
      <c r="M969" s="175"/>
      <c r="N969" s="175"/>
    </row>
    <row r="970" spans="11:14" x14ac:dyDescent="0.25">
      <c r="K970" s="175"/>
      <c r="M970" s="175"/>
      <c r="N970" s="175"/>
    </row>
    <row r="971" spans="11:14" x14ac:dyDescent="0.25">
      <c r="K971" s="175"/>
      <c r="M971" s="175"/>
      <c r="N971" s="175"/>
    </row>
    <row r="972" spans="11:14" x14ac:dyDescent="0.25">
      <c r="K972" s="175"/>
      <c r="M972" s="175"/>
      <c r="N972" s="175"/>
    </row>
    <row r="973" spans="11:14" x14ac:dyDescent="0.25">
      <c r="K973" s="175"/>
      <c r="M973" s="175"/>
      <c r="N973" s="175"/>
    </row>
    <row r="974" spans="11:14" x14ac:dyDescent="0.25">
      <c r="K974" s="175"/>
      <c r="M974" s="175"/>
      <c r="N974" s="175"/>
    </row>
    <row r="975" spans="11:14" x14ac:dyDescent="0.25">
      <c r="K975" s="175"/>
      <c r="M975" s="175"/>
      <c r="N975" s="175"/>
    </row>
    <row r="976" spans="11:14" x14ac:dyDescent="0.25">
      <c r="K976" s="175"/>
      <c r="M976" s="175"/>
      <c r="N976" s="175"/>
    </row>
    <row r="977" spans="11:14" x14ac:dyDescent="0.25">
      <c r="K977" s="175"/>
      <c r="M977" s="175"/>
      <c r="N977" s="175"/>
    </row>
    <row r="978" spans="11:14" x14ac:dyDescent="0.25">
      <c r="K978" s="175"/>
      <c r="M978" s="175"/>
      <c r="N978" s="175"/>
    </row>
    <row r="979" spans="11:14" x14ac:dyDescent="0.25">
      <c r="K979" s="175"/>
      <c r="M979" s="175"/>
      <c r="N979" s="175"/>
    </row>
    <row r="980" spans="11:14" x14ac:dyDescent="0.25">
      <c r="K980" s="175"/>
      <c r="M980" s="175"/>
      <c r="N980" s="175"/>
    </row>
    <row r="981" spans="11:14" x14ac:dyDescent="0.25">
      <c r="K981" s="175"/>
      <c r="M981" s="175"/>
      <c r="N981" s="175"/>
    </row>
    <row r="982" spans="11:14" x14ac:dyDescent="0.25">
      <c r="K982" s="175"/>
      <c r="M982" s="175"/>
      <c r="N982" s="175"/>
    </row>
    <row r="983" spans="11:14" x14ac:dyDescent="0.25">
      <c r="K983" s="175"/>
      <c r="M983" s="175"/>
      <c r="N983" s="175"/>
    </row>
    <row r="984" spans="11:14" x14ac:dyDescent="0.25">
      <c r="K984" s="175"/>
      <c r="M984" s="175"/>
      <c r="N984" s="175"/>
    </row>
    <row r="985" spans="11:14" x14ac:dyDescent="0.25">
      <c r="K985" s="175"/>
      <c r="M985" s="175"/>
      <c r="N985" s="175"/>
    </row>
    <row r="986" spans="11:14" x14ac:dyDescent="0.25">
      <c r="K986" s="175"/>
      <c r="M986" s="175"/>
      <c r="N986" s="175"/>
    </row>
    <row r="987" spans="11:14" x14ac:dyDescent="0.25">
      <c r="K987" s="175"/>
      <c r="M987" s="175"/>
      <c r="N987" s="175"/>
    </row>
    <row r="988" spans="11:14" x14ac:dyDescent="0.25">
      <c r="K988" s="175"/>
      <c r="M988" s="175"/>
      <c r="N988" s="175"/>
    </row>
    <row r="989" spans="11:14" x14ac:dyDescent="0.25">
      <c r="K989" s="175"/>
      <c r="M989" s="175"/>
      <c r="N989" s="175"/>
    </row>
  </sheetData>
  <sortState ref="A2:AI989">
    <sortCondition ref="E2:E999"/>
    <sortCondition descending="1" ref="K2:K999"/>
    <sortCondition ref="G2:G999"/>
  </sortState>
  <conditionalFormatting sqref="A1:J1 L1:N1 M355:N355 N2 N341 M3:N326 M359:N359 K359 K384 M384:N384 M386:N386 K386 K388:K65526 M388:N65526">
    <cfRule type="expression" dxfId="850" priority="843">
      <formula>$E1&lt;12</formula>
    </cfRule>
    <cfRule type="expression" dxfId="849" priority="844">
      <formula>$E1=18</formula>
    </cfRule>
    <cfRule type="expression" dxfId="848" priority="845">
      <formula>$E1=17</formula>
    </cfRule>
    <cfRule type="expression" dxfId="847" priority="846">
      <formula>$E1=16</formula>
    </cfRule>
    <cfRule type="expression" dxfId="846" priority="847">
      <formula>$E1=15</formula>
    </cfRule>
    <cfRule type="expression" dxfId="845" priority="848">
      <formula>$E1=14</formula>
    </cfRule>
    <cfRule type="expression" dxfId="844" priority="849">
      <formula>$E1=13</formula>
    </cfRule>
    <cfRule type="expression" dxfId="843" priority="850">
      <formula>$E1=12</formula>
    </cfRule>
  </conditionalFormatting>
  <conditionalFormatting sqref="A1:J1 L1:N1 M355:N355 N2 N341 M3:N326 M359:N359 K359 K384 M384:N384 M386:N386 K386 K388:K65526 M388:N65526">
    <cfRule type="expression" dxfId="842" priority="834">
      <formula>$E1=10</formula>
    </cfRule>
    <cfRule type="expression" dxfId="841" priority="835">
      <formula>$E1=11</formula>
    </cfRule>
    <cfRule type="expression" dxfId="840" priority="836">
      <formula>$E1=18</formula>
    </cfRule>
    <cfRule type="expression" dxfId="839" priority="837">
      <formula>$E1=17</formula>
    </cfRule>
    <cfRule type="expression" dxfId="838" priority="838">
      <formula>$E1=16</formula>
    </cfRule>
    <cfRule type="expression" dxfId="837" priority="839">
      <formula>$E1=15</formula>
    </cfRule>
    <cfRule type="expression" dxfId="836" priority="840">
      <formula>$E1=14</formula>
    </cfRule>
    <cfRule type="expression" dxfId="835" priority="841">
      <formula>$E1=13</formula>
    </cfRule>
    <cfRule type="expression" dxfId="834" priority="842">
      <formula>$E1=12</formula>
    </cfRule>
  </conditionalFormatting>
  <conditionalFormatting sqref="L2:L146 A2:B2 G2:I2 A3:I3 A4:J325 J326:J333 L148:L325">
    <cfRule type="expression" dxfId="833" priority="826">
      <formula>$E2&lt;12</formula>
    </cfRule>
    <cfRule type="expression" dxfId="832" priority="827">
      <formula>$E2=18</formula>
    </cfRule>
    <cfRule type="expression" dxfId="831" priority="828">
      <formula>$E2=17</formula>
    </cfRule>
    <cfRule type="expression" dxfId="830" priority="829">
      <formula>$E2=16</formula>
    </cfRule>
    <cfRule type="expression" dxfId="829" priority="830">
      <formula>$E2=15</formula>
    </cfRule>
    <cfRule type="expression" dxfId="828" priority="831">
      <formula>$E2=14</formula>
    </cfRule>
    <cfRule type="expression" dxfId="827" priority="832">
      <formula>$E2=13</formula>
    </cfRule>
    <cfRule type="expression" dxfId="826" priority="833">
      <formula>$E2=12</formula>
    </cfRule>
  </conditionalFormatting>
  <conditionalFormatting sqref="L2:L146 A2:B2 G2:I2 A3:I3 A4:J325 J326:J333 L148:L325">
    <cfRule type="expression" dxfId="825" priority="817">
      <formula>$E2=10</formula>
    </cfRule>
    <cfRule type="expression" dxfId="824" priority="818">
      <formula>$E2=11</formula>
    </cfRule>
    <cfRule type="expression" dxfId="823" priority="819">
      <formula>$E2=18</formula>
    </cfRule>
    <cfRule type="expression" dxfId="822" priority="820">
      <formula>$E2=17</formula>
    </cfRule>
    <cfRule type="expression" dxfId="821" priority="821">
      <formula>$E2=16</formula>
    </cfRule>
    <cfRule type="expression" dxfId="820" priority="822">
      <formula>$E2=15</formula>
    </cfRule>
    <cfRule type="expression" dxfId="819" priority="823">
      <formula>$E2=14</formula>
    </cfRule>
    <cfRule type="expression" dxfId="818" priority="824">
      <formula>$E2=13</formula>
    </cfRule>
    <cfRule type="expression" dxfId="817" priority="825">
      <formula>$E2=12</formula>
    </cfRule>
  </conditionalFormatting>
  <conditionalFormatting sqref="K1 K355 K3:K326">
    <cfRule type="expression" dxfId="816" priority="809">
      <formula>$E1&lt;12</formula>
    </cfRule>
    <cfRule type="expression" dxfId="815" priority="810">
      <formula>$E1=18</formula>
    </cfRule>
    <cfRule type="expression" dxfId="814" priority="811">
      <formula>$E1=17</formula>
    </cfRule>
    <cfRule type="expression" dxfId="813" priority="812">
      <formula>$E1=16</formula>
    </cfRule>
    <cfRule type="expression" dxfId="812" priority="813">
      <formula>$E1=15</formula>
    </cfRule>
    <cfRule type="expression" dxfId="811" priority="814">
      <formula>$E1=14</formula>
    </cfRule>
    <cfRule type="expression" dxfId="810" priority="815">
      <formula>$E1=13</formula>
    </cfRule>
    <cfRule type="expression" dxfId="809" priority="816">
      <formula>$E1=12</formula>
    </cfRule>
  </conditionalFormatting>
  <conditionalFormatting sqref="K1 K355 K3:K326">
    <cfRule type="expression" dxfId="808" priority="800">
      <formula>$E1=10</formula>
    </cfRule>
    <cfRule type="expression" dxfId="807" priority="801">
      <formula>$E1=11</formula>
    </cfRule>
    <cfRule type="expression" dxfId="806" priority="802">
      <formula>$E1=18</formula>
    </cfRule>
    <cfRule type="expression" dxfId="805" priority="803">
      <formula>$E1=17</formula>
    </cfRule>
    <cfRule type="expression" dxfId="804" priority="804">
      <formula>$E1=16</formula>
    </cfRule>
    <cfRule type="expression" dxfId="803" priority="805">
      <formula>$E1=15</formula>
    </cfRule>
    <cfRule type="expression" dxfId="802" priority="806">
      <formula>$E1=14</formula>
    </cfRule>
    <cfRule type="expression" dxfId="801" priority="807">
      <formula>$E1=13</formula>
    </cfRule>
    <cfRule type="expression" dxfId="800" priority="808">
      <formula>$E1=12</formula>
    </cfRule>
  </conditionalFormatting>
  <conditionalFormatting sqref="N327:N332">
    <cfRule type="expression" dxfId="799" priority="792">
      <formula>$E327&lt;12</formula>
    </cfRule>
    <cfRule type="expression" dxfId="798" priority="793">
      <formula>$E327=18</formula>
    </cfRule>
    <cfRule type="expression" dxfId="797" priority="794">
      <formula>$E327=17</formula>
    </cfRule>
    <cfRule type="expression" dxfId="796" priority="795">
      <formula>$E327=16</formula>
    </cfRule>
    <cfRule type="expression" dxfId="795" priority="796">
      <formula>$E327=15</formula>
    </cfRule>
    <cfRule type="expression" dxfId="794" priority="797">
      <formula>$E327=14</formula>
    </cfRule>
    <cfRule type="expression" dxfId="793" priority="798">
      <formula>$E327=13</formula>
    </cfRule>
    <cfRule type="expression" dxfId="792" priority="799">
      <formula>$E327=12</formula>
    </cfRule>
  </conditionalFormatting>
  <conditionalFormatting sqref="N327:N332">
    <cfRule type="expression" dxfId="791" priority="783">
      <formula>$E327=10</formula>
    </cfRule>
    <cfRule type="expression" dxfId="790" priority="784">
      <formula>$E327=11</formula>
    </cfRule>
    <cfRule type="expression" dxfId="789" priority="785">
      <formula>$E327=18</formula>
    </cfRule>
    <cfRule type="expression" dxfId="788" priority="786">
      <formula>$E327=17</formula>
    </cfRule>
    <cfRule type="expression" dxfId="787" priority="787">
      <formula>$E327=16</formula>
    </cfRule>
    <cfRule type="expression" dxfId="786" priority="788">
      <formula>$E327=15</formula>
    </cfRule>
    <cfRule type="expression" dxfId="785" priority="789">
      <formula>$E327=14</formula>
    </cfRule>
    <cfRule type="expression" dxfId="784" priority="790">
      <formula>$E327=13</formula>
    </cfRule>
    <cfRule type="expression" dxfId="783" priority="791">
      <formula>$E327=12</formula>
    </cfRule>
  </conditionalFormatting>
  <conditionalFormatting sqref="N333:N340">
    <cfRule type="expression" dxfId="782" priority="775">
      <formula>$E333&lt;12</formula>
    </cfRule>
    <cfRule type="expression" dxfId="781" priority="776">
      <formula>$E333=18</formula>
    </cfRule>
    <cfRule type="expression" dxfId="780" priority="777">
      <formula>$E333=17</formula>
    </cfRule>
    <cfRule type="expression" dxfId="779" priority="778">
      <formula>$E333=16</formula>
    </cfRule>
    <cfRule type="expression" dxfId="778" priority="779">
      <formula>$E333=15</formula>
    </cfRule>
    <cfRule type="expression" dxfId="777" priority="780">
      <formula>$E333=14</formula>
    </cfRule>
    <cfRule type="expression" dxfId="776" priority="781">
      <formula>$E333=13</formula>
    </cfRule>
    <cfRule type="expression" dxfId="775" priority="782">
      <formula>$E333=12</formula>
    </cfRule>
  </conditionalFormatting>
  <conditionalFormatting sqref="N333:N340">
    <cfRule type="expression" dxfId="774" priority="766">
      <formula>$E333=10</formula>
    </cfRule>
    <cfRule type="expression" dxfId="773" priority="767">
      <formula>$E333=11</formula>
    </cfRule>
    <cfRule type="expression" dxfId="772" priority="768">
      <formula>$E333=18</formula>
    </cfRule>
    <cfRule type="expression" dxfId="771" priority="769">
      <formula>$E333=17</formula>
    </cfRule>
    <cfRule type="expression" dxfId="770" priority="770">
      <formula>$E333=16</formula>
    </cfRule>
    <cfRule type="expression" dxfId="769" priority="771">
      <formula>$E333=15</formula>
    </cfRule>
    <cfRule type="expression" dxfId="768" priority="772">
      <formula>$E333=14</formula>
    </cfRule>
    <cfRule type="expression" dxfId="767" priority="773">
      <formula>$E333=13</formula>
    </cfRule>
    <cfRule type="expression" dxfId="766" priority="774">
      <formula>$E333=12</formula>
    </cfRule>
  </conditionalFormatting>
  <conditionalFormatting sqref="M341">
    <cfRule type="expression" dxfId="765" priority="707">
      <formula>$E341&lt;12</formula>
    </cfRule>
    <cfRule type="expression" dxfId="764" priority="708">
      <formula>$E341=18</formula>
    </cfRule>
    <cfRule type="expression" dxfId="763" priority="709">
      <formula>$E341=17</formula>
    </cfRule>
    <cfRule type="expression" dxfId="762" priority="710">
      <formula>$E341=16</formula>
    </cfRule>
    <cfRule type="expression" dxfId="761" priority="711">
      <formula>$E341=15</formula>
    </cfRule>
    <cfRule type="expression" dxfId="760" priority="712">
      <formula>$E341=14</formula>
    </cfRule>
    <cfRule type="expression" dxfId="759" priority="713">
      <formula>$E341=13</formula>
    </cfRule>
    <cfRule type="expression" dxfId="758" priority="714">
      <formula>$E341=12</formula>
    </cfRule>
  </conditionalFormatting>
  <conditionalFormatting sqref="M341">
    <cfRule type="expression" dxfId="757" priority="698">
      <formula>$E341=10</formula>
    </cfRule>
    <cfRule type="expression" dxfId="756" priority="699">
      <formula>$E341=11</formula>
    </cfRule>
    <cfRule type="expression" dxfId="755" priority="700">
      <formula>$E341=18</formula>
    </cfRule>
    <cfRule type="expression" dxfId="754" priority="701">
      <formula>$E341=17</formula>
    </cfRule>
    <cfRule type="expression" dxfId="753" priority="702">
      <formula>$E341=16</formula>
    </cfRule>
    <cfRule type="expression" dxfId="752" priority="703">
      <formula>$E341=15</formula>
    </cfRule>
    <cfRule type="expression" dxfId="751" priority="704">
      <formula>$E341=14</formula>
    </cfRule>
    <cfRule type="expression" dxfId="750" priority="705">
      <formula>$E341=13</formula>
    </cfRule>
    <cfRule type="expression" dxfId="749" priority="706">
      <formula>$E341=12</formula>
    </cfRule>
  </conditionalFormatting>
  <conditionalFormatting sqref="K341">
    <cfRule type="expression" dxfId="748" priority="690">
      <formula>$E341&lt;12</formula>
    </cfRule>
    <cfRule type="expression" dxfId="747" priority="691">
      <formula>$E341=18</formula>
    </cfRule>
    <cfRule type="expression" dxfId="746" priority="692">
      <formula>$E341=17</formula>
    </cfRule>
    <cfRule type="expression" dxfId="745" priority="693">
      <formula>$E341=16</formula>
    </cfRule>
    <cfRule type="expression" dxfId="744" priority="694">
      <formula>$E341=15</formula>
    </cfRule>
    <cfRule type="expression" dxfId="743" priority="695">
      <formula>$E341=14</formula>
    </cfRule>
    <cfRule type="expression" dxfId="742" priority="696">
      <formula>$E341=13</formula>
    </cfRule>
    <cfRule type="expression" dxfId="741" priority="697">
      <formula>$E341=12</formula>
    </cfRule>
  </conditionalFormatting>
  <conditionalFormatting sqref="K341">
    <cfRule type="expression" dxfId="740" priority="681">
      <formula>$E341=10</formula>
    </cfRule>
    <cfRule type="expression" dxfId="739" priority="682">
      <formula>$E341=11</formula>
    </cfRule>
    <cfRule type="expression" dxfId="738" priority="683">
      <formula>$E341=18</formula>
    </cfRule>
    <cfRule type="expression" dxfId="737" priority="684">
      <formula>$E341=17</formula>
    </cfRule>
    <cfRule type="expression" dxfId="736" priority="685">
      <formula>$E341=16</formula>
    </cfRule>
    <cfRule type="expression" dxfId="735" priority="686">
      <formula>$E341=15</formula>
    </cfRule>
    <cfRule type="expression" dxfId="734" priority="687">
      <formula>$E341=14</formula>
    </cfRule>
    <cfRule type="expression" dxfId="733" priority="688">
      <formula>$E341=13</formula>
    </cfRule>
    <cfRule type="expression" dxfId="732" priority="689">
      <formula>$E341=12</formula>
    </cfRule>
  </conditionalFormatting>
  <conditionalFormatting sqref="M327:M332">
    <cfRule type="expression" dxfId="731" priority="673">
      <formula>$E327&lt;12</formula>
    </cfRule>
    <cfRule type="expression" dxfId="730" priority="674">
      <formula>$E327=18</formula>
    </cfRule>
    <cfRule type="expression" dxfId="729" priority="675">
      <formula>$E327=17</formula>
    </cfRule>
    <cfRule type="expression" dxfId="728" priority="676">
      <formula>$E327=16</formula>
    </cfRule>
    <cfRule type="expression" dxfId="727" priority="677">
      <formula>$E327=15</formula>
    </cfRule>
    <cfRule type="expression" dxfId="726" priority="678">
      <formula>$E327=14</formula>
    </cfRule>
    <cfRule type="expression" dxfId="725" priority="679">
      <formula>$E327=13</formula>
    </cfRule>
    <cfRule type="expression" dxfId="724" priority="680">
      <formula>$E327=12</formula>
    </cfRule>
  </conditionalFormatting>
  <conditionalFormatting sqref="M327:M332">
    <cfRule type="expression" dxfId="723" priority="664">
      <formula>$E327=10</formula>
    </cfRule>
    <cfRule type="expression" dxfId="722" priority="665">
      <formula>$E327=11</formula>
    </cfRule>
    <cfRule type="expression" dxfId="721" priority="666">
      <formula>$E327=18</formula>
    </cfRule>
    <cfRule type="expression" dxfId="720" priority="667">
      <formula>$E327=17</formula>
    </cfRule>
    <cfRule type="expression" dxfId="719" priority="668">
      <formula>$E327=16</formula>
    </cfRule>
    <cfRule type="expression" dxfId="718" priority="669">
      <formula>$E327=15</formula>
    </cfRule>
    <cfRule type="expression" dxfId="717" priority="670">
      <formula>$E327=14</formula>
    </cfRule>
    <cfRule type="expression" dxfId="716" priority="671">
      <formula>$E327=13</formula>
    </cfRule>
    <cfRule type="expression" dxfId="715" priority="672">
      <formula>$E327=12</formula>
    </cfRule>
  </conditionalFormatting>
  <conditionalFormatting sqref="K2:K325">
    <cfRule type="expression" dxfId="714" priority="724">
      <formula>$E2&lt;12</formula>
    </cfRule>
    <cfRule type="expression" dxfId="713" priority="725">
      <formula>$E2=18</formula>
    </cfRule>
    <cfRule type="expression" dxfId="712" priority="726">
      <formula>$E2=17</formula>
    </cfRule>
    <cfRule type="expression" dxfId="711" priority="727">
      <formula>$E2=16</formula>
    </cfRule>
    <cfRule type="expression" dxfId="710" priority="728">
      <formula>$E2=15</formula>
    </cfRule>
    <cfRule type="expression" dxfId="709" priority="729">
      <formula>$E2=14</formula>
    </cfRule>
    <cfRule type="expression" dxfId="708" priority="730">
      <formula>$E2=13</formula>
    </cfRule>
    <cfRule type="expression" dxfId="707" priority="731">
      <formula>$E2=12</formula>
    </cfRule>
  </conditionalFormatting>
  <conditionalFormatting sqref="K2:K325">
    <cfRule type="expression" dxfId="706" priority="715">
      <formula>$E2=10</formula>
    </cfRule>
    <cfRule type="expression" dxfId="705" priority="716">
      <formula>$E2=11</formula>
    </cfRule>
    <cfRule type="expression" dxfId="704" priority="717">
      <formula>$E2=18</formula>
    </cfRule>
    <cfRule type="expression" dxfId="703" priority="718">
      <formula>$E2=17</formula>
    </cfRule>
    <cfRule type="expression" dxfId="702" priority="719">
      <formula>$E2=16</formula>
    </cfRule>
    <cfRule type="expression" dxfId="701" priority="720">
      <formula>$E2=15</formula>
    </cfRule>
    <cfRule type="expression" dxfId="700" priority="721">
      <formula>$E2=14</formula>
    </cfRule>
    <cfRule type="expression" dxfId="699" priority="722">
      <formula>$E2=13</formula>
    </cfRule>
    <cfRule type="expression" dxfId="698" priority="723">
      <formula>$E2=12</formula>
    </cfRule>
  </conditionalFormatting>
  <conditionalFormatting sqref="C2:F325">
    <cfRule type="expression" dxfId="697" priority="758">
      <formula>$E2&lt;12</formula>
    </cfRule>
    <cfRule type="expression" dxfId="696" priority="759">
      <formula>$E2=18</formula>
    </cfRule>
    <cfRule type="expression" dxfId="695" priority="760">
      <formula>$E2=17</formula>
    </cfRule>
    <cfRule type="expression" dxfId="694" priority="761">
      <formula>$E2=16</formula>
    </cfRule>
    <cfRule type="expression" dxfId="693" priority="762">
      <formula>$E2=15</formula>
    </cfRule>
    <cfRule type="expression" dxfId="692" priority="763">
      <formula>$E2=14</formula>
    </cfRule>
    <cfRule type="expression" dxfId="691" priority="764">
      <formula>$E2=13</formula>
    </cfRule>
    <cfRule type="expression" dxfId="690" priority="765">
      <formula>$E2=12</formula>
    </cfRule>
  </conditionalFormatting>
  <conditionalFormatting sqref="C2:F325">
    <cfRule type="expression" dxfId="689" priority="749">
      <formula>$E2=10</formula>
    </cfRule>
    <cfRule type="expression" dxfId="688" priority="750">
      <formula>$E2=11</formula>
    </cfRule>
    <cfRule type="expression" dxfId="687" priority="751">
      <formula>$E2=18</formula>
    </cfRule>
    <cfRule type="expression" dxfId="686" priority="752">
      <formula>$E2=17</formula>
    </cfRule>
    <cfRule type="expression" dxfId="685" priority="753">
      <formula>$E2=16</formula>
    </cfRule>
    <cfRule type="expression" dxfId="684" priority="754">
      <formula>$E2=15</formula>
    </cfRule>
    <cfRule type="expression" dxfId="683" priority="755">
      <formula>$E2=14</formula>
    </cfRule>
    <cfRule type="expression" dxfId="682" priority="756">
      <formula>$E2=13</formula>
    </cfRule>
    <cfRule type="expression" dxfId="681" priority="757">
      <formula>$E2=12</formula>
    </cfRule>
  </conditionalFormatting>
  <conditionalFormatting sqref="M2">
    <cfRule type="expression" dxfId="680" priority="741">
      <formula>$E2&lt;12</formula>
    </cfRule>
    <cfRule type="expression" dxfId="679" priority="742">
      <formula>$E2=18</formula>
    </cfRule>
    <cfRule type="expression" dxfId="678" priority="743">
      <formula>$E2=17</formula>
    </cfRule>
    <cfRule type="expression" dxfId="677" priority="744">
      <formula>$E2=16</formula>
    </cfRule>
    <cfRule type="expression" dxfId="676" priority="745">
      <formula>$E2=15</formula>
    </cfRule>
    <cfRule type="expression" dxfId="675" priority="746">
      <formula>$E2=14</formula>
    </cfRule>
    <cfRule type="expression" dxfId="674" priority="747">
      <formula>$E2=13</formula>
    </cfRule>
    <cfRule type="expression" dxfId="673" priority="748">
      <formula>$E2=12</formula>
    </cfRule>
  </conditionalFormatting>
  <conditionalFormatting sqref="M2">
    <cfRule type="expression" dxfId="672" priority="732">
      <formula>$E2=10</formula>
    </cfRule>
    <cfRule type="expression" dxfId="671" priority="733">
      <formula>$E2=11</formula>
    </cfRule>
    <cfRule type="expression" dxfId="670" priority="734">
      <formula>$E2=18</formula>
    </cfRule>
    <cfRule type="expression" dxfId="669" priority="735">
      <formula>$E2=17</formula>
    </cfRule>
    <cfRule type="expression" dxfId="668" priority="736">
      <formula>$E2=16</formula>
    </cfRule>
    <cfRule type="expression" dxfId="667" priority="737">
      <formula>$E2=15</formula>
    </cfRule>
    <cfRule type="expression" dxfId="666" priority="738">
      <formula>$E2=14</formula>
    </cfRule>
    <cfRule type="expression" dxfId="665" priority="739">
      <formula>$E2=13</formula>
    </cfRule>
    <cfRule type="expression" dxfId="664" priority="740">
      <formula>$E2=12</formula>
    </cfRule>
  </conditionalFormatting>
  <conditionalFormatting sqref="L327:L332 A327:J340">
    <cfRule type="expression" dxfId="663" priority="656">
      <formula>$E327&lt;12</formula>
    </cfRule>
    <cfRule type="expression" dxfId="662" priority="657">
      <formula>$E327=18</formula>
    </cfRule>
    <cfRule type="expression" dxfId="661" priority="658">
      <formula>$E327=17</formula>
    </cfRule>
    <cfRule type="expression" dxfId="660" priority="659">
      <formula>$E327=16</formula>
    </cfRule>
    <cfRule type="expression" dxfId="659" priority="660">
      <formula>$E327=15</formula>
    </cfRule>
    <cfRule type="expression" dxfId="658" priority="661">
      <formula>$E327=14</formula>
    </cfRule>
    <cfRule type="expression" dxfId="657" priority="662">
      <formula>$E327=13</formula>
    </cfRule>
    <cfRule type="expression" dxfId="656" priority="663">
      <formula>$E327=12</formula>
    </cfRule>
  </conditionalFormatting>
  <conditionalFormatting sqref="L327:L332 A327:J340">
    <cfRule type="expression" dxfId="655" priority="647">
      <formula>$E327=10</formula>
    </cfRule>
    <cfRule type="expression" dxfId="654" priority="648">
      <formula>$E327=11</formula>
    </cfRule>
    <cfRule type="expression" dxfId="653" priority="649">
      <formula>$E327=18</formula>
    </cfRule>
    <cfRule type="expression" dxfId="652" priority="650">
      <formula>$E327=17</formula>
    </cfRule>
    <cfRule type="expression" dxfId="651" priority="651">
      <formula>$E327=16</formula>
    </cfRule>
    <cfRule type="expression" dxfId="650" priority="652">
      <formula>$E327=15</formula>
    </cfRule>
    <cfRule type="expression" dxfId="649" priority="653">
      <formula>$E327=14</formula>
    </cfRule>
    <cfRule type="expression" dxfId="648" priority="654">
      <formula>$E327=13</formula>
    </cfRule>
    <cfRule type="expression" dxfId="647" priority="655">
      <formula>$E327=12</formula>
    </cfRule>
  </conditionalFormatting>
  <conditionalFormatting sqref="M333:M340">
    <cfRule type="expression" dxfId="646" priority="622">
      <formula>$E333&lt;12</formula>
    </cfRule>
    <cfRule type="expression" dxfId="645" priority="623">
      <formula>$E333=18</formula>
    </cfRule>
    <cfRule type="expression" dxfId="644" priority="624">
      <formula>$E333=17</formula>
    </cfRule>
    <cfRule type="expression" dxfId="643" priority="625">
      <formula>$E333=16</formula>
    </cfRule>
    <cfRule type="expression" dxfId="642" priority="626">
      <formula>$E333=15</formula>
    </cfRule>
    <cfRule type="expression" dxfId="641" priority="627">
      <formula>$E333=14</formula>
    </cfRule>
    <cfRule type="expression" dxfId="640" priority="628">
      <formula>$E333=13</formula>
    </cfRule>
    <cfRule type="expression" dxfId="639" priority="629">
      <formula>$E333=12</formula>
    </cfRule>
  </conditionalFormatting>
  <conditionalFormatting sqref="M333:M340">
    <cfRule type="expression" dxfId="638" priority="613">
      <formula>$E333=10</formula>
    </cfRule>
    <cfRule type="expression" dxfId="637" priority="614">
      <formula>$E333=11</formula>
    </cfRule>
    <cfRule type="expression" dxfId="636" priority="615">
      <formula>$E333=18</formula>
    </cfRule>
    <cfRule type="expression" dxfId="635" priority="616">
      <formula>$E333=17</formula>
    </cfRule>
    <cfRule type="expression" dxfId="634" priority="617">
      <formula>$E333=16</formula>
    </cfRule>
    <cfRule type="expression" dxfId="633" priority="618">
      <formula>$E333=15</formula>
    </cfRule>
    <cfRule type="expression" dxfId="632" priority="619">
      <formula>$E333=14</formula>
    </cfRule>
    <cfRule type="expression" dxfId="631" priority="620">
      <formula>$E333=13</formula>
    </cfRule>
    <cfRule type="expression" dxfId="630" priority="621">
      <formula>$E333=12</formula>
    </cfRule>
  </conditionalFormatting>
  <conditionalFormatting sqref="L333:L340">
    <cfRule type="expression" dxfId="629" priority="605">
      <formula>$E333&lt;12</formula>
    </cfRule>
    <cfRule type="expression" dxfId="628" priority="606">
      <formula>$E333=18</formula>
    </cfRule>
    <cfRule type="expression" dxfId="627" priority="607">
      <formula>$E333=17</formula>
    </cfRule>
    <cfRule type="expression" dxfId="626" priority="608">
      <formula>$E333=16</formula>
    </cfRule>
    <cfRule type="expression" dxfId="625" priority="609">
      <formula>$E333=15</formula>
    </cfRule>
    <cfRule type="expression" dxfId="624" priority="610">
      <formula>$E333=14</formula>
    </cfRule>
    <cfRule type="expression" dxfId="623" priority="611">
      <formula>$E333=13</formula>
    </cfRule>
    <cfRule type="expression" dxfId="622" priority="612">
      <formula>$E333=12</formula>
    </cfRule>
  </conditionalFormatting>
  <conditionalFormatting sqref="L333:L340">
    <cfRule type="expression" dxfId="621" priority="596">
      <formula>$E333=10</formula>
    </cfRule>
    <cfRule type="expression" dxfId="620" priority="597">
      <formula>$E333=11</formula>
    </cfRule>
    <cfRule type="expression" dxfId="619" priority="598">
      <formula>$E333=18</formula>
    </cfRule>
    <cfRule type="expression" dxfId="618" priority="599">
      <formula>$E333=17</formula>
    </cfRule>
    <cfRule type="expression" dxfId="617" priority="600">
      <formula>$E333=16</formula>
    </cfRule>
    <cfRule type="expression" dxfId="616" priority="601">
      <formula>$E333=15</formula>
    </cfRule>
    <cfRule type="expression" dxfId="615" priority="602">
      <formula>$E333=14</formula>
    </cfRule>
    <cfRule type="expression" dxfId="614" priority="603">
      <formula>$E333=13</formula>
    </cfRule>
    <cfRule type="expression" dxfId="613" priority="604">
      <formula>$E333=12</formula>
    </cfRule>
  </conditionalFormatting>
  <conditionalFormatting sqref="K333:K340">
    <cfRule type="expression" dxfId="612" priority="588">
      <formula>$E333&lt;12</formula>
    </cfRule>
    <cfRule type="expression" dxfId="611" priority="589">
      <formula>$E333=18</formula>
    </cfRule>
    <cfRule type="expression" dxfId="610" priority="590">
      <formula>$E333=17</formula>
    </cfRule>
    <cfRule type="expression" dxfId="609" priority="591">
      <formula>$E333=16</formula>
    </cfRule>
    <cfRule type="expression" dxfId="608" priority="592">
      <formula>$E333=15</formula>
    </cfRule>
    <cfRule type="expression" dxfId="607" priority="593">
      <formula>$E333=14</formula>
    </cfRule>
    <cfRule type="expression" dxfId="606" priority="594">
      <formula>$E333=13</formula>
    </cfRule>
    <cfRule type="expression" dxfId="605" priority="595">
      <formula>$E333=12</formula>
    </cfRule>
  </conditionalFormatting>
  <conditionalFormatting sqref="K333:K340">
    <cfRule type="expression" dxfId="604" priority="579">
      <formula>$E333=10</formula>
    </cfRule>
    <cfRule type="expression" dxfId="603" priority="580">
      <formula>$E333=11</formula>
    </cfRule>
    <cfRule type="expression" dxfId="602" priority="581">
      <formula>$E333=18</formula>
    </cfRule>
    <cfRule type="expression" dxfId="601" priority="582">
      <formula>$E333=17</formula>
    </cfRule>
    <cfRule type="expression" dxfId="600" priority="583">
      <formula>$E333=16</formula>
    </cfRule>
    <cfRule type="expression" dxfId="599" priority="584">
      <formula>$E333=15</formula>
    </cfRule>
    <cfRule type="expression" dxfId="598" priority="585">
      <formula>$E333=14</formula>
    </cfRule>
    <cfRule type="expression" dxfId="597" priority="586">
      <formula>$E333=13</formula>
    </cfRule>
    <cfRule type="expression" dxfId="596" priority="587">
      <formula>$E333=12</formula>
    </cfRule>
  </conditionalFormatting>
  <conditionalFormatting sqref="K327:K332">
    <cfRule type="expression" dxfId="595" priority="639">
      <formula>$E327&lt;12</formula>
    </cfRule>
    <cfRule type="expression" dxfId="594" priority="640">
      <formula>$E327=18</formula>
    </cfRule>
    <cfRule type="expression" dxfId="593" priority="641">
      <formula>$E327=17</formula>
    </cfRule>
    <cfRule type="expression" dxfId="592" priority="642">
      <formula>$E327=16</formula>
    </cfRule>
    <cfRule type="expression" dxfId="591" priority="643">
      <formula>$E327=15</formula>
    </cfRule>
    <cfRule type="expression" dxfId="590" priority="644">
      <formula>$E327=14</formula>
    </cfRule>
    <cfRule type="expression" dxfId="589" priority="645">
      <formula>$E327=13</formula>
    </cfRule>
    <cfRule type="expression" dxfId="588" priority="646">
      <formula>$E327=12</formula>
    </cfRule>
  </conditionalFormatting>
  <conditionalFormatting sqref="K327:K332">
    <cfRule type="expression" dxfId="587" priority="630">
      <formula>$E327=10</formula>
    </cfRule>
    <cfRule type="expression" dxfId="586" priority="631">
      <formula>$E327=11</formula>
    </cfRule>
    <cfRule type="expression" dxfId="585" priority="632">
      <formula>$E327=18</formula>
    </cfRule>
    <cfRule type="expression" dxfId="584" priority="633">
      <formula>$E327=17</formula>
    </cfRule>
    <cfRule type="expression" dxfId="583" priority="634">
      <formula>$E327=16</formula>
    </cfRule>
    <cfRule type="expression" dxfId="582" priority="635">
      <formula>$E327=15</formula>
    </cfRule>
    <cfRule type="expression" dxfId="581" priority="636">
      <formula>$E327=14</formula>
    </cfRule>
    <cfRule type="expression" dxfId="580" priority="637">
      <formula>$E327=13</formula>
    </cfRule>
    <cfRule type="expression" dxfId="579" priority="638">
      <formula>$E327=12</formula>
    </cfRule>
  </conditionalFormatting>
  <conditionalFormatting sqref="J2:J3">
    <cfRule type="expression" dxfId="578" priority="571">
      <formula>$E2&lt;12</formula>
    </cfRule>
    <cfRule type="expression" dxfId="577" priority="572">
      <formula>$E2=18</formula>
    </cfRule>
    <cfRule type="expression" dxfId="576" priority="573">
      <formula>$E2=17</formula>
    </cfRule>
    <cfRule type="expression" dxfId="575" priority="574">
      <formula>$E2=16</formula>
    </cfRule>
    <cfRule type="expression" dxfId="574" priority="575">
      <formula>$E2=15</formula>
    </cfRule>
    <cfRule type="expression" dxfId="573" priority="576">
      <formula>$E2=14</formula>
    </cfRule>
    <cfRule type="expression" dxfId="572" priority="577">
      <formula>$E2=13</formula>
    </cfRule>
    <cfRule type="expression" dxfId="571" priority="578">
      <formula>$E2=12</formula>
    </cfRule>
  </conditionalFormatting>
  <conditionalFormatting sqref="J2:J3">
    <cfRule type="expression" dxfId="570" priority="562">
      <formula>$E2=10</formula>
    </cfRule>
    <cfRule type="expression" dxfId="569" priority="563">
      <formula>$E2=11</formula>
    </cfRule>
    <cfRule type="expression" dxfId="568" priority="564">
      <formula>$E2=18</formula>
    </cfRule>
    <cfRule type="expression" dxfId="567" priority="565">
      <formula>$E2=17</formula>
    </cfRule>
    <cfRule type="expression" dxfId="566" priority="566">
      <formula>$E2=16</formula>
    </cfRule>
    <cfRule type="expression" dxfId="565" priority="567">
      <formula>$E2=15</formula>
    </cfRule>
    <cfRule type="expression" dxfId="564" priority="568">
      <formula>$E2=14</formula>
    </cfRule>
    <cfRule type="expression" dxfId="563" priority="569">
      <formula>$E2=13</formula>
    </cfRule>
    <cfRule type="expression" dxfId="562" priority="570">
      <formula>$E2=12</formula>
    </cfRule>
  </conditionalFormatting>
  <conditionalFormatting sqref="L342:L353">
    <cfRule type="expression" dxfId="561" priority="520">
      <formula>$E342&lt;12</formula>
    </cfRule>
    <cfRule type="expression" dxfId="560" priority="521">
      <formula>$E342=18</formula>
    </cfRule>
    <cfRule type="expression" dxfId="559" priority="522">
      <formula>$E342=17</formula>
    </cfRule>
    <cfRule type="expression" dxfId="558" priority="523">
      <formula>$E342=16</formula>
    </cfRule>
    <cfRule type="expression" dxfId="557" priority="524">
      <formula>$E342=15</formula>
    </cfRule>
    <cfRule type="expression" dxfId="556" priority="525">
      <formula>$E342=14</formula>
    </cfRule>
    <cfRule type="expression" dxfId="555" priority="526">
      <formula>$E342=13</formula>
    </cfRule>
    <cfRule type="expression" dxfId="554" priority="527">
      <formula>$E342=12</formula>
    </cfRule>
  </conditionalFormatting>
  <conditionalFormatting sqref="L342:L353">
    <cfRule type="expression" dxfId="553" priority="511">
      <formula>$E342=10</formula>
    </cfRule>
    <cfRule type="expression" dxfId="552" priority="512">
      <formula>$E342=11</formula>
    </cfRule>
    <cfRule type="expression" dxfId="551" priority="513">
      <formula>$E342=18</formula>
    </cfRule>
    <cfRule type="expression" dxfId="550" priority="514">
      <formula>$E342=17</formula>
    </cfRule>
    <cfRule type="expression" dxfId="549" priority="515">
      <formula>$E342=16</formula>
    </cfRule>
    <cfRule type="expression" dxfId="548" priority="516">
      <formula>$E342=15</formula>
    </cfRule>
    <cfRule type="expression" dxfId="547" priority="517">
      <formula>$E342=14</formula>
    </cfRule>
    <cfRule type="expression" dxfId="546" priority="518">
      <formula>$E342=13</formula>
    </cfRule>
    <cfRule type="expression" dxfId="545" priority="519">
      <formula>$E342=12</formula>
    </cfRule>
  </conditionalFormatting>
  <conditionalFormatting sqref="K342:K353">
    <cfRule type="expression" dxfId="544" priority="503">
      <formula>$E342&lt;12</formula>
    </cfRule>
    <cfRule type="expression" dxfId="543" priority="504">
      <formula>$E342=18</formula>
    </cfRule>
    <cfRule type="expression" dxfId="542" priority="505">
      <formula>$E342=17</formula>
    </cfRule>
    <cfRule type="expression" dxfId="541" priority="506">
      <formula>$E342=16</formula>
    </cfRule>
    <cfRule type="expression" dxfId="540" priority="507">
      <formula>$E342=15</formula>
    </cfRule>
    <cfRule type="expression" dxfId="539" priority="508">
      <formula>$E342=14</formula>
    </cfRule>
    <cfRule type="expression" dxfId="538" priority="509">
      <formula>$E342=13</formula>
    </cfRule>
    <cfRule type="expression" dxfId="537" priority="510">
      <formula>$E342=12</formula>
    </cfRule>
  </conditionalFormatting>
  <conditionalFormatting sqref="K342:K353">
    <cfRule type="expression" dxfId="536" priority="494">
      <formula>$E342=10</formula>
    </cfRule>
    <cfRule type="expression" dxfId="535" priority="495">
      <formula>$E342=11</formula>
    </cfRule>
    <cfRule type="expression" dxfId="534" priority="496">
      <formula>$E342=18</formula>
    </cfRule>
    <cfRule type="expression" dxfId="533" priority="497">
      <formula>$E342=17</formula>
    </cfRule>
    <cfRule type="expression" dxfId="532" priority="498">
      <formula>$E342=16</formula>
    </cfRule>
    <cfRule type="expression" dxfId="531" priority="499">
      <formula>$E342=15</formula>
    </cfRule>
    <cfRule type="expression" dxfId="530" priority="500">
      <formula>$E342=14</formula>
    </cfRule>
    <cfRule type="expression" dxfId="529" priority="501">
      <formula>$E342=13</formula>
    </cfRule>
    <cfRule type="expression" dxfId="528" priority="502">
      <formula>$E342=12</formula>
    </cfRule>
  </conditionalFormatting>
  <conditionalFormatting sqref="M342:N353">
    <cfRule type="expression" dxfId="527" priority="537">
      <formula>$E342&lt;12</formula>
    </cfRule>
    <cfRule type="expression" dxfId="526" priority="538">
      <formula>$E342=18</formula>
    </cfRule>
    <cfRule type="expression" dxfId="525" priority="539">
      <formula>$E342=17</formula>
    </cfRule>
    <cfRule type="expression" dxfId="524" priority="540">
      <formula>$E342=16</formula>
    </cfRule>
    <cfRule type="expression" dxfId="523" priority="541">
      <formula>$E342=15</formula>
    </cfRule>
    <cfRule type="expression" dxfId="522" priority="542">
      <formula>$E342=14</formula>
    </cfRule>
    <cfRule type="expression" dxfId="521" priority="543">
      <formula>$E342=13</formula>
    </cfRule>
    <cfRule type="expression" dxfId="520" priority="544">
      <formula>$E342=12</formula>
    </cfRule>
  </conditionalFormatting>
  <conditionalFormatting sqref="M342:N353">
    <cfRule type="expression" dxfId="519" priority="528">
      <formula>$E342=10</formula>
    </cfRule>
    <cfRule type="expression" dxfId="518" priority="529">
      <formula>$E342=11</formula>
    </cfRule>
    <cfRule type="expression" dxfId="517" priority="530">
      <formula>$E342=18</formula>
    </cfRule>
    <cfRule type="expression" dxfId="516" priority="531">
      <formula>$E342=17</formula>
    </cfRule>
    <cfRule type="expression" dxfId="515" priority="532">
      <formula>$E342=16</formula>
    </cfRule>
    <cfRule type="expression" dxfId="514" priority="533">
      <formula>$E342=15</formula>
    </cfRule>
    <cfRule type="expression" dxfId="513" priority="534">
      <formula>$E342=14</formula>
    </cfRule>
    <cfRule type="expression" dxfId="512" priority="535">
      <formula>$E342=13</formula>
    </cfRule>
    <cfRule type="expression" dxfId="511" priority="536">
      <formula>$E342=12</formula>
    </cfRule>
  </conditionalFormatting>
  <conditionalFormatting sqref="A342:J353">
    <cfRule type="expression" dxfId="510" priority="554">
      <formula>$E342&lt;12</formula>
    </cfRule>
    <cfRule type="expression" dxfId="509" priority="555">
      <formula>$E342=18</formula>
    </cfRule>
    <cfRule type="expression" dxfId="508" priority="556">
      <formula>$E342=17</formula>
    </cfRule>
    <cfRule type="expression" dxfId="507" priority="557">
      <formula>$E342=16</formula>
    </cfRule>
    <cfRule type="expression" dxfId="506" priority="558">
      <formula>$E342=15</formula>
    </cfRule>
    <cfRule type="expression" dxfId="505" priority="559">
      <formula>$E342=14</formula>
    </cfRule>
    <cfRule type="expression" dxfId="504" priority="560">
      <formula>$E342=13</formula>
    </cfRule>
    <cfRule type="expression" dxfId="503" priority="561">
      <formula>$E342=12</formula>
    </cfRule>
  </conditionalFormatting>
  <conditionalFormatting sqref="A342:J353">
    <cfRule type="expression" dxfId="502" priority="545">
      <formula>$E342=10</formula>
    </cfRule>
    <cfRule type="expression" dxfId="501" priority="546">
      <formula>$E342=11</formula>
    </cfRule>
    <cfRule type="expression" dxfId="500" priority="547">
      <formula>$E342=18</formula>
    </cfRule>
    <cfRule type="expression" dxfId="499" priority="548">
      <formula>$E342=17</formula>
    </cfRule>
    <cfRule type="expression" dxfId="498" priority="549">
      <formula>$E342=16</formula>
    </cfRule>
    <cfRule type="expression" dxfId="497" priority="550">
      <formula>$E342=15</formula>
    </cfRule>
    <cfRule type="expression" dxfId="496" priority="551">
      <formula>$E342=14</formula>
    </cfRule>
    <cfRule type="expression" dxfId="495" priority="552">
      <formula>$E342=13</formula>
    </cfRule>
    <cfRule type="expression" dxfId="494" priority="553">
      <formula>$E342=12</formula>
    </cfRule>
  </conditionalFormatting>
  <conditionalFormatting sqref="A354:J354">
    <cfRule type="expression" dxfId="493" priority="469">
      <formula>$E354&lt;12</formula>
    </cfRule>
    <cfRule type="expression" dxfId="492" priority="470">
      <formula>$E354=18</formula>
    </cfRule>
    <cfRule type="expression" dxfId="491" priority="471">
      <formula>$E354=17</formula>
    </cfRule>
    <cfRule type="expression" dxfId="490" priority="472">
      <formula>$E354=16</formula>
    </cfRule>
    <cfRule type="expression" dxfId="489" priority="473">
      <formula>$E354=15</formula>
    </cfRule>
    <cfRule type="expression" dxfId="488" priority="474">
      <formula>$E354=14</formula>
    </cfRule>
    <cfRule type="expression" dxfId="487" priority="475">
      <formula>$E354=13</formula>
    </cfRule>
    <cfRule type="expression" dxfId="486" priority="476">
      <formula>$E354=12</formula>
    </cfRule>
  </conditionalFormatting>
  <conditionalFormatting sqref="A354:J354">
    <cfRule type="expression" dxfId="485" priority="460">
      <formula>$E354=10</formula>
    </cfRule>
    <cfRule type="expression" dxfId="484" priority="461">
      <formula>$E354=11</formula>
    </cfRule>
    <cfRule type="expression" dxfId="483" priority="462">
      <formula>$E354=18</formula>
    </cfRule>
    <cfRule type="expression" dxfId="482" priority="463">
      <formula>$E354=17</formula>
    </cfRule>
    <cfRule type="expression" dxfId="481" priority="464">
      <formula>$E354=16</formula>
    </cfRule>
    <cfRule type="expression" dxfId="480" priority="465">
      <formula>$E354=15</formula>
    </cfRule>
    <cfRule type="expression" dxfId="479" priority="466">
      <formula>$E354=14</formula>
    </cfRule>
    <cfRule type="expression" dxfId="478" priority="467">
      <formula>$E354=13</formula>
    </cfRule>
    <cfRule type="expression" dxfId="477" priority="468">
      <formula>$E354=12</formula>
    </cfRule>
  </conditionalFormatting>
  <conditionalFormatting sqref="M354:N354">
    <cfRule type="expression" dxfId="476" priority="452">
      <formula>$E354&lt;12</formula>
    </cfRule>
    <cfRule type="expression" dxfId="475" priority="453">
      <formula>$E354=18</formula>
    </cfRule>
    <cfRule type="expression" dxfId="474" priority="454">
      <formula>$E354=17</formula>
    </cfRule>
    <cfRule type="expression" dxfId="473" priority="455">
      <formula>$E354=16</formula>
    </cfRule>
    <cfRule type="expression" dxfId="472" priority="456">
      <formula>$E354=15</formula>
    </cfRule>
    <cfRule type="expression" dxfId="471" priority="457">
      <formula>$E354=14</formula>
    </cfRule>
    <cfRule type="expression" dxfId="470" priority="458">
      <formula>$E354=13</formula>
    </cfRule>
    <cfRule type="expression" dxfId="469" priority="459">
      <formula>$E354=12</formula>
    </cfRule>
  </conditionalFormatting>
  <conditionalFormatting sqref="M354:N354">
    <cfRule type="expression" dxfId="468" priority="443">
      <formula>$E354=10</formula>
    </cfRule>
    <cfRule type="expression" dxfId="467" priority="444">
      <formula>$E354=11</formula>
    </cfRule>
    <cfRule type="expression" dxfId="466" priority="445">
      <formula>$E354=18</formula>
    </cfRule>
    <cfRule type="expression" dxfId="465" priority="446">
      <formula>$E354=17</formula>
    </cfRule>
    <cfRule type="expression" dxfId="464" priority="447">
      <formula>$E354=16</formula>
    </cfRule>
    <cfRule type="expression" dxfId="463" priority="448">
      <formula>$E354=15</formula>
    </cfRule>
    <cfRule type="expression" dxfId="462" priority="449">
      <formula>$E354=14</formula>
    </cfRule>
    <cfRule type="expression" dxfId="461" priority="450">
      <formula>$E354=13</formula>
    </cfRule>
    <cfRule type="expression" dxfId="460" priority="451">
      <formula>$E354=12</formula>
    </cfRule>
  </conditionalFormatting>
  <conditionalFormatting sqref="L354">
    <cfRule type="expression" dxfId="459" priority="435">
      <formula>$E354&lt;12</formula>
    </cfRule>
    <cfRule type="expression" dxfId="458" priority="436">
      <formula>$E354=18</formula>
    </cfRule>
    <cfRule type="expression" dxfId="457" priority="437">
      <formula>$E354=17</formula>
    </cfRule>
    <cfRule type="expression" dxfId="456" priority="438">
      <formula>$E354=16</formula>
    </cfRule>
    <cfRule type="expression" dxfId="455" priority="439">
      <formula>$E354=15</formula>
    </cfRule>
    <cfRule type="expression" dxfId="454" priority="440">
      <formula>$E354=14</formula>
    </cfRule>
    <cfRule type="expression" dxfId="453" priority="441">
      <formula>$E354=13</formula>
    </cfRule>
    <cfRule type="expression" dxfId="452" priority="442">
      <formula>$E354=12</formula>
    </cfRule>
  </conditionalFormatting>
  <conditionalFormatting sqref="L354">
    <cfRule type="expression" dxfId="451" priority="426">
      <formula>$E354=10</formula>
    </cfRule>
    <cfRule type="expression" dxfId="450" priority="427">
      <formula>$E354=11</formula>
    </cfRule>
    <cfRule type="expression" dxfId="449" priority="428">
      <formula>$E354=18</formula>
    </cfRule>
    <cfRule type="expression" dxfId="448" priority="429">
      <formula>$E354=17</formula>
    </cfRule>
    <cfRule type="expression" dxfId="447" priority="430">
      <formula>$E354=16</formula>
    </cfRule>
    <cfRule type="expression" dxfId="446" priority="431">
      <formula>$E354=15</formula>
    </cfRule>
    <cfRule type="expression" dxfId="445" priority="432">
      <formula>$E354=14</formula>
    </cfRule>
    <cfRule type="expression" dxfId="444" priority="433">
      <formula>$E354=13</formula>
    </cfRule>
    <cfRule type="expression" dxfId="443" priority="434">
      <formula>$E354=12</formula>
    </cfRule>
  </conditionalFormatting>
  <conditionalFormatting sqref="L147">
    <cfRule type="expression" dxfId="442" priority="486">
      <formula>$E147&lt;12</formula>
    </cfRule>
    <cfRule type="expression" dxfId="441" priority="487">
      <formula>$E147=18</formula>
    </cfRule>
    <cfRule type="expression" dxfId="440" priority="488">
      <formula>$E147=17</formula>
    </cfRule>
    <cfRule type="expression" dxfId="439" priority="489">
      <formula>$E147=16</formula>
    </cfRule>
    <cfRule type="expression" dxfId="438" priority="490">
      <formula>$E147=15</formula>
    </cfRule>
    <cfRule type="expression" dxfId="437" priority="491">
      <formula>$E147=14</formula>
    </cfRule>
    <cfRule type="expression" dxfId="436" priority="492">
      <formula>$E147=13</formula>
    </cfRule>
    <cfRule type="expression" dxfId="435" priority="493">
      <formula>$E147=12</formula>
    </cfRule>
  </conditionalFormatting>
  <conditionalFormatting sqref="L147">
    <cfRule type="expression" dxfId="434" priority="477">
      <formula>$E147=10</formula>
    </cfRule>
    <cfRule type="expression" dxfId="433" priority="478">
      <formula>$E147=11</formula>
    </cfRule>
    <cfRule type="expression" dxfId="432" priority="479">
      <formula>$E147=18</formula>
    </cfRule>
    <cfRule type="expression" dxfId="431" priority="480">
      <formula>$E147=17</formula>
    </cfRule>
    <cfRule type="expression" dxfId="430" priority="481">
      <formula>$E147=16</formula>
    </cfRule>
    <cfRule type="expression" dxfId="429" priority="482">
      <formula>$E147=15</formula>
    </cfRule>
    <cfRule type="expression" dxfId="428" priority="483">
      <formula>$E147=14</formula>
    </cfRule>
    <cfRule type="expression" dxfId="427" priority="484">
      <formula>$E147=13</formula>
    </cfRule>
    <cfRule type="expression" dxfId="426" priority="485">
      <formula>$E147=12</formula>
    </cfRule>
  </conditionalFormatting>
  <conditionalFormatting sqref="K354">
    <cfRule type="expression" dxfId="425" priority="418">
      <formula>$E354&lt;12</formula>
    </cfRule>
    <cfRule type="expression" dxfId="424" priority="419">
      <formula>$E354=18</formula>
    </cfRule>
    <cfRule type="expression" dxfId="423" priority="420">
      <formula>$E354=17</formula>
    </cfRule>
    <cfRule type="expression" dxfId="422" priority="421">
      <formula>$E354=16</formula>
    </cfRule>
    <cfRule type="expression" dxfId="421" priority="422">
      <formula>$E354=15</formula>
    </cfRule>
    <cfRule type="expression" dxfId="420" priority="423">
      <formula>$E354=14</formula>
    </cfRule>
    <cfRule type="expression" dxfId="419" priority="424">
      <formula>$E354=13</formula>
    </cfRule>
    <cfRule type="expression" dxfId="418" priority="425">
      <formula>$E354=12</formula>
    </cfRule>
  </conditionalFormatting>
  <conditionalFormatting sqref="K354">
    <cfRule type="expression" dxfId="417" priority="409">
      <formula>$E354=10</formula>
    </cfRule>
    <cfRule type="expression" dxfId="416" priority="410">
      <formula>$E354=11</formula>
    </cfRule>
    <cfRule type="expression" dxfId="415" priority="411">
      <formula>$E354=18</formula>
    </cfRule>
    <cfRule type="expression" dxfId="414" priority="412">
      <formula>$E354=17</formula>
    </cfRule>
    <cfRule type="expression" dxfId="413" priority="413">
      <formula>$E354=16</formula>
    </cfRule>
    <cfRule type="expression" dxfId="412" priority="414">
      <formula>$E354=15</formula>
    </cfRule>
    <cfRule type="expression" dxfId="411" priority="415">
      <formula>$E354=14</formula>
    </cfRule>
    <cfRule type="expression" dxfId="410" priority="416">
      <formula>$E354=13</formula>
    </cfRule>
    <cfRule type="expression" dxfId="409" priority="417">
      <formula>$E354=12</formula>
    </cfRule>
  </conditionalFormatting>
  <conditionalFormatting sqref="A356:J358">
    <cfRule type="expression" dxfId="408" priority="401">
      <formula>$E356&lt;12</formula>
    </cfRule>
    <cfRule type="expression" dxfId="407" priority="402">
      <formula>$E356=18</formula>
    </cfRule>
    <cfRule type="expression" dxfId="406" priority="403">
      <formula>$E356=17</formula>
    </cfRule>
    <cfRule type="expression" dxfId="405" priority="404">
      <formula>$E356=16</formula>
    </cfRule>
    <cfRule type="expression" dxfId="404" priority="405">
      <formula>$E356=15</formula>
    </cfRule>
    <cfRule type="expression" dxfId="403" priority="406">
      <formula>$E356=14</formula>
    </cfRule>
    <cfRule type="expression" dxfId="402" priority="407">
      <formula>$E356=13</formula>
    </cfRule>
    <cfRule type="expression" dxfId="401" priority="408">
      <formula>$E356=12</formula>
    </cfRule>
  </conditionalFormatting>
  <conditionalFormatting sqref="A356:J358">
    <cfRule type="expression" dxfId="400" priority="392">
      <formula>$E356=10</formula>
    </cfRule>
    <cfRule type="expression" dxfId="399" priority="393">
      <formula>$E356=11</formula>
    </cfRule>
    <cfRule type="expression" dxfId="398" priority="394">
      <formula>$E356=18</formula>
    </cfRule>
    <cfRule type="expression" dxfId="397" priority="395">
      <formula>$E356=17</formula>
    </cfRule>
    <cfRule type="expression" dxfId="396" priority="396">
      <formula>$E356=16</formula>
    </cfRule>
    <cfRule type="expression" dxfId="395" priority="397">
      <formula>$E356=15</formula>
    </cfRule>
    <cfRule type="expression" dxfId="394" priority="398">
      <formula>$E356=14</formula>
    </cfRule>
    <cfRule type="expression" dxfId="393" priority="399">
      <formula>$E356=13</formula>
    </cfRule>
    <cfRule type="expression" dxfId="392" priority="400">
      <formula>$E356=12</formula>
    </cfRule>
  </conditionalFormatting>
  <conditionalFormatting sqref="M356:N358">
    <cfRule type="expression" dxfId="391" priority="384">
      <formula>$E356&lt;12</formula>
    </cfRule>
    <cfRule type="expression" dxfId="390" priority="385">
      <formula>$E356=18</formula>
    </cfRule>
    <cfRule type="expression" dxfId="389" priority="386">
      <formula>$E356=17</formula>
    </cfRule>
    <cfRule type="expression" dxfId="388" priority="387">
      <formula>$E356=16</formula>
    </cfRule>
    <cfRule type="expression" dxfId="387" priority="388">
      <formula>$E356=15</formula>
    </cfRule>
    <cfRule type="expression" dxfId="386" priority="389">
      <formula>$E356=14</formula>
    </cfRule>
    <cfRule type="expression" dxfId="385" priority="390">
      <formula>$E356=13</formula>
    </cfRule>
    <cfRule type="expression" dxfId="384" priority="391">
      <formula>$E356=12</formula>
    </cfRule>
  </conditionalFormatting>
  <conditionalFormatting sqref="M356:N358">
    <cfRule type="expression" dxfId="383" priority="375">
      <formula>$E356=10</formula>
    </cfRule>
    <cfRule type="expression" dxfId="382" priority="376">
      <formula>$E356=11</formula>
    </cfRule>
    <cfRule type="expression" dxfId="381" priority="377">
      <formula>$E356=18</formula>
    </cfRule>
    <cfRule type="expression" dxfId="380" priority="378">
      <formula>$E356=17</formula>
    </cfRule>
    <cfRule type="expression" dxfId="379" priority="379">
      <formula>$E356=16</formula>
    </cfRule>
    <cfRule type="expression" dxfId="378" priority="380">
      <formula>$E356=15</formula>
    </cfRule>
    <cfRule type="expression" dxfId="377" priority="381">
      <formula>$E356=14</formula>
    </cfRule>
    <cfRule type="expression" dxfId="376" priority="382">
      <formula>$E356=13</formula>
    </cfRule>
    <cfRule type="expression" dxfId="375" priority="383">
      <formula>$E356=12</formula>
    </cfRule>
  </conditionalFormatting>
  <conditionalFormatting sqref="L356:L358">
    <cfRule type="expression" dxfId="374" priority="367">
      <formula>$E356&lt;12</formula>
    </cfRule>
    <cfRule type="expression" dxfId="373" priority="368">
      <formula>$E356=18</formula>
    </cfRule>
    <cfRule type="expression" dxfId="372" priority="369">
      <formula>$E356=17</formula>
    </cfRule>
    <cfRule type="expression" dxfId="371" priority="370">
      <formula>$E356=16</formula>
    </cfRule>
    <cfRule type="expression" dxfId="370" priority="371">
      <formula>$E356=15</formula>
    </cfRule>
    <cfRule type="expression" dxfId="369" priority="372">
      <formula>$E356=14</formula>
    </cfRule>
    <cfRule type="expression" dxfId="368" priority="373">
      <formula>$E356=13</formula>
    </cfRule>
    <cfRule type="expression" dxfId="367" priority="374">
      <formula>$E356=12</formula>
    </cfRule>
  </conditionalFormatting>
  <conditionalFormatting sqref="L356:L358">
    <cfRule type="expression" dxfId="366" priority="358">
      <formula>$E356=10</formula>
    </cfRule>
    <cfRule type="expression" dxfId="365" priority="359">
      <formula>$E356=11</formula>
    </cfRule>
    <cfRule type="expression" dxfId="364" priority="360">
      <formula>$E356=18</formula>
    </cfRule>
    <cfRule type="expression" dxfId="363" priority="361">
      <formula>$E356=17</formula>
    </cfRule>
    <cfRule type="expression" dxfId="362" priority="362">
      <formula>$E356=16</formula>
    </cfRule>
    <cfRule type="expression" dxfId="361" priority="363">
      <formula>$E356=15</formula>
    </cfRule>
    <cfRule type="expression" dxfId="360" priority="364">
      <formula>$E356=14</formula>
    </cfRule>
    <cfRule type="expression" dxfId="359" priority="365">
      <formula>$E356=13</formula>
    </cfRule>
    <cfRule type="expression" dxfId="358" priority="366">
      <formula>$E356=12</formula>
    </cfRule>
  </conditionalFormatting>
  <conditionalFormatting sqref="K356:K358">
    <cfRule type="expression" dxfId="357" priority="350">
      <formula>$E356&lt;12</formula>
    </cfRule>
    <cfRule type="expression" dxfId="356" priority="351">
      <formula>$E356=18</formula>
    </cfRule>
    <cfRule type="expression" dxfId="355" priority="352">
      <formula>$E356=17</formula>
    </cfRule>
    <cfRule type="expression" dxfId="354" priority="353">
      <formula>$E356=16</formula>
    </cfRule>
    <cfRule type="expression" dxfId="353" priority="354">
      <formula>$E356=15</formula>
    </cfRule>
    <cfRule type="expression" dxfId="352" priority="355">
      <formula>$E356=14</formula>
    </cfRule>
    <cfRule type="expression" dxfId="351" priority="356">
      <formula>$E356=13</formula>
    </cfRule>
    <cfRule type="expression" dxfId="350" priority="357">
      <formula>$E356=12</formula>
    </cfRule>
  </conditionalFormatting>
  <conditionalFormatting sqref="K356:K358">
    <cfRule type="expression" dxfId="349" priority="341">
      <formula>$E356=10</formula>
    </cfRule>
    <cfRule type="expression" dxfId="348" priority="342">
      <formula>$E356=11</formula>
    </cfRule>
    <cfRule type="expression" dxfId="347" priority="343">
      <formula>$E356=18</formula>
    </cfRule>
    <cfRule type="expression" dxfId="346" priority="344">
      <formula>$E356=17</formula>
    </cfRule>
    <cfRule type="expression" dxfId="345" priority="345">
      <formula>$E356=16</formula>
    </cfRule>
    <cfRule type="expression" dxfId="344" priority="346">
      <formula>$E356=15</formula>
    </cfRule>
    <cfRule type="expression" dxfId="343" priority="347">
      <formula>$E356=14</formula>
    </cfRule>
    <cfRule type="expression" dxfId="342" priority="348">
      <formula>$E356=13</formula>
    </cfRule>
    <cfRule type="expression" dxfId="341" priority="349">
      <formula>$E356=12</formula>
    </cfRule>
  </conditionalFormatting>
  <conditionalFormatting sqref="G1:I1">
    <cfRule type="containsText" dxfId="340" priority="851" operator="containsText" text="CSRA">
      <formula>NOT(ISERROR(SEARCH("CSRA",G1)))</formula>
    </cfRule>
  </conditionalFormatting>
  <conditionalFormatting sqref="A360:B363 G360:J363">
    <cfRule type="expression" dxfId="339" priority="333">
      <formula>$E360&lt;12</formula>
    </cfRule>
    <cfRule type="expression" dxfId="338" priority="334">
      <formula>$E360=18</formula>
    </cfRule>
    <cfRule type="expression" dxfId="337" priority="335">
      <formula>$E360=17</formula>
    </cfRule>
    <cfRule type="expression" dxfId="336" priority="336">
      <formula>$E360=16</formula>
    </cfRule>
    <cfRule type="expression" dxfId="335" priority="337">
      <formula>$E360=15</formula>
    </cfRule>
    <cfRule type="expression" dxfId="334" priority="338">
      <formula>$E360=14</formula>
    </cfRule>
    <cfRule type="expression" dxfId="333" priority="339">
      <formula>$E360=13</formula>
    </cfRule>
    <cfRule type="expression" dxfId="332" priority="340">
      <formula>$E360=12</formula>
    </cfRule>
  </conditionalFormatting>
  <conditionalFormatting sqref="A360:B363 G360:J363">
    <cfRule type="expression" dxfId="331" priority="324">
      <formula>$E360=10</formula>
    </cfRule>
    <cfRule type="expression" dxfId="330" priority="325">
      <formula>$E360=11</formula>
    </cfRule>
    <cfRule type="expression" dxfId="329" priority="326">
      <formula>$E360=18</formula>
    </cfRule>
    <cfRule type="expression" dxfId="328" priority="327">
      <formula>$E360=17</formula>
    </cfRule>
    <cfRule type="expression" dxfId="327" priority="328">
      <formula>$E360=16</formula>
    </cfRule>
    <cfRule type="expression" dxfId="326" priority="329">
      <formula>$E360=15</formula>
    </cfRule>
    <cfRule type="expression" dxfId="325" priority="330">
      <formula>$E360=14</formula>
    </cfRule>
    <cfRule type="expression" dxfId="324" priority="331">
      <formula>$E360=13</formula>
    </cfRule>
    <cfRule type="expression" dxfId="323" priority="332">
      <formula>$E360=12</formula>
    </cfRule>
  </conditionalFormatting>
  <conditionalFormatting sqref="M360:N363">
    <cfRule type="expression" dxfId="322" priority="316">
      <formula>$E360&lt;12</formula>
    </cfRule>
    <cfRule type="expression" dxfId="321" priority="317">
      <formula>$E360=18</formula>
    </cfRule>
    <cfRule type="expression" dxfId="320" priority="318">
      <formula>$E360=17</formula>
    </cfRule>
    <cfRule type="expression" dxfId="319" priority="319">
      <formula>$E360=16</formula>
    </cfRule>
    <cfRule type="expression" dxfId="318" priority="320">
      <formula>$E360=15</formula>
    </cfRule>
    <cfRule type="expression" dxfId="317" priority="321">
      <formula>$E360=14</formula>
    </cfRule>
    <cfRule type="expression" dxfId="316" priority="322">
      <formula>$E360=13</formula>
    </cfRule>
    <cfRule type="expression" dxfId="315" priority="323">
      <formula>$E360=12</formula>
    </cfRule>
  </conditionalFormatting>
  <conditionalFormatting sqref="M360:N363">
    <cfRule type="expression" dxfId="314" priority="307">
      <formula>$E360=10</formula>
    </cfRule>
    <cfRule type="expression" dxfId="313" priority="308">
      <formula>$E360=11</formula>
    </cfRule>
    <cfRule type="expression" dxfId="312" priority="309">
      <formula>$E360=18</formula>
    </cfRule>
    <cfRule type="expression" dxfId="311" priority="310">
      <formula>$E360=17</formula>
    </cfRule>
    <cfRule type="expression" dxfId="310" priority="311">
      <formula>$E360=16</formula>
    </cfRule>
    <cfRule type="expression" dxfId="309" priority="312">
      <formula>$E360=15</formula>
    </cfRule>
    <cfRule type="expression" dxfId="308" priority="313">
      <formula>$E360=14</formula>
    </cfRule>
    <cfRule type="expression" dxfId="307" priority="314">
      <formula>$E360=13</formula>
    </cfRule>
    <cfRule type="expression" dxfId="306" priority="315">
      <formula>$E360=12</formula>
    </cfRule>
  </conditionalFormatting>
  <conditionalFormatting sqref="L360:L363">
    <cfRule type="expression" dxfId="305" priority="299">
      <formula>$E360&lt;12</formula>
    </cfRule>
    <cfRule type="expression" dxfId="304" priority="300">
      <formula>$E360=18</formula>
    </cfRule>
    <cfRule type="expression" dxfId="303" priority="301">
      <formula>$E360=17</formula>
    </cfRule>
    <cfRule type="expression" dxfId="302" priority="302">
      <formula>$E360=16</formula>
    </cfRule>
    <cfRule type="expression" dxfId="301" priority="303">
      <formula>$E360=15</formula>
    </cfRule>
    <cfRule type="expression" dxfId="300" priority="304">
      <formula>$E360=14</formula>
    </cfRule>
    <cfRule type="expression" dxfId="299" priority="305">
      <formula>$E360=13</formula>
    </cfRule>
    <cfRule type="expression" dxfId="298" priority="306">
      <formula>$E360=12</formula>
    </cfRule>
  </conditionalFormatting>
  <conditionalFormatting sqref="L360:L363">
    <cfRule type="expression" dxfId="297" priority="290">
      <formula>$E360=10</formula>
    </cfRule>
    <cfRule type="expression" dxfId="296" priority="291">
      <formula>$E360=11</formula>
    </cfRule>
    <cfRule type="expression" dxfId="295" priority="292">
      <formula>$E360=18</formula>
    </cfRule>
    <cfRule type="expression" dxfId="294" priority="293">
      <formula>$E360=17</formula>
    </cfRule>
    <cfRule type="expression" dxfId="293" priority="294">
      <formula>$E360=16</formula>
    </cfRule>
    <cfRule type="expression" dxfId="292" priority="295">
      <formula>$E360=15</formula>
    </cfRule>
    <cfRule type="expression" dxfId="291" priority="296">
      <formula>$E360=14</formula>
    </cfRule>
    <cfRule type="expression" dxfId="290" priority="297">
      <formula>$E360=13</formula>
    </cfRule>
    <cfRule type="expression" dxfId="289" priority="298">
      <formula>$E360=12</formula>
    </cfRule>
  </conditionalFormatting>
  <conditionalFormatting sqref="K360:K363">
    <cfRule type="expression" dxfId="288" priority="282">
      <formula>$E360&lt;12</formula>
    </cfRule>
    <cfRule type="expression" dxfId="287" priority="283">
      <formula>$E360=18</formula>
    </cfRule>
    <cfRule type="expression" dxfId="286" priority="284">
      <formula>$E360=17</formula>
    </cfRule>
    <cfRule type="expression" dxfId="285" priority="285">
      <formula>$E360=16</formula>
    </cfRule>
    <cfRule type="expression" dxfId="284" priority="286">
      <formula>$E360=15</formula>
    </cfRule>
    <cfRule type="expression" dxfId="283" priority="287">
      <formula>$E360=14</formula>
    </cfRule>
    <cfRule type="expression" dxfId="282" priority="288">
      <formula>$E360=13</formula>
    </cfRule>
    <cfRule type="expression" dxfId="281" priority="289">
      <formula>$E360=12</formula>
    </cfRule>
  </conditionalFormatting>
  <conditionalFormatting sqref="K360:K363">
    <cfRule type="expression" dxfId="280" priority="273">
      <formula>$E360=10</formula>
    </cfRule>
    <cfRule type="expression" dxfId="279" priority="274">
      <formula>$E360=11</formula>
    </cfRule>
    <cfRule type="expression" dxfId="278" priority="275">
      <formula>$E360=18</formula>
    </cfRule>
    <cfRule type="expression" dxfId="277" priority="276">
      <formula>$E360=17</formula>
    </cfRule>
    <cfRule type="expression" dxfId="276" priority="277">
      <formula>$E360=16</formula>
    </cfRule>
    <cfRule type="expression" dxfId="275" priority="278">
      <formula>$E360=15</formula>
    </cfRule>
    <cfRule type="expression" dxfId="274" priority="279">
      <formula>$E360=14</formula>
    </cfRule>
    <cfRule type="expression" dxfId="273" priority="280">
      <formula>$E360=13</formula>
    </cfRule>
    <cfRule type="expression" dxfId="272" priority="281">
      <formula>$E360=12</formula>
    </cfRule>
  </conditionalFormatting>
  <conditionalFormatting sqref="C360:F363">
    <cfRule type="expression" dxfId="271" priority="265">
      <formula>$E360&lt;12</formula>
    </cfRule>
    <cfRule type="expression" dxfId="270" priority="266">
      <formula>$E360=18</formula>
    </cfRule>
    <cfRule type="expression" dxfId="269" priority="267">
      <formula>$E360=17</formula>
    </cfRule>
    <cfRule type="expression" dxfId="268" priority="268">
      <formula>$E360=16</formula>
    </cfRule>
    <cfRule type="expression" dxfId="267" priority="269">
      <formula>$E360=15</formula>
    </cfRule>
    <cfRule type="expression" dxfId="266" priority="270">
      <formula>$E360=14</formula>
    </cfRule>
    <cfRule type="expression" dxfId="265" priority="271">
      <formula>$E360=13</formula>
    </cfRule>
    <cfRule type="expression" dxfId="264" priority="272">
      <formula>$E360=12</formula>
    </cfRule>
  </conditionalFormatting>
  <conditionalFormatting sqref="C360:F363">
    <cfRule type="expression" dxfId="263" priority="256">
      <formula>$E360=10</formula>
    </cfRule>
    <cfRule type="expression" dxfId="262" priority="257">
      <formula>$E360=11</formula>
    </cfRule>
    <cfRule type="expression" dxfId="261" priority="258">
      <formula>$E360=18</formula>
    </cfRule>
    <cfRule type="expression" dxfId="260" priority="259">
      <formula>$E360=17</formula>
    </cfRule>
    <cfRule type="expression" dxfId="259" priority="260">
      <formula>$E360=16</formula>
    </cfRule>
    <cfRule type="expression" dxfId="258" priority="261">
      <formula>$E360=15</formula>
    </cfRule>
    <cfRule type="expression" dxfId="257" priority="262">
      <formula>$E360=14</formula>
    </cfRule>
    <cfRule type="expression" dxfId="256" priority="263">
      <formula>$E360=13</formula>
    </cfRule>
    <cfRule type="expression" dxfId="255" priority="264">
      <formula>$E360=12</formula>
    </cfRule>
  </conditionalFormatting>
  <conditionalFormatting sqref="A364:B383 G364:J383">
    <cfRule type="expression" dxfId="254" priority="248">
      <formula>$E364&lt;12</formula>
    </cfRule>
    <cfRule type="expression" dxfId="253" priority="249">
      <formula>$E364=18</formula>
    </cfRule>
    <cfRule type="expression" dxfId="252" priority="250">
      <formula>$E364=17</formula>
    </cfRule>
    <cfRule type="expression" dxfId="251" priority="251">
      <formula>$E364=16</formula>
    </cfRule>
    <cfRule type="expression" dxfId="250" priority="252">
      <formula>$E364=15</formula>
    </cfRule>
    <cfRule type="expression" dxfId="249" priority="253">
      <formula>$E364=14</formula>
    </cfRule>
    <cfRule type="expression" dxfId="248" priority="254">
      <formula>$E364=13</formula>
    </cfRule>
    <cfRule type="expression" dxfId="247" priority="255">
      <formula>$E364=12</formula>
    </cfRule>
  </conditionalFormatting>
  <conditionalFormatting sqref="A364:B383 G364:J383">
    <cfRule type="expression" dxfId="246" priority="239">
      <formula>$E364=10</formula>
    </cfRule>
    <cfRule type="expression" dxfId="245" priority="240">
      <formula>$E364=11</formula>
    </cfRule>
    <cfRule type="expression" dxfId="244" priority="241">
      <formula>$E364=18</formula>
    </cfRule>
    <cfRule type="expression" dxfId="243" priority="242">
      <formula>$E364=17</formula>
    </cfRule>
    <cfRule type="expression" dxfId="242" priority="243">
      <formula>$E364=16</formula>
    </cfRule>
    <cfRule type="expression" dxfId="241" priority="244">
      <formula>$E364=15</formula>
    </cfRule>
    <cfRule type="expression" dxfId="240" priority="245">
      <formula>$E364=14</formula>
    </cfRule>
    <cfRule type="expression" dxfId="239" priority="246">
      <formula>$E364=13</formula>
    </cfRule>
    <cfRule type="expression" dxfId="238" priority="247">
      <formula>$E364=12</formula>
    </cfRule>
  </conditionalFormatting>
  <conditionalFormatting sqref="M364:N383">
    <cfRule type="expression" dxfId="237" priority="231">
      <formula>$E364&lt;12</formula>
    </cfRule>
    <cfRule type="expression" dxfId="236" priority="232">
      <formula>$E364=18</formula>
    </cfRule>
    <cfRule type="expression" dxfId="235" priority="233">
      <formula>$E364=17</formula>
    </cfRule>
    <cfRule type="expression" dxfId="234" priority="234">
      <formula>$E364=16</formula>
    </cfRule>
    <cfRule type="expression" dxfId="233" priority="235">
      <formula>$E364=15</formula>
    </cfRule>
    <cfRule type="expression" dxfId="232" priority="236">
      <formula>$E364=14</formula>
    </cfRule>
    <cfRule type="expression" dxfId="231" priority="237">
      <formula>$E364=13</formula>
    </cfRule>
    <cfRule type="expression" dxfId="230" priority="238">
      <formula>$E364=12</formula>
    </cfRule>
  </conditionalFormatting>
  <conditionalFormatting sqref="M364:N383">
    <cfRule type="expression" dxfId="229" priority="222">
      <formula>$E364=10</formula>
    </cfRule>
    <cfRule type="expression" dxfId="228" priority="223">
      <formula>$E364=11</formula>
    </cfRule>
    <cfRule type="expression" dxfId="227" priority="224">
      <formula>$E364=18</formula>
    </cfRule>
    <cfRule type="expression" dxfId="226" priority="225">
      <formula>$E364=17</formula>
    </cfRule>
    <cfRule type="expression" dxfId="225" priority="226">
      <formula>$E364=16</formula>
    </cfRule>
    <cfRule type="expression" dxfId="224" priority="227">
      <formula>$E364=15</formula>
    </cfRule>
    <cfRule type="expression" dxfId="223" priority="228">
      <formula>$E364=14</formula>
    </cfRule>
    <cfRule type="expression" dxfId="222" priority="229">
      <formula>$E364=13</formula>
    </cfRule>
    <cfRule type="expression" dxfId="221" priority="230">
      <formula>$E364=12</formula>
    </cfRule>
  </conditionalFormatting>
  <conditionalFormatting sqref="L364:L383">
    <cfRule type="expression" dxfId="220" priority="214">
      <formula>$E364&lt;12</formula>
    </cfRule>
    <cfRule type="expression" dxfId="219" priority="215">
      <formula>$E364=18</formula>
    </cfRule>
    <cfRule type="expression" dxfId="218" priority="216">
      <formula>$E364=17</formula>
    </cfRule>
    <cfRule type="expression" dxfId="217" priority="217">
      <formula>$E364=16</formula>
    </cfRule>
    <cfRule type="expression" dxfId="216" priority="218">
      <formula>$E364=15</formula>
    </cfRule>
    <cfRule type="expression" dxfId="215" priority="219">
      <formula>$E364=14</formula>
    </cfRule>
    <cfRule type="expression" dxfId="214" priority="220">
      <formula>$E364=13</formula>
    </cfRule>
    <cfRule type="expression" dxfId="213" priority="221">
      <formula>$E364=12</formula>
    </cfRule>
  </conditionalFormatting>
  <conditionalFormatting sqref="L364:L383">
    <cfRule type="expression" dxfId="212" priority="205">
      <formula>$E364=10</formula>
    </cfRule>
    <cfRule type="expression" dxfId="211" priority="206">
      <formula>$E364=11</formula>
    </cfRule>
    <cfRule type="expression" dxfId="210" priority="207">
      <formula>$E364=18</formula>
    </cfRule>
    <cfRule type="expression" dxfId="209" priority="208">
      <formula>$E364=17</formula>
    </cfRule>
    <cfRule type="expression" dxfId="208" priority="209">
      <formula>$E364=16</formula>
    </cfRule>
    <cfRule type="expression" dxfId="207" priority="210">
      <formula>$E364=15</formula>
    </cfRule>
    <cfRule type="expression" dxfId="206" priority="211">
      <formula>$E364=14</formula>
    </cfRule>
    <cfRule type="expression" dxfId="205" priority="212">
      <formula>$E364=13</formula>
    </cfRule>
    <cfRule type="expression" dxfId="204" priority="213">
      <formula>$E364=12</formula>
    </cfRule>
  </conditionalFormatting>
  <conditionalFormatting sqref="K364:K383">
    <cfRule type="expression" dxfId="203" priority="197">
      <formula>$E364&lt;12</formula>
    </cfRule>
    <cfRule type="expression" dxfId="202" priority="198">
      <formula>$E364=18</formula>
    </cfRule>
    <cfRule type="expression" dxfId="201" priority="199">
      <formula>$E364=17</formula>
    </cfRule>
    <cfRule type="expression" dxfId="200" priority="200">
      <formula>$E364=16</formula>
    </cfRule>
    <cfRule type="expression" dxfId="199" priority="201">
      <formula>$E364=15</formula>
    </cfRule>
    <cfRule type="expression" dxfId="198" priority="202">
      <formula>$E364=14</formula>
    </cfRule>
    <cfRule type="expression" dxfId="197" priority="203">
      <formula>$E364=13</formula>
    </cfRule>
    <cfRule type="expression" dxfId="196" priority="204">
      <formula>$E364=12</formula>
    </cfRule>
  </conditionalFormatting>
  <conditionalFormatting sqref="K364:K383">
    <cfRule type="expression" dxfId="195" priority="188">
      <formula>$E364=10</formula>
    </cfRule>
    <cfRule type="expression" dxfId="194" priority="189">
      <formula>$E364=11</formula>
    </cfRule>
    <cfRule type="expression" dxfId="193" priority="190">
      <formula>$E364=18</formula>
    </cfRule>
    <cfRule type="expression" dxfId="192" priority="191">
      <formula>$E364=17</formula>
    </cfRule>
    <cfRule type="expression" dxfId="191" priority="192">
      <formula>$E364=16</formula>
    </cfRule>
    <cfRule type="expression" dxfId="190" priority="193">
      <formula>$E364=15</formula>
    </cfRule>
    <cfRule type="expression" dxfId="189" priority="194">
      <formula>$E364=14</formula>
    </cfRule>
    <cfRule type="expression" dxfId="188" priority="195">
      <formula>$E364=13</formula>
    </cfRule>
    <cfRule type="expression" dxfId="187" priority="196">
      <formula>$E364=12</formula>
    </cfRule>
  </conditionalFormatting>
  <conditionalFormatting sqref="C364:F383">
    <cfRule type="expression" dxfId="186" priority="171">
      <formula>$E364=10</formula>
    </cfRule>
    <cfRule type="expression" dxfId="185" priority="172">
      <formula>$E364=11</formula>
    </cfRule>
    <cfRule type="expression" dxfId="184" priority="173">
      <formula>$E364=18</formula>
    </cfRule>
    <cfRule type="expression" dxfId="183" priority="174">
      <formula>$E364=17</formula>
    </cfRule>
    <cfRule type="expression" dxfId="182" priority="175">
      <formula>$E364=16</formula>
    </cfRule>
    <cfRule type="expression" dxfId="181" priority="176">
      <formula>$E364=15</formula>
    </cfRule>
    <cfRule type="expression" dxfId="180" priority="177">
      <formula>$E364=14</formula>
    </cfRule>
    <cfRule type="expression" dxfId="179" priority="178">
      <formula>$E364=13</formula>
    </cfRule>
    <cfRule type="expression" dxfId="178" priority="179">
      <formula>$E364=12</formula>
    </cfRule>
  </conditionalFormatting>
  <conditionalFormatting sqref="C364:F383">
    <cfRule type="expression" dxfId="177" priority="180">
      <formula>$E364&lt;12</formula>
    </cfRule>
    <cfRule type="expression" dxfId="176" priority="181">
      <formula>$E364=18</formula>
    </cfRule>
    <cfRule type="expression" dxfId="175" priority="182">
      <formula>$E364=17</formula>
    </cfRule>
    <cfRule type="expression" dxfId="174" priority="183">
      <formula>$E364=16</formula>
    </cfRule>
    <cfRule type="expression" dxfId="173" priority="184">
      <formula>$E364=15</formula>
    </cfRule>
    <cfRule type="expression" dxfId="172" priority="185">
      <formula>$E364=14</formula>
    </cfRule>
    <cfRule type="expression" dxfId="171" priority="186">
      <formula>$E364=13</formula>
    </cfRule>
    <cfRule type="expression" dxfId="170" priority="187">
      <formula>$E364=12</formula>
    </cfRule>
  </conditionalFormatting>
  <conditionalFormatting sqref="A387:B387 G387:J387">
    <cfRule type="expression" dxfId="169" priority="78">
      <formula>$E387&lt;12</formula>
    </cfRule>
    <cfRule type="expression" dxfId="168" priority="79">
      <formula>$E387=18</formula>
    </cfRule>
    <cfRule type="expression" dxfId="167" priority="80">
      <formula>$E387=17</formula>
    </cfRule>
    <cfRule type="expression" dxfId="166" priority="81">
      <formula>$E387=16</formula>
    </cfRule>
    <cfRule type="expression" dxfId="165" priority="82">
      <formula>$E387=15</formula>
    </cfRule>
    <cfRule type="expression" dxfId="164" priority="83">
      <formula>$E387=14</formula>
    </cfRule>
    <cfRule type="expression" dxfId="163" priority="84">
      <formula>$E387=13</formula>
    </cfRule>
    <cfRule type="expression" dxfId="162" priority="85">
      <formula>$E387=12</formula>
    </cfRule>
  </conditionalFormatting>
  <conditionalFormatting sqref="A387:B387 G387:J387">
    <cfRule type="expression" dxfId="161" priority="69">
      <formula>$E387=10</formula>
    </cfRule>
    <cfRule type="expression" dxfId="160" priority="70">
      <formula>$E387=11</formula>
    </cfRule>
    <cfRule type="expression" dxfId="159" priority="71">
      <formula>$E387=18</formula>
    </cfRule>
    <cfRule type="expression" dxfId="158" priority="72">
      <formula>$E387=17</formula>
    </cfRule>
    <cfRule type="expression" dxfId="157" priority="73">
      <formula>$E387=16</formula>
    </cfRule>
    <cfRule type="expression" dxfId="156" priority="74">
      <formula>$E387=15</formula>
    </cfRule>
    <cfRule type="expression" dxfId="155" priority="75">
      <formula>$E387=14</formula>
    </cfRule>
    <cfRule type="expression" dxfId="154" priority="76">
      <formula>$E387=13</formula>
    </cfRule>
    <cfRule type="expression" dxfId="153" priority="77">
      <formula>$E387=12</formula>
    </cfRule>
  </conditionalFormatting>
  <conditionalFormatting sqref="M387:N387">
    <cfRule type="expression" dxfId="152" priority="61">
      <formula>$E387&lt;12</formula>
    </cfRule>
    <cfRule type="expression" dxfId="151" priority="62">
      <formula>$E387=18</formula>
    </cfRule>
    <cfRule type="expression" dxfId="150" priority="63">
      <formula>$E387=17</formula>
    </cfRule>
    <cfRule type="expression" dxfId="149" priority="64">
      <formula>$E387=16</formula>
    </cfRule>
    <cfRule type="expression" dxfId="148" priority="65">
      <formula>$E387=15</formula>
    </cfRule>
    <cfRule type="expression" dxfId="147" priority="66">
      <formula>$E387=14</formula>
    </cfRule>
    <cfRule type="expression" dxfId="146" priority="67">
      <formula>$E387=13</formula>
    </cfRule>
    <cfRule type="expression" dxfId="145" priority="68">
      <formula>$E387=12</formula>
    </cfRule>
  </conditionalFormatting>
  <conditionalFormatting sqref="M387:N387">
    <cfRule type="expression" dxfId="144" priority="52">
      <formula>$E387=10</formula>
    </cfRule>
    <cfRule type="expression" dxfId="143" priority="53">
      <formula>$E387=11</formula>
    </cfRule>
    <cfRule type="expression" dxfId="142" priority="54">
      <formula>$E387=18</formula>
    </cfRule>
    <cfRule type="expression" dxfId="141" priority="55">
      <formula>$E387=17</formula>
    </cfRule>
    <cfRule type="expression" dxfId="140" priority="56">
      <formula>$E387=16</formula>
    </cfRule>
    <cfRule type="expression" dxfId="139" priority="57">
      <formula>$E387=15</formula>
    </cfRule>
    <cfRule type="expression" dxfId="138" priority="58">
      <formula>$E387=14</formula>
    </cfRule>
    <cfRule type="expression" dxfId="137" priority="59">
      <formula>$E387=13</formula>
    </cfRule>
    <cfRule type="expression" dxfId="136" priority="60">
      <formula>$E387=12</formula>
    </cfRule>
  </conditionalFormatting>
  <conditionalFormatting sqref="L387">
    <cfRule type="expression" dxfId="135" priority="44">
      <formula>$E387&lt;12</formula>
    </cfRule>
    <cfRule type="expression" dxfId="134" priority="45">
      <formula>$E387=18</formula>
    </cfRule>
    <cfRule type="expression" dxfId="133" priority="46">
      <formula>$E387=17</formula>
    </cfRule>
    <cfRule type="expression" dxfId="132" priority="47">
      <formula>$E387=16</formula>
    </cfRule>
    <cfRule type="expression" dxfId="131" priority="48">
      <formula>$E387=15</formula>
    </cfRule>
    <cfRule type="expression" dxfId="130" priority="49">
      <formula>$E387=14</formula>
    </cfRule>
    <cfRule type="expression" dxfId="129" priority="50">
      <formula>$E387=13</formula>
    </cfRule>
    <cfRule type="expression" dxfId="128" priority="51">
      <formula>$E387=12</formula>
    </cfRule>
  </conditionalFormatting>
  <conditionalFormatting sqref="L387">
    <cfRule type="expression" dxfId="127" priority="35">
      <formula>$E387=10</formula>
    </cfRule>
    <cfRule type="expression" dxfId="126" priority="36">
      <formula>$E387=11</formula>
    </cfRule>
    <cfRule type="expression" dxfId="125" priority="37">
      <formula>$E387=18</formula>
    </cfRule>
    <cfRule type="expression" dxfId="124" priority="38">
      <formula>$E387=17</formula>
    </cfRule>
    <cfRule type="expression" dxfId="123" priority="39">
      <formula>$E387=16</formula>
    </cfRule>
    <cfRule type="expression" dxfId="122" priority="40">
      <formula>$E387=15</formula>
    </cfRule>
    <cfRule type="expression" dxfId="121" priority="41">
      <formula>$E387=14</formula>
    </cfRule>
    <cfRule type="expression" dxfId="120" priority="42">
      <formula>$E387=13</formula>
    </cfRule>
    <cfRule type="expression" dxfId="119" priority="43">
      <formula>$E387=12</formula>
    </cfRule>
  </conditionalFormatting>
  <conditionalFormatting sqref="K387">
    <cfRule type="expression" dxfId="118" priority="27">
      <formula>$E387&lt;12</formula>
    </cfRule>
    <cfRule type="expression" dxfId="117" priority="28">
      <formula>$E387=18</formula>
    </cfRule>
    <cfRule type="expression" dxfId="116" priority="29">
      <formula>$E387=17</formula>
    </cfRule>
    <cfRule type="expression" dxfId="115" priority="30">
      <formula>$E387=16</formula>
    </cfRule>
    <cfRule type="expression" dxfId="114" priority="31">
      <formula>$E387=15</formula>
    </cfRule>
    <cfRule type="expression" dxfId="113" priority="32">
      <formula>$E387=14</formula>
    </cfRule>
    <cfRule type="expression" dxfId="112" priority="33">
      <formula>$E387=13</formula>
    </cfRule>
    <cfRule type="expression" dxfId="111" priority="34">
      <formula>$E387=12</formula>
    </cfRule>
  </conditionalFormatting>
  <conditionalFormatting sqref="K387">
    <cfRule type="expression" dxfId="110" priority="18">
      <formula>$E387=10</formula>
    </cfRule>
    <cfRule type="expression" dxfId="109" priority="19">
      <formula>$E387=11</formula>
    </cfRule>
    <cfRule type="expression" dxfId="108" priority="20">
      <formula>$E387=18</formula>
    </cfRule>
    <cfRule type="expression" dxfId="107" priority="21">
      <formula>$E387=17</formula>
    </cfRule>
    <cfRule type="expression" dxfId="106" priority="22">
      <formula>$E387=16</formula>
    </cfRule>
    <cfRule type="expression" dxfId="105" priority="23">
      <formula>$E387=15</formula>
    </cfRule>
    <cfRule type="expression" dxfId="104" priority="24">
      <formula>$E387=14</formula>
    </cfRule>
    <cfRule type="expression" dxfId="103" priority="25">
      <formula>$E387=13</formula>
    </cfRule>
    <cfRule type="expression" dxfId="102" priority="26">
      <formula>$E387=12</formula>
    </cfRule>
  </conditionalFormatting>
  <conditionalFormatting sqref="C387:F387">
    <cfRule type="expression" dxfId="101" priority="1">
      <formula>$E387=10</formula>
    </cfRule>
    <cfRule type="expression" dxfId="100" priority="2">
      <formula>$E387=11</formula>
    </cfRule>
    <cfRule type="expression" dxfId="99" priority="3">
      <formula>$E387=18</formula>
    </cfRule>
    <cfRule type="expression" dxfId="98" priority="4">
      <formula>$E387=17</formula>
    </cfRule>
    <cfRule type="expression" dxfId="97" priority="5">
      <formula>$E387=16</formula>
    </cfRule>
    <cfRule type="expression" dxfId="96" priority="6">
      <formula>$E387=15</formula>
    </cfRule>
    <cfRule type="expression" dxfId="95" priority="7">
      <formula>$E387=14</formula>
    </cfRule>
    <cfRule type="expression" dxfId="94" priority="8">
      <formula>$E387=13</formula>
    </cfRule>
    <cfRule type="expression" dxfId="93" priority="9">
      <formula>$E387=12</formula>
    </cfRule>
  </conditionalFormatting>
  <conditionalFormatting sqref="C387:F387">
    <cfRule type="expression" dxfId="92" priority="10">
      <formula>$E387&lt;12</formula>
    </cfRule>
    <cfRule type="expression" dxfId="91" priority="11">
      <formula>$E387=18</formula>
    </cfRule>
    <cfRule type="expression" dxfId="90" priority="12">
      <formula>$E387=17</formula>
    </cfRule>
    <cfRule type="expression" dxfId="89" priority="13">
      <formula>$E387=16</formula>
    </cfRule>
    <cfRule type="expression" dxfId="88" priority="14">
      <formula>$E387=15</formula>
    </cfRule>
    <cfRule type="expression" dxfId="87" priority="15">
      <formula>$E387=14</formula>
    </cfRule>
    <cfRule type="expression" dxfId="86" priority="16">
      <formula>$E387=13</formula>
    </cfRule>
    <cfRule type="expression" dxfId="85" priority="17">
      <formula>$E387=12</formula>
    </cfRule>
  </conditionalFormatting>
  <conditionalFormatting sqref="A385:B385 G385:J385">
    <cfRule type="expression" dxfId="84" priority="163">
      <formula>$E385&lt;12</formula>
    </cfRule>
    <cfRule type="expression" dxfId="83" priority="164">
      <formula>$E385=18</formula>
    </cfRule>
    <cfRule type="expression" dxfId="82" priority="165">
      <formula>$E385=17</formula>
    </cfRule>
    <cfRule type="expression" dxfId="81" priority="166">
      <formula>$E385=16</formula>
    </cfRule>
    <cfRule type="expression" dxfId="80" priority="167">
      <formula>$E385=15</formula>
    </cfRule>
    <cfRule type="expression" dxfId="79" priority="168">
      <formula>$E385=14</formula>
    </cfRule>
    <cfRule type="expression" dxfId="78" priority="169">
      <formula>$E385=13</formula>
    </cfRule>
    <cfRule type="expression" dxfId="77" priority="170">
      <formula>$E385=12</formula>
    </cfRule>
  </conditionalFormatting>
  <conditionalFormatting sqref="A385:B385 G385:J385">
    <cfRule type="expression" dxfId="76" priority="154">
      <formula>$E385=10</formula>
    </cfRule>
    <cfRule type="expression" dxfId="75" priority="155">
      <formula>$E385=11</formula>
    </cfRule>
    <cfRule type="expression" dxfId="74" priority="156">
      <formula>$E385=18</formula>
    </cfRule>
    <cfRule type="expression" dxfId="73" priority="157">
      <formula>$E385=17</formula>
    </cfRule>
    <cfRule type="expression" dxfId="72" priority="158">
      <formula>$E385=16</formula>
    </cfRule>
    <cfRule type="expression" dxfId="71" priority="159">
      <formula>$E385=15</formula>
    </cfRule>
    <cfRule type="expression" dxfId="70" priority="160">
      <formula>$E385=14</formula>
    </cfRule>
    <cfRule type="expression" dxfId="69" priority="161">
      <formula>$E385=13</formula>
    </cfRule>
    <cfRule type="expression" dxfId="68" priority="162">
      <formula>$E385=12</formula>
    </cfRule>
  </conditionalFormatting>
  <conditionalFormatting sqref="M385:N385">
    <cfRule type="expression" dxfId="67" priority="146">
      <formula>$E385&lt;12</formula>
    </cfRule>
    <cfRule type="expression" dxfId="66" priority="147">
      <formula>$E385=18</formula>
    </cfRule>
    <cfRule type="expression" dxfId="65" priority="148">
      <formula>$E385=17</formula>
    </cfRule>
    <cfRule type="expression" dxfId="64" priority="149">
      <formula>$E385=16</formula>
    </cfRule>
    <cfRule type="expression" dxfId="63" priority="150">
      <formula>$E385=15</formula>
    </cfRule>
    <cfRule type="expression" dxfId="62" priority="151">
      <formula>$E385=14</formula>
    </cfRule>
    <cfRule type="expression" dxfId="61" priority="152">
      <formula>$E385=13</formula>
    </cfRule>
    <cfRule type="expression" dxfId="60" priority="153">
      <formula>$E385=12</formula>
    </cfRule>
  </conditionalFormatting>
  <conditionalFormatting sqref="M385:N385">
    <cfRule type="expression" dxfId="59" priority="137">
      <formula>$E385=10</formula>
    </cfRule>
    <cfRule type="expression" dxfId="58" priority="138">
      <formula>$E385=11</formula>
    </cfRule>
    <cfRule type="expression" dxfId="57" priority="139">
      <formula>$E385=18</formula>
    </cfRule>
    <cfRule type="expression" dxfId="56" priority="140">
      <formula>$E385=17</formula>
    </cfRule>
    <cfRule type="expression" dxfId="55" priority="141">
      <formula>$E385=16</formula>
    </cfRule>
    <cfRule type="expression" dxfId="54" priority="142">
      <formula>$E385=15</formula>
    </cfRule>
    <cfRule type="expression" dxfId="53" priority="143">
      <formula>$E385=14</formula>
    </cfRule>
    <cfRule type="expression" dxfId="52" priority="144">
      <formula>$E385=13</formula>
    </cfRule>
    <cfRule type="expression" dxfId="51" priority="145">
      <formula>$E385=12</formula>
    </cfRule>
  </conditionalFormatting>
  <conditionalFormatting sqref="L385">
    <cfRule type="expression" dxfId="50" priority="129">
      <formula>$E385&lt;12</formula>
    </cfRule>
    <cfRule type="expression" dxfId="49" priority="130">
      <formula>$E385=18</formula>
    </cfRule>
    <cfRule type="expression" dxfId="48" priority="131">
      <formula>$E385=17</formula>
    </cfRule>
    <cfRule type="expression" dxfId="47" priority="132">
      <formula>$E385=16</formula>
    </cfRule>
    <cfRule type="expression" dxfId="46" priority="133">
      <formula>$E385=15</formula>
    </cfRule>
    <cfRule type="expression" dxfId="45" priority="134">
      <formula>$E385=14</formula>
    </cfRule>
    <cfRule type="expression" dxfId="44" priority="135">
      <formula>$E385=13</formula>
    </cfRule>
    <cfRule type="expression" dxfId="43" priority="136">
      <formula>$E385=12</formula>
    </cfRule>
  </conditionalFormatting>
  <conditionalFormatting sqref="L385">
    <cfRule type="expression" dxfId="42" priority="120">
      <formula>$E385=10</formula>
    </cfRule>
    <cfRule type="expression" dxfId="41" priority="121">
      <formula>$E385=11</formula>
    </cfRule>
    <cfRule type="expression" dxfId="40" priority="122">
      <formula>$E385=18</formula>
    </cfRule>
    <cfRule type="expression" dxfId="39" priority="123">
      <formula>$E385=17</formula>
    </cfRule>
    <cfRule type="expression" dxfId="38" priority="124">
      <formula>$E385=16</formula>
    </cfRule>
    <cfRule type="expression" dxfId="37" priority="125">
      <formula>$E385=15</formula>
    </cfRule>
    <cfRule type="expression" dxfId="36" priority="126">
      <formula>$E385=14</formula>
    </cfRule>
    <cfRule type="expression" dxfId="35" priority="127">
      <formula>$E385=13</formula>
    </cfRule>
    <cfRule type="expression" dxfId="34" priority="128">
      <formula>$E385=12</formula>
    </cfRule>
  </conditionalFormatting>
  <conditionalFormatting sqref="K385">
    <cfRule type="expression" dxfId="33" priority="112">
      <formula>$E385&lt;12</formula>
    </cfRule>
    <cfRule type="expression" dxfId="32" priority="113">
      <formula>$E385=18</formula>
    </cfRule>
    <cfRule type="expression" dxfId="31" priority="114">
      <formula>$E385=17</formula>
    </cfRule>
    <cfRule type="expression" dxfId="30" priority="115">
      <formula>$E385=16</formula>
    </cfRule>
    <cfRule type="expression" dxfId="29" priority="116">
      <formula>$E385=15</formula>
    </cfRule>
    <cfRule type="expression" dxfId="28" priority="117">
      <formula>$E385=14</formula>
    </cfRule>
    <cfRule type="expression" dxfId="27" priority="118">
      <formula>$E385=13</formula>
    </cfRule>
    <cfRule type="expression" dxfId="26" priority="119">
      <formula>$E385=12</formula>
    </cfRule>
  </conditionalFormatting>
  <conditionalFormatting sqref="K385">
    <cfRule type="expression" dxfId="25" priority="103">
      <formula>$E385=10</formula>
    </cfRule>
    <cfRule type="expression" dxfId="24" priority="104">
      <formula>$E385=11</formula>
    </cfRule>
    <cfRule type="expression" dxfId="23" priority="105">
      <formula>$E385=18</formula>
    </cfRule>
    <cfRule type="expression" dxfId="22" priority="106">
      <formula>$E385=17</formula>
    </cfRule>
    <cfRule type="expression" dxfId="21" priority="107">
      <formula>$E385=16</formula>
    </cfRule>
    <cfRule type="expression" dxfId="20" priority="108">
      <formula>$E385=15</formula>
    </cfRule>
    <cfRule type="expression" dxfId="19" priority="109">
      <formula>$E385=14</formula>
    </cfRule>
    <cfRule type="expression" dxfId="18" priority="110">
      <formula>$E385=13</formula>
    </cfRule>
    <cfRule type="expression" dxfId="17" priority="111">
      <formula>$E385=12</formula>
    </cfRule>
  </conditionalFormatting>
  <conditionalFormatting sqref="C385:F385">
    <cfRule type="expression" dxfId="16" priority="86">
      <formula>$E385=10</formula>
    </cfRule>
    <cfRule type="expression" dxfId="15" priority="87">
      <formula>$E385=11</formula>
    </cfRule>
    <cfRule type="expression" dxfId="14" priority="88">
      <formula>$E385=18</formula>
    </cfRule>
    <cfRule type="expression" dxfId="13" priority="89">
      <formula>$E385=17</formula>
    </cfRule>
    <cfRule type="expression" dxfId="12" priority="90">
      <formula>$E385=16</formula>
    </cfRule>
    <cfRule type="expression" dxfId="11" priority="91">
      <formula>$E385=15</formula>
    </cfRule>
    <cfRule type="expression" dxfId="10" priority="92">
      <formula>$E385=14</formula>
    </cfRule>
    <cfRule type="expression" dxfId="9" priority="93">
      <formula>$E385=13</formula>
    </cfRule>
    <cfRule type="expression" dxfId="8" priority="94">
      <formula>$E385=12</formula>
    </cfRule>
  </conditionalFormatting>
  <conditionalFormatting sqref="C385:F385">
    <cfRule type="expression" dxfId="7" priority="95">
      <formula>$E385&lt;12</formula>
    </cfRule>
    <cfRule type="expression" dxfId="6" priority="96">
      <formula>$E385=18</formula>
    </cfRule>
    <cfRule type="expression" dxfId="5" priority="97">
      <formula>$E385=17</formula>
    </cfRule>
    <cfRule type="expression" dxfId="4" priority="98">
      <formula>$E385=16</formula>
    </cfRule>
    <cfRule type="expression" dxfId="3" priority="99">
      <formula>$E385=15</formula>
    </cfRule>
    <cfRule type="expression" dxfId="2" priority="100">
      <formula>$E385=14</formula>
    </cfRule>
    <cfRule type="expression" dxfId="1" priority="101">
      <formula>$E385=13</formula>
    </cfRule>
    <cfRule type="expression" dxfId="0" priority="102">
      <formula>$E385=12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tabColor rgb="FFFF0000"/>
  </sheetPr>
  <dimension ref="A1:BA260"/>
  <sheetViews>
    <sheetView topLeftCell="AU1" zoomScaleNormal="100" workbookViewId="0">
      <selection activeCell="BA2" sqref="BA2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7" width="20.42578125" style="4" bestFit="1" customWidth="1"/>
    <col min="48" max="48" width="11.42578125" style="4" bestFit="1" customWidth="1"/>
    <col min="49" max="51" width="8.85546875" style="4"/>
    <col min="52" max="52" width="24.5703125" style="4" bestFit="1" customWidth="1"/>
    <col min="53" max="53" width="3" style="4" bestFit="1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4"/>
      <c r="AZ1" s="5" t="s">
        <v>4</v>
      </c>
      <c r="BA1" s="4">
        <v>16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1018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/>
      <c r="AE2" s="204"/>
      <c r="AF2" s="204"/>
      <c r="AG2" s="204"/>
      <c r="AH2" s="204"/>
      <c r="AI2" s="205"/>
      <c r="AJ2" s="182"/>
      <c r="AK2" s="182"/>
      <c r="AL2" s="182"/>
      <c r="AM2" s="182"/>
      <c r="AN2" s="182"/>
      <c r="AO2" s="182"/>
      <c r="AP2" s="182"/>
      <c r="AQ2" s="182"/>
      <c r="AR2" s="3"/>
      <c r="AT2" s="8" t="s">
        <v>9</v>
      </c>
      <c r="AU2" s="9" t="s">
        <v>10</v>
      </c>
      <c r="AV2" s="183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4">
        <v>16</v>
      </c>
    </row>
    <row r="3" spans="1:53" ht="18.75" customHeight="1" thickBot="1" x14ac:dyDescent="0.3">
      <c r="A3" s="13" t="s">
        <v>16</v>
      </c>
      <c r="B3" s="213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/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224" t="s">
        <v>21</v>
      </c>
      <c r="AF3" s="225"/>
      <c r="AG3" s="225" t="s">
        <v>22</v>
      </c>
      <c r="AH3" s="225"/>
      <c r="AI3" s="226"/>
      <c r="AJ3" s="182"/>
      <c r="AK3" s="182"/>
      <c r="AL3" s="182"/>
      <c r="AM3" s="182"/>
      <c r="AN3" s="182"/>
      <c r="AO3" s="182"/>
      <c r="AP3" s="182"/>
      <c r="AQ3" s="182"/>
      <c r="AR3" s="3"/>
      <c r="AT3" s="14">
        <v>1</v>
      </c>
      <c r="AU3" s="184" t="s">
        <v>443</v>
      </c>
      <c r="AV3" s="184" t="s">
        <v>442</v>
      </c>
      <c r="AW3" s="16">
        <f>VLOOKUP(AV3,'New AM wave 8 tms'!AV$3:AX$12, 3, FALSE)</f>
        <v>1133.6105278384805</v>
      </c>
      <c r="AX3" s="17">
        <f t="shared" ref="AX3:AX10" si="0">VLOOKUP(AU3,AT$79:AU$259,2,FALSE)</f>
        <v>1156.9377403644455</v>
      </c>
      <c r="AY3" s="18">
        <f t="shared" ref="AY3:AY10" si="1">IF(ISNA(VLOOKUP(AU3,AT$273:AU$373,2,FALSE)),AX3,VLOOKUP(AU3,AT$273:AU$373,2,FALSE))</f>
        <v>1156.9377403644455</v>
      </c>
    </row>
    <row r="4" spans="1:53" ht="24" customHeight="1" thickBot="1" x14ac:dyDescent="0.25">
      <c r="A4" s="206" t="s">
        <v>25</v>
      </c>
      <c r="B4" s="207"/>
      <c r="C4" s="207"/>
      <c r="D4" s="208"/>
      <c r="E4" s="209"/>
      <c r="F4" s="210"/>
      <c r="G4" s="210"/>
      <c r="H4" s="210"/>
      <c r="I4" s="210"/>
      <c r="J4" s="210"/>
      <c r="K4" s="210"/>
      <c r="L4" s="210"/>
      <c r="M4" s="211"/>
      <c r="N4" s="206" t="s">
        <v>1016</v>
      </c>
      <c r="O4" s="207"/>
      <c r="P4" s="207"/>
      <c r="Q4" s="208"/>
      <c r="R4" s="212"/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1017</v>
      </c>
      <c r="AC4" s="207"/>
      <c r="AD4" s="207"/>
      <c r="AE4" s="208"/>
      <c r="AF4" s="212"/>
      <c r="AG4" s="204"/>
      <c r="AH4" s="204"/>
      <c r="AI4" s="205"/>
      <c r="AJ4" s="182"/>
      <c r="AK4" s="182"/>
      <c r="AL4" s="182"/>
      <c r="AM4" s="182"/>
      <c r="AN4" s="182"/>
      <c r="AO4" s="182"/>
      <c r="AP4" s="182"/>
      <c r="AQ4" s="182"/>
      <c r="AR4" s="3"/>
      <c r="AT4" s="19">
        <v>2</v>
      </c>
      <c r="AU4" s="184" t="s">
        <v>445</v>
      </c>
      <c r="AV4" s="184" t="s">
        <v>444</v>
      </c>
      <c r="AW4" s="16">
        <f>VLOOKUP(AV4,'New AM wave 8 tms'!AV$3:AX$12, 3, FALSE)</f>
        <v>1178.4467378847983</v>
      </c>
      <c r="AX4" s="20">
        <f t="shared" si="0"/>
        <v>1190.2613111223468</v>
      </c>
      <c r="AY4" s="21">
        <f t="shared" si="1"/>
        <v>1190.2613111223468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84" t="s">
        <v>435</v>
      </c>
      <c r="AV5" s="184" t="s">
        <v>434</v>
      </c>
      <c r="AW5" s="16">
        <f>VLOOKUP(AV5,'New AM wave 8 tms'!AV$3:AX$12, 3, FALSE)</f>
        <v>1143.4462769415238</v>
      </c>
      <c r="AX5" s="20">
        <f t="shared" si="0"/>
        <v>1129.3970315328922</v>
      </c>
      <c r="AY5" s="21">
        <f t="shared" si="1"/>
        <v>1129.3970315328922</v>
      </c>
    </row>
    <row r="6" spans="1:53" ht="24" customHeight="1" thickBot="1" x14ac:dyDescent="0.25">
      <c r="A6" s="22" t="s">
        <v>35</v>
      </c>
      <c r="B6" s="23" t="s">
        <v>1014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182"/>
      <c r="AK6" s="182"/>
      <c r="AL6" s="182"/>
      <c r="AM6" s="182"/>
      <c r="AN6" s="182"/>
      <c r="AO6" s="182"/>
      <c r="AP6" s="182"/>
      <c r="AQ6" s="182"/>
      <c r="AT6" s="19">
        <v>4</v>
      </c>
      <c r="AU6" s="184" t="s">
        <v>459</v>
      </c>
      <c r="AV6" s="184" t="s">
        <v>458</v>
      </c>
      <c r="AW6" s="16">
        <f>VLOOKUP(AV6,'New AM wave 8 tms'!AV$3:AX$12, 3, FALSE)</f>
        <v>1211.4389130921036</v>
      </c>
      <c r="AX6" s="20">
        <f t="shared" si="0"/>
        <v>1160.1293279867637</v>
      </c>
      <c r="AY6" s="21">
        <f t="shared" si="1"/>
        <v>1160.1293279867637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Matches Won</v>
      </c>
      <c r="M7" s="255"/>
      <c r="N7" s="255"/>
      <c r="O7" s="255"/>
      <c r="P7" s="255"/>
      <c r="Q7" s="256"/>
      <c r="R7" s="254" t="str">
        <f>IF($AK10=0,"Games Lost","Matches Lost")</f>
        <v>Matches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84" t="s">
        <v>967</v>
      </c>
      <c r="AV7" s="184" t="s">
        <v>966</v>
      </c>
      <c r="AW7" s="16">
        <f>VLOOKUP(AV7,'New AM wave 8 tms'!AV$3:AX$12, 3, FALSE)</f>
        <v>1162.3788236220796</v>
      </c>
      <c r="AX7" s="20">
        <f t="shared" si="0"/>
        <v>1164.7076277056995</v>
      </c>
      <c r="AY7" s="21">
        <f t="shared" si="1"/>
        <v>1164.7076277056995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Kidz Power Intense RH</v>
      </c>
      <c r="F8" s="233"/>
      <c r="G8" s="233"/>
      <c r="H8" s="233"/>
      <c r="I8" s="233"/>
      <c r="J8" s="233"/>
      <c r="K8" s="234"/>
      <c r="L8" s="235">
        <f>IF($AK10=0,AF64,AF46)</f>
        <v>1</v>
      </c>
      <c r="M8" s="236"/>
      <c r="N8" s="236"/>
      <c r="O8" s="236"/>
      <c r="P8" s="236"/>
      <c r="Q8" s="256"/>
      <c r="R8" s="235">
        <f>IF($AK10=0,AG64,AG46)</f>
        <v>0</v>
      </c>
      <c r="S8" s="236"/>
      <c r="T8" s="236"/>
      <c r="U8" s="236"/>
      <c r="V8" s="236"/>
      <c r="W8" s="235">
        <f>AQ24</f>
        <v>15</v>
      </c>
      <c r="X8" s="236"/>
      <c r="Y8" s="236"/>
      <c r="Z8" s="239">
        <f>IF(AF58&gt;0,(AQ24/AF58),0)</f>
        <v>0.13761467889908258</v>
      </c>
      <c r="AA8" s="240"/>
      <c r="AB8" s="240"/>
      <c r="AC8" s="262">
        <f>IF(AF72=0,0,(AF64/AF72))</f>
        <v>0.66666666666666663</v>
      </c>
      <c r="AD8" s="263"/>
      <c r="AE8" s="264"/>
      <c r="AF8" s="268">
        <v>2</v>
      </c>
      <c r="AG8" s="268">
        <v>1</v>
      </c>
      <c r="AH8" s="270">
        <v>3</v>
      </c>
      <c r="AI8" s="271"/>
      <c r="AJ8" s="27"/>
      <c r="AK8" s="28">
        <v>6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84" t="s">
        <v>447</v>
      </c>
      <c r="AV8" s="184" t="s">
        <v>446</v>
      </c>
      <c r="AW8" s="16">
        <f>VLOOKUP(AV8,'New AM wave 8 tms'!AV$3:AX$12, 3, FALSE)</f>
        <v>1149.1012907267443</v>
      </c>
      <c r="AX8" s="20">
        <f t="shared" si="0"/>
        <v>1104.9764908703403</v>
      </c>
      <c r="AY8" s="21">
        <f t="shared" si="1"/>
        <v>1104.9764908703403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fj2inten6pm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4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84" t="s">
        <v>452</v>
      </c>
      <c r="AV9" s="184" t="s">
        <v>451</v>
      </c>
      <c r="AW9" s="16">
        <f>VLOOKUP(AV9,'New AM wave 8 tms'!AV$3:AX$12, 3, FALSE)</f>
        <v>1147.2863075642813</v>
      </c>
      <c r="AX9" s="20">
        <f t="shared" si="0"/>
        <v>1193.6457795917684</v>
      </c>
      <c r="AY9" s="21">
        <f t="shared" si="1"/>
        <v>1193.6457795917684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SC Midlands KP Garnet</v>
      </c>
      <c r="F10" s="233"/>
      <c r="G10" s="233"/>
      <c r="H10" s="233"/>
      <c r="I10" s="233"/>
      <c r="J10" s="233"/>
      <c r="K10" s="234"/>
      <c r="L10" s="235">
        <f>IF($AK10=0,AF65,AF47)</f>
        <v>0</v>
      </c>
      <c r="M10" s="236"/>
      <c r="N10" s="236"/>
      <c r="O10" s="236"/>
      <c r="P10" s="236"/>
      <c r="Q10" s="256"/>
      <c r="R10" s="235">
        <f>IF($AK10=0,AG65,AG47)</f>
        <v>3</v>
      </c>
      <c r="S10" s="236"/>
      <c r="T10" s="236"/>
      <c r="U10" s="236"/>
      <c r="V10" s="236"/>
      <c r="W10" s="235">
        <f>AQ25</f>
        <v>-33</v>
      </c>
      <c r="X10" s="236"/>
      <c r="Y10" s="236"/>
      <c r="Z10" s="239">
        <f>IF(AF59&gt;0,(AQ25/AF59),0)</f>
        <v>-0.30555555555555558</v>
      </c>
      <c r="AA10" s="240"/>
      <c r="AB10" s="240"/>
      <c r="AC10" s="262">
        <f>IF(AF73=0,0,(AF65/AF73))</f>
        <v>0</v>
      </c>
      <c r="AD10" s="263"/>
      <c r="AE10" s="264"/>
      <c r="AF10" s="268">
        <v>4</v>
      </c>
      <c r="AG10" s="268">
        <v>1</v>
      </c>
      <c r="AH10" s="270">
        <v>1</v>
      </c>
      <c r="AI10" s="271"/>
      <c r="AJ10" s="27"/>
      <c r="AK10" s="28">
        <v>1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84" t="s">
        <v>437</v>
      </c>
      <c r="AV10" s="184" t="s">
        <v>436</v>
      </c>
      <c r="AW10" s="16">
        <f>VLOOKUP(AV10,'New AM wave 8 tms'!AV$3:AX$11,3,FALSE)</f>
        <v>1212.2197750275632</v>
      </c>
      <c r="AX10" s="20">
        <f t="shared" si="0"/>
        <v>1237.8733435233182</v>
      </c>
      <c r="AY10" s="21">
        <f t="shared" si="1"/>
        <v>1237.8733435233182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fj2scmid5pm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79"/>
      <c r="AV11" s="179"/>
      <c r="AW11" s="16"/>
      <c r="AX11" s="20"/>
      <c r="AY11" s="21"/>
    </row>
    <row r="12" spans="1:53" ht="18.75" customHeight="1" x14ac:dyDescent="0.2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USA 12's Pink</v>
      </c>
      <c r="F12" s="233"/>
      <c r="G12" s="233"/>
      <c r="H12" s="233"/>
      <c r="I12" s="233"/>
      <c r="J12" s="233"/>
      <c r="K12" s="234"/>
      <c r="L12" s="235">
        <f>IF($AK10=0,AF66,AF48)</f>
        <v>1</v>
      </c>
      <c r="M12" s="236"/>
      <c r="N12" s="236"/>
      <c r="O12" s="236"/>
      <c r="P12" s="236"/>
      <c r="Q12" s="256"/>
      <c r="R12" s="235">
        <f>IF($AK10=0,AG66,AG48)</f>
        <v>1</v>
      </c>
      <c r="S12" s="236"/>
      <c r="T12" s="236"/>
      <c r="U12" s="236"/>
      <c r="V12" s="236"/>
      <c r="W12" s="235">
        <f>AQ26</f>
        <v>-9</v>
      </c>
      <c r="X12" s="236"/>
      <c r="Y12" s="236"/>
      <c r="Z12" s="239">
        <f>IF(AF60&gt;0,(AQ26/AF60),0)</f>
        <v>-8.7378640776699032E-2</v>
      </c>
      <c r="AA12" s="240"/>
      <c r="AB12" s="240"/>
      <c r="AC12" s="262">
        <f>IF(AF74=0,0,(AF66/AF74))</f>
        <v>0.5</v>
      </c>
      <c r="AD12" s="263"/>
      <c r="AE12" s="264"/>
      <c r="AF12" s="268">
        <v>1</v>
      </c>
      <c r="AG12" s="268">
        <v>1</v>
      </c>
      <c r="AH12" s="270">
        <v>2</v>
      </c>
      <c r="AI12" s="271"/>
      <c r="AJ12" s="31"/>
      <c r="AK12" s="28">
        <v>3</v>
      </c>
      <c r="AL12" s="32" t="s">
        <v>61</v>
      </c>
      <c r="AM12" s="29"/>
      <c r="AN12" s="29"/>
      <c r="AO12" s="29"/>
      <c r="AP12" s="29"/>
      <c r="AQ12" s="29"/>
      <c r="AR12" s="30"/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fj2unsel3cr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Foothills 12 Kim</v>
      </c>
      <c r="F14" s="233"/>
      <c r="G14" s="233"/>
      <c r="H14" s="233"/>
      <c r="I14" s="233"/>
      <c r="J14" s="233"/>
      <c r="K14" s="234"/>
      <c r="L14" s="235">
        <f>IF($AK10=0,AF67,AF49)</f>
        <v>2</v>
      </c>
      <c r="M14" s="236"/>
      <c r="N14" s="236"/>
      <c r="O14" s="236"/>
      <c r="P14" s="236"/>
      <c r="Q14" s="256"/>
      <c r="R14" s="235">
        <f>IF($AK10=0,AG67,AG49)</f>
        <v>0</v>
      </c>
      <c r="S14" s="236"/>
      <c r="T14" s="236"/>
      <c r="U14" s="236"/>
      <c r="V14" s="236"/>
      <c r="W14" s="235">
        <f>AQ27</f>
        <v>27</v>
      </c>
      <c r="X14" s="236"/>
      <c r="Y14" s="236"/>
      <c r="Z14" s="239">
        <f>IF(AF61&gt;0,(AQ27/AF61),0)</f>
        <v>0.25961538461538464</v>
      </c>
      <c r="AA14" s="240"/>
      <c r="AB14" s="240"/>
      <c r="AC14" s="262">
        <f>IF(AF75=0,0,(AF67/AF75))</f>
        <v>0.83333333333333337</v>
      </c>
      <c r="AD14" s="263"/>
      <c r="AE14" s="264"/>
      <c r="AF14" s="268">
        <v>3</v>
      </c>
      <c r="AG14" s="268"/>
      <c r="AH14" s="270"/>
      <c r="AI14" s="271"/>
      <c r="AJ14" s="182"/>
      <c r="AK14" s="37"/>
      <c r="AL14" s="37"/>
      <c r="AM14" s="37"/>
      <c r="AN14" s="37"/>
      <c r="AO14" s="37"/>
      <c r="AP14" s="37"/>
      <c r="AQ14" s="29"/>
      <c r="AR14" s="30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fj2footh3pm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182"/>
      <c r="AK15" s="37"/>
      <c r="AL15" s="37"/>
      <c r="AM15" s="37"/>
      <c r="AN15" s="37"/>
      <c r="AO15" s="37"/>
      <c r="AP15" s="37"/>
      <c r="AQ15" s="182"/>
      <c r="AR15" s="3"/>
      <c r="AU15" s="184"/>
      <c r="AV15" s="184"/>
    </row>
    <row r="16" spans="1:53" ht="18.75" customHeight="1" thickBot="1" x14ac:dyDescent="0.25">
      <c r="A16" s="227" t="str">
        <f>IF($AK9&gt;4,"5","")</f>
        <v/>
      </c>
      <c r="B16" s="286" t="s">
        <v>10</v>
      </c>
      <c r="C16" s="287"/>
      <c r="D16" s="287"/>
      <c r="E16" s="300" t="e">
        <f>#REF!</f>
        <v>#REF!</v>
      </c>
      <c r="F16" s="301"/>
      <c r="G16" s="301"/>
      <c r="H16" s="301"/>
      <c r="I16" s="301"/>
      <c r="J16" s="301"/>
      <c r="K16" s="302"/>
      <c r="L16" s="235">
        <f>IF($AK10=0,AF68,AF50)</f>
        <v>0</v>
      </c>
      <c r="M16" s="236"/>
      <c r="N16" s="236"/>
      <c r="O16" s="236"/>
      <c r="P16" s="236"/>
      <c r="Q16" s="256"/>
      <c r="R16" s="235">
        <f>IF($AK10=0,AG68,AG50)</f>
        <v>0</v>
      </c>
      <c r="S16" s="236"/>
      <c r="T16" s="236"/>
      <c r="U16" s="236"/>
      <c r="V16" s="236"/>
      <c r="W16" s="235">
        <f>AQ28</f>
        <v>0</v>
      </c>
      <c r="X16" s="236"/>
      <c r="Y16" s="236"/>
      <c r="Z16" s="239">
        <f>IF(AF62&gt;0,(AQ28/AF62),0)</f>
        <v>0</v>
      </c>
      <c r="AA16" s="240"/>
      <c r="AB16" s="240"/>
      <c r="AC16" s="262">
        <f>IF(AF76=0,0,(AF68/AF76))</f>
        <v>0</v>
      </c>
      <c r="AD16" s="263"/>
      <c r="AE16" s="264"/>
      <c r="AF16" s="268"/>
      <c r="AG16" s="268"/>
      <c r="AH16" s="270"/>
      <c r="AI16" s="271"/>
      <c r="AJ16" s="182"/>
      <c r="AK16" s="37"/>
      <c r="AL16" s="37"/>
      <c r="AM16" s="37"/>
      <c r="AN16" s="37"/>
      <c r="AO16" s="37"/>
      <c r="AP16" s="37"/>
      <c r="AQ16" s="182"/>
      <c r="AR16" s="3"/>
      <c r="AU16" s="184"/>
      <c r="AV16" s="184"/>
    </row>
    <row r="17" spans="1:48" ht="18.75" customHeight="1" thickBot="1" x14ac:dyDescent="0.25">
      <c r="A17" s="228"/>
      <c r="B17" s="296" t="s">
        <v>11</v>
      </c>
      <c r="C17" s="297"/>
      <c r="D17" s="297"/>
      <c r="E17" s="298" t="e">
        <f>#REF!</f>
        <v>#REF!</v>
      </c>
      <c r="F17" s="299"/>
      <c r="G17" s="299"/>
      <c r="H17" s="299"/>
      <c r="I17" s="299"/>
      <c r="J17" s="299"/>
      <c r="K17" s="299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182"/>
      <c r="AK17" s="37"/>
      <c r="AL17" s="37"/>
      <c r="AM17" s="37"/>
      <c r="AN17" s="37"/>
      <c r="AO17" s="37"/>
      <c r="AP17" s="37"/>
      <c r="AQ17" s="182"/>
      <c r="AR17" s="3"/>
      <c r="AU17" s="184"/>
      <c r="AV17" s="184"/>
    </row>
    <row r="18" spans="1:48" ht="21" customHeight="1" thickTop="1" thickBot="1" x14ac:dyDescent="0.25">
      <c r="A18" s="40"/>
      <c r="B18" s="305" t="s">
        <v>1019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182"/>
      <c r="AK18" s="37"/>
      <c r="AL18" s="37"/>
      <c r="AM18" s="37"/>
      <c r="AN18" s="37"/>
      <c r="AO18" s="37"/>
      <c r="AP18" s="37"/>
      <c r="AQ18" s="182"/>
      <c r="AR18" s="3"/>
      <c r="AU18" s="184"/>
      <c r="AV18" s="184"/>
    </row>
    <row r="19" spans="1:48" ht="14.25" thickTop="1" thickBot="1" x14ac:dyDescent="0.25">
      <c r="A19" s="4" t="s">
        <v>66</v>
      </c>
      <c r="B19" s="308">
        <v>0.13541666666666666</v>
      </c>
      <c r="C19" s="309"/>
      <c r="D19" s="310"/>
      <c r="E19" s="308">
        <v>0.16666666666666666</v>
      </c>
      <c r="F19" s="309"/>
      <c r="G19" s="310"/>
      <c r="H19" s="308">
        <v>0.19791666666666666</v>
      </c>
      <c r="I19" s="309"/>
      <c r="J19" s="310"/>
      <c r="K19" s="308"/>
      <c r="L19" s="309"/>
      <c r="M19" s="310"/>
      <c r="N19" s="308"/>
      <c r="O19" s="309"/>
      <c r="P19" s="310"/>
      <c r="Q19" s="308"/>
      <c r="R19" s="309"/>
      <c r="S19" s="310"/>
      <c r="T19" s="308"/>
      <c r="U19" s="309"/>
      <c r="V19" s="310"/>
      <c r="W19" s="308"/>
      <c r="X19" s="309"/>
      <c r="Y19" s="310"/>
      <c r="Z19" s="308"/>
      <c r="AA19" s="309"/>
      <c r="AB19" s="310"/>
      <c r="AC19" s="308"/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U19" s="184"/>
      <c r="AV19" s="184"/>
    </row>
    <row r="20" spans="1:48" ht="13.5" thickBot="1" x14ac:dyDescent="0.25">
      <c r="A20" s="41" t="s">
        <v>68</v>
      </c>
      <c r="B20" s="319"/>
      <c r="C20" s="320"/>
      <c r="D20" s="321"/>
      <c r="E20" s="319"/>
      <c r="F20" s="320"/>
      <c r="G20" s="321"/>
      <c r="H20" s="319"/>
      <c r="I20" s="320"/>
      <c r="J20" s="321"/>
      <c r="K20" s="319"/>
      <c r="L20" s="320"/>
      <c r="M20" s="321"/>
      <c r="N20" s="319"/>
      <c r="O20" s="320"/>
      <c r="P20" s="321"/>
      <c r="Q20" s="319"/>
      <c r="R20" s="320"/>
      <c r="S20" s="321"/>
      <c r="T20" s="319"/>
      <c r="U20" s="320"/>
      <c r="V20" s="321"/>
      <c r="W20" s="319"/>
      <c r="X20" s="320"/>
      <c r="Y20" s="321"/>
      <c r="Z20" s="319"/>
      <c r="AA20" s="320"/>
      <c r="AB20" s="321"/>
      <c r="AC20" s="319"/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U20" s="184"/>
      <c r="AV20" s="184"/>
    </row>
    <row r="21" spans="1:48" ht="13.5" thickBot="1" x14ac:dyDescent="0.25">
      <c r="A21" s="41" t="s">
        <v>69</v>
      </c>
      <c r="B21" s="319"/>
      <c r="C21" s="320"/>
      <c r="D21" s="321"/>
      <c r="E21" s="319"/>
      <c r="F21" s="320"/>
      <c r="G21" s="321"/>
      <c r="H21" s="319"/>
      <c r="I21" s="320"/>
      <c r="J21" s="321"/>
      <c r="K21" s="319"/>
      <c r="L21" s="320"/>
      <c r="M21" s="321"/>
      <c r="N21" s="319"/>
      <c r="O21" s="320"/>
      <c r="P21" s="321"/>
      <c r="Q21" s="319"/>
      <c r="R21" s="320"/>
      <c r="S21" s="321"/>
      <c r="T21" s="319"/>
      <c r="U21" s="320"/>
      <c r="V21" s="321"/>
      <c r="W21" s="319"/>
      <c r="X21" s="320"/>
      <c r="Y21" s="321"/>
      <c r="Z21" s="319"/>
      <c r="AA21" s="320"/>
      <c r="AB21" s="321"/>
      <c r="AC21" s="319"/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U21" s="184"/>
      <c r="AV21" s="184"/>
    </row>
    <row r="22" spans="1:48" ht="13.5" thickBot="1" x14ac:dyDescent="0.25">
      <c r="A22" s="182"/>
      <c r="B22" s="322" t="s">
        <v>70</v>
      </c>
      <c r="C22" s="323"/>
      <c r="D22" s="324"/>
      <c r="E22" s="322" t="str">
        <f>IF(AK8&gt;1,"Match 2","")</f>
        <v>Match 2</v>
      </c>
      <c r="F22" s="323"/>
      <c r="G22" s="324"/>
      <c r="H22" s="322" t="str">
        <f>IF(AK8&gt;2,"Match 3","")</f>
        <v>Match 3</v>
      </c>
      <c r="I22" s="323"/>
      <c r="J22" s="324"/>
      <c r="K22" s="322" t="str">
        <f>IF(AK8&gt;3,"Match 4","")</f>
        <v>Match 4</v>
      </c>
      <c r="L22" s="323"/>
      <c r="M22" s="324"/>
      <c r="N22" s="322" t="str">
        <f>IF(AK8&gt;4,"Match 5","")</f>
        <v>Match 5</v>
      </c>
      <c r="O22" s="323"/>
      <c r="P22" s="324"/>
      <c r="Q22" s="322" t="str">
        <f>IF(AK8&gt;5,"Match 6","")</f>
        <v>Match 6</v>
      </c>
      <c r="R22" s="323"/>
      <c r="S22" s="324"/>
      <c r="T22" s="322" t="str">
        <f>IF(AK8&gt;6,"Match 7","")</f>
        <v/>
      </c>
      <c r="U22" s="323"/>
      <c r="V22" s="324"/>
      <c r="W22" s="322" t="str">
        <f>IF(AK8&gt;7,"Match 8","")</f>
        <v/>
      </c>
      <c r="X22" s="323"/>
      <c r="Y22" s="324"/>
      <c r="Z22" s="322" t="str">
        <f>IF(AK8&gt;8,"Match 9","")</f>
        <v/>
      </c>
      <c r="AA22" s="323"/>
      <c r="AB22" s="324"/>
      <c r="AC22" s="322" t="str">
        <f>IF(AK8&gt;9,"Match 10","")</f>
        <v/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U22" s="184"/>
      <c r="AV22" s="184"/>
    </row>
    <row r="23" spans="1:48" ht="15.75" customHeight="1" x14ac:dyDescent="0.25">
      <c r="A23" s="182"/>
      <c r="B23" s="325" t="s">
        <v>73</v>
      </c>
      <c r="C23" s="326"/>
      <c r="D23" s="327"/>
      <c r="E23" s="325" t="s">
        <v>75</v>
      </c>
      <c r="F23" s="326"/>
      <c r="G23" s="327"/>
      <c r="H23" s="325" t="s">
        <v>72</v>
      </c>
      <c r="I23" s="326"/>
      <c r="J23" s="327"/>
      <c r="K23" s="325" t="s">
        <v>71</v>
      </c>
      <c r="L23" s="326"/>
      <c r="M23" s="327"/>
      <c r="N23" s="325" t="s">
        <v>75</v>
      </c>
      <c r="O23" s="326"/>
      <c r="P23" s="327"/>
      <c r="Q23" s="325" t="s">
        <v>72</v>
      </c>
      <c r="R23" s="326"/>
      <c r="S23" s="327"/>
      <c r="T23" s="325"/>
      <c r="U23" s="326"/>
      <c r="V23" s="327"/>
      <c r="W23" s="325"/>
      <c r="X23" s="326"/>
      <c r="Y23" s="327"/>
      <c r="Z23" s="325"/>
      <c r="AA23" s="326"/>
      <c r="AB23" s="327"/>
      <c r="AC23" s="325"/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</row>
    <row r="24" spans="1:48" ht="15.75" x14ac:dyDescent="0.25">
      <c r="A24" s="182"/>
      <c r="B24" s="45">
        <v>2</v>
      </c>
      <c r="C24" s="46" t="s">
        <v>78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/>
      <c r="U24" s="46" t="str">
        <f>IF(AK8&gt;6,"v","")</f>
        <v/>
      </c>
      <c r="V24" s="47"/>
      <c r="W24" s="45"/>
      <c r="X24" s="46" t="str">
        <f>IF(AK8&gt;7,"v","")</f>
        <v/>
      </c>
      <c r="Y24" s="47"/>
      <c r="Z24" s="45"/>
      <c r="AA24" s="46" t="str">
        <f>IF(AK8&gt;8,"v","")</f>
        <v/>
      </c>
      <c r="AB24" s="47"/>
      <c r="AC24" s="45"/>
      <c r="AD24" s="46" t="str">
        <f>IF(AK8&gt;9,"v","")</f>
        <v/>
      </c>
      <c r="AE24" s="47"/>
      <c r="AF24" s="42" t="str">
        <f>IF(AK9&gt;0,"Team 1","")</f>
        <v>Team 1</v>
      </c>
      <c r="AG24" s="48" t="str">
        <f>IF(AK9&lt;1,"",IF(AK8&lt;1,"",IF(B24=1,B30-D30,IF(D24=1,D30-B30,""))))</f>
        <v/>
      </c>
      <c r="AH24" s="48">
        <f>IF(AK9&lt;1,"",IF(AK8&lt;2,"",IF(E24=1,E30-G30,IF(G24=1,G30-E30,""))))</f>
        <v>-6</v>
      </c>
      <c r="AI24" s="48" t="str">
        <f>IF(AK9&lt;1,"",IF(AK8&lt;3,"",IF(H24=1,H30-J30,IF(J24=1,J30-H30,""))))</f>
        <v/>
      </c>
      <c r="AJ24" s="48">
        <f>IF(AK9&lt;1,"",IF(AK8&lt;4,"",IF(K24=1,K30-M30,IF(M24=1,M30-K30,""))))</f>
        <v>6</v>
      </c>
      <c r="AK24" s="48" t="str">
        <f>IF(AK9&lt;1,"",IF(AK8&lt;5,"",IF(N24=1,N30-P30,IF(P24=1,P30-N30,""))))</f>
        <v/>
      </c>
      <c r="AL24" s="48">
        <f>IF(AK9&lt;1,"",IF(AK8&lt;6,"",IF(Q24=1,Q30-S30,IF(S24=1,S30-Q30,""))))</f>
        <v>15</v>
      </c>
      <c r="AM24" s="48" t="str">
        <f>IF(AK9&lt;1,"",IF(AK8&lt;7,"",IF(T24=1,T30-V30,IF(V24=1,V30-T30,""))))</f>
        <v/>
      </c>
      <c r="AN24" s="48" t="str">
        <f>IF(AK9&lt;1,"",IF(AK8&lt;8,"",IF(W24=1,W30-Y30,IF(Y24=1,Y30-W30,""))))</f>
        <v/>
      </c>
      <c r="AO24" s="48" t="str">
        <f>IF(AK9&lt;1,"",IF(AK8&lt;9,"",IF(Z24=1,Z30-AB30,IF(AB24=1,AB30-Z30,""))))</f>
        <v/>
      </c>
      <c r="AP24" s="48" t="str">
        <f>IF(AK9&lt;1,"",IF(AK8&lt;10,"",IF(AC24=1,AC30-AE30,IF(AE24=1,AE30-AC30,""))))</f>
        <v/>
      </c>
      <c r="AQ24" s="44">
        <f>SUM(AG24:AP24)</f>
        <v>15</v>
      </c>
    </row>
    <row r="25" spans="1:48" ht="15" x14ac:dyDescent="0.2">
      <c r="A25" s="4" t="s">
        <v>79</v>
      </c>
      <c r="B25" s="49">
        <v>13</v>
      </c>
      <c r="C25" s="50" t="s">
        <v>80</v>
      </c>
      <c r="D25" s="51">
        <v>15</v>
      </c>
      <c r="E25" s="49">
        <v>11</v>
      </c>
      <c r="F25" s="50" t="str">
        <f>IF(AK8&gt;1,"/","")</f>
        <v>/</v>
      </c>
      <c r="G25" s="51">
        <v>18</v>
      </c>
      <c r="H25" s="49">
        <v>15</v>
      </c>
      <c r="I25" s="50" t="str">
        <f>IF(AK8&gt;2,"/","")</f>
        <v>/</v>
      </c>
      <c r="J25" s="51">
        <v>17</v>
      </c>
      <c r="K25" s="49">
        <v>17</v>
      </c>
      <c r="L25" s="50" t="str">
        <f>IF(AK8&gt;3,"/","")</f>
        <v>/</v>
      </c>
      <c r="M25" s="51">
        <v>18</v>
      </c>
      <c r="N25" s="49">
        <v>12</v>
      </c>
      <c r="O25" s="50" t="str">
        <f>IF(AK8&gt;4,"/","")</f>
        <v>/</v>
      </c>
      <c r="P25" s="51">
        <v>14</v>
      </c>
      <c r="Q25" s="49">
        <v>24</v>
      </c>
      <c r="R25" s="50" t="str">
        <f>IF(AK8&gt;5,"/","")</f>
        <v>/</v>
      </c>
      <c r="S25" s="51">
        <v>11</v>
      </c>
      <c r="T25" s="49"/>
      <c r="U25" s="50" t="str">
        <f>IF(AK8&gt;6,"/","")</f>
        <v/>
      </c>
      <c r="V25" s="51"/>
      <c r="W25" s="49"/>
      <c r="X25" s="50" t="str">
        <f>IF(AK8&gt;7,"/","")</f>
        <v/>
      </c>
      <c r="Y25" s="51"/>
      <c r="Z25" s="49"/>
      <c r="AA25" s="50" t="str">
        <f>IF(AK8&gt;8,"/","")</f>
        <v/>
      </c>
      <c r="AB25" s="51"/>
      <c r="AC25" s="49"/>
      <c r="AD25" s="50" t="str">
        <f>IF(AK8&gt;9,"/","")</f>
        <v/>
      </c>
      <c r="AE25" s="51"/>
      <c r="AF25" s="42" t="str">
        <f>IF(AK9&gt;1,"Team 2","")</f>
        <v>Team 2</v>
      </c>
      <c r="AG25" s="48">
        <f>IF(AK9&lt;2,"",IF(AK8&lt;1,"",IF(B24=2,B30-D30,IF(D24=2,D30-B30,""))))</f>
        <v>-10</v>
      </c>
      <c r="AH25" s="48" t="str">
        <f>IF(AK9&lt;2,"",IF(AK8&lt;2,"",IF(E24=2,E30-G30,IF(G24=2,G30-E30,""))))</f>
        <v/>
      </c>
      <c r="AI25" s="48">
        <f>IF(AK9&lt;2,"",IF(AK8&lt;3,"",IF(H24=2,H30-J30,IF(J24=2,J30-H30,""))))</f>
        <v>-8</v>
      </c>
      <c r="AJ25" s="48" t="str">
        <f>IF(AK9&lt;2,"",IF(AK8&lt;4,"",IF(K24=2,K30-M30,IF(M24=2,M30-K30,""))))</f>
        <v/>
      </c>
      <c r="AK25" s="48" t="str">
        <f>IF(AK9&lt;2,"",IF(AK8&lt;5,"",IF(N24=2,N30-P30,IF(P24=2,P30-N30,""))))</f>
        <v/>
      </c>
      <c r="AL25" s="48">
        <f>IF(AK9&lt;2,"",IF(AK8&lt;6,"",IF(Q24=2,Q30-S30,IF(S24=2,S30-Q30,""))))</f>
        <v>-15</v>
      </c>
      <c r="AM25" s="48" t="str">
        <f>IF(AK9&lt;2,"",IF(AK8&lt;7,"",IF(T24=2,T30-V30,IF(V24=2,V30-T30,""))))</f>
        <v/>
      </c>
      <c r="AN25" s="48" t="str">
        <f>IF(AK9&lt;2,"",IF(AK8&lt;8,"",IF(W24=2,W30-Y30,IF(Y24=2,Y30-W30,""))))</f>
        <v/>
      </c>
      <c r="AO25" s="48" t="str">
        <f>IF(AK9&lt;2,"",IF(AK8&lt;9,"",IF(Z24=2,Z30-AB30,IF(AB24=2,AB30-Z30,""))))</f>
        <v/>
      </c>
      <c r="AP25" s="48" t="str">
        <f>IF(AK9&lt;2,"",IF(AK8&lt;10,"",IF(AC24=2,AC30-AE30,IF(AE24=2,AE30-AC30,""))))</f>
        <v/>
      </c>
      <c r="AQ25" s="44">
        <f>SUM(AG25:AP25)</f>
        <v>-33</v>
      </c>
    </row>
    <row r="26" spans="1:48" ht="15" x14ac:dyDescent="0.2">
      <c r="A26" s="3" t="str">
        <f>IF(AK7&gt;1,"Game 2","")</f>
        <v>Game 2</v>
      </c>
      <c r="B26" s="49">
        <v>12</v>
      </c>
      <c r="C26" s="50" t="s">
        <v>80</v>
      </c>
      <c r="D26" s="51">
        <v>20</v>
      </c>
      <c r="E26" s="49">
        <v>18</v>
      </c>
      <c r="F26" s="50" t="str">
        <f>IF(AK8&gt;1,IF(AK7&gt;1,"/",""),"")</f>
        <v>/</v>
      </c>
      <c r="G26" s="51">
        <v>17</v>
      </c>
      <c r="H26" s="49">
        <v>12</v>
      </c>
      <c r="I26" s="50" t="str">
        <f>IF(AK8&gt;2,IF(AK7&gt;1,"/",""),"")</f>
        <v>/</v>
      </c>
      <c r="J26" s="51">
        <v>18</v>
      </c>
      <c r="K26" s="49">
        <v>17</v>
      </c>
      <c r="L26" s="50" t="str">
        <f>IF(AK8&gt;3,IF(AK7&gt;1,"/",""),"")</f>
        <v>/</v>
      </c>
      <c r="M26" s="51">
        <v>10</v>
      </c>
      <c r="N26" s="49">
        <v>8</v>
      </c>
      <c r="O26" s="50" t="str">
        <f>IF(AK8&gt;4,IF(AK7&gt;1,"/",""),"")</f>
        <v>/</v>
      </c>
      <c r="P26" s="51">
        <v>19</v>
      </c>
      <c r="Q26" s="49">
        <v>14</v>
      </c>
      <c r="R26" s="50" t="str">
        <f>IF(AK8&gt;5,IF(AK7&gt;1,"/",""),"")</f>
        <v>/</v>
      </c>
      <c r="S26" s="51">
        <v>12</v>
      </c>
      <c r="T26" s="49"/>
      <c r="U26" s="50" t="str">
        <f>IF(AK8&gt;6,IF(AK7&gt;1,"/",""),"")</f>
        <v/>
      </c>
      <c r="V26" s="51"/>
      <c r="W26" s="49"/>
      <c r="X26" s="50" t="str">
        <f>IF(AK8&gt;7,IF(AK7&gt;1,"/",""),"")</f>
        <v/>
      </c>
      <c r="Y26" s="51"/>
      <c r="Z26" s="49"/>
      <c r="AA26" s="50" t="str">
        <f>IF(AK8&gt;8,IF(AK7&gt;1,"/",""),"")</f>
        <v/>
      </c>
      <c r="AB26" s="51"/>
      <c r="AC26" s="49"/>
      <c r="AD26" s="50" t="str">
        <f>IF(AK8&gt;9,IF(AK7&gt;1,"/",""),"")</f>
        <v/>
      </c>
      <c r="AE26" s="51"/>
      <c r="AF26" s="42" t="str">
        <f>IF(AK9&gt;2,"Team 3","")</f>
        <v>Team 3</v>
      </c>
      <c r="AG26" s="48">
        <f>IF(AK9&lt;3,"",IF(AK8&lt;1,"",IF(B24=3,B30-D30,IF(D24=3,D30-B30,""))))</f>
        <v>10</v>
      </c>
      <c r="AH26" s="48" t="str">
        <f>IF(AK9&lt;3,"",IF(AK8&lt;2,"",IF(E24=3,E30-G30,IF(G24=3,G30-E30,""))))</f>
        <v/>
      </c>
      <c r="AI26" s="48" t="str">
        <f>IF(AK9&lt;3,"",IF(AK8&lt;3,"",IF(H24=3,H30-J30,IF(J24=3,J30-H30,""))))</f>
        <v/>
      </c>
      <c r="AJ26" s="48">
        <f>IF(AK9&lt;3,"",IF(AK8&lt;4,"",IF(K24=3,K30-M30,IF(M24=3,M30-K30,""))))</f>
        <v>-6</v>
      </c>
      <c r="AK26" s="48">
        <f>IF(AK9&lt;3,"",IF(AK8&lt;5,"",IF(N24=3,N30-P30,IF(P24=3,P30-N30,""))))</f>
        <v>-13</v>
      </c>
      <c r="AL26" s="48" t="str">
        <f>IF(AK9&lt;3,"",IF(AK8&lt;6,"",IF(Q24=3,Q30-S30,IF(S24=3,S30-Q30,""))))</f>
        <v/>
      </c>
      <c r="AM26" s="48" t="str">
        <f>IF(AK9&lt;3,"",IF(AK8&lt;7,"",IF(T24=3,T30-V30,IF(V24=3,V30-T30,""))))</f>
        <v/>
      </c>
      <c r="AN26" s="48" t="str">
        <f>IF(AK9&lt;3,"",IF(AK8&lt;8,"",IF(W24=3,W30-Y30,IF(Y24=3,Y30-W30,""))))</f>
        <v/>
      </c>
      <c r="AO26" s="48" t="str">
        <f>IF(AK9&lt;3,"",IF(AK8&lt;9,"",IF(Z24=3,Z30-AB30,IF(AB24=3,AB30-Z30,""))))</f>
        <v/>
      </c>
      <c r="AP26" s="48" t="str">
        <f>IF(AK9&lt;3,"",IF(AK8&lt;9,"",IF(AC24=3,AC30-AE30,IF(AE24=3,AE30-AC30,""))))</f>
        <v/>
      </c>
      <c r="AQ26" s="44">
        <f>SUM(AG26:AP26)</f>
        <v>-9</v>
      </c>
    </row>
    <row r="27" spans="1:48" ht="15" x14ac:dyDescent="0.2">
      <c r="A27" s="3" t="str">
        <f>IF(AK7&gt;2,"Game 3","")</f>
        <v/>
      </c>
      <c r="B27" s="49"/>
      <c r="C27" s="50" t="s">
        <v>80</v>
      </c>
      <c r="D27" s="51"/>
      <c r="E27" s="49"/>
      <c r="F27" s="50" t="str">
        <f>IF(AK8&gt;1,IF(AK7&gt;2,"/",""),"")</f>
        <v/>
      </c>
      <c r="G27" s="51"/>
      <c r="H27" s="49"/>
      <c r="I27" s="50" t="str">
        <f>IF(AK8&gt;2,IF(AK7&gt;2,"/",""),"")</f>
        <v/>
      </c>
      <c r="J27" s="51"/>
      <c r="K27" s="49"/>
      <c r="L27" s="50" t="str">
        <f>IF(AK8&gt;3,IF(AK7&gt;2,"/",""),"")</f>
        <v/>
      </c>
      <c r="M27" s="51"/>
      <c r="N27" s="49"/>
      <c r="O27" s="50" t="str">
        <f>IF(AK8&gt;4,IF(AK7&gt;2,"/",""),"")</f>
        <v/>
      </c>
      <c r="P27" s="51"/>
      <c r="Q27" s="49"/>
      <c r="R27" s="50" t="str">
        <f>IF(AK8&gt;5,IF(AK7&gt;2,"/",""),"")</f>
        <v/>
      </c>
      <c r="S27" s="51"/>
      <c r="T27" s="49"/>
      <c r="U27" s="50" t="str">
        <f>IF(AK8&gt;6,IF(AK7&gt;2,"/",""),"")</f>
        <v/>
      </c>
      <c r="V27" s="51"/>
      <c r="W27" s="49"/>
      <c r="X27" s="50" t="str">
        <f>IF(AK8&gt;7,IF(AK7&gt;2,"/",""),"")</f>
        <v/>
      </c>
      <c r="Y27" s="51"/>
      <c r="Z27" s="49"/>
      <c r="AA27" s="50" t="str">
        <f>IF(AK8&gt;8,IF(AK7&gt;2,"/",""),"")</f>
        <v/>
      </c>
      <c r="AB27" s="51"/>
      <c r="AC27" s="49"/>
      <c r="AD27" s="50" t="str">
        <f>IF(AK8&gt;9,IF(AK7&gt;2,"/",""),"")</f>
        <v/>
      </c>
      <c r="AE27" s="51"/>
      <c r="AF27" s="42" t="str">
        <f>IF(AK9&gt;3,"Team 4","")</f>
        <v>Team 4</v>
      </c>
      <c r="AG27" s="48" t="str">
        <f>IF(AK9&lt;4,"",IF(AK8&lt;1,"",IF(B24=4,B30-D30,IF(D24=4,D30-B30,""))))</f>
        <v/>
      </c>
      <c r="AH27" s="48">
        <f>IF(AK9&lt;4,"",IF(AK8&lt;2,"",IF(E24=4,E30-G30,IF(G24=4,G30-E30,""))))</f>
        <v>6</v>
      </c>
      <c r="AI27" s="48">
        <f>IF(AK9&lt;4,"",IF(AK8&lt;3,"",IF(H24=4,H30-J30,IF(J24=4,J30-H30,""))))</f>
        <v>8</v>
      </c>
      <c r="AJ27" s="48" t="str">
        <f>IF(AK9&lt;4,"",IF(AK8&lt;4,"",IF(K24=4,K30-M30,IF(M24=4,M30-K30,""))))</f>
        <v/>
      </c>
      <c r="AK27" s="48">
        <f>IF(AK9&lt;4,"",IF(AK8&lt;5,"",IF(N24=4,N30-P30,IF(P24=4,P30-N30,""))))</f>
        <v>13</v>
      </c>
      <c r="AL27" s="48" t="str">
        <f>IF(AK9&lt;4,"",IF(AK8&lt;6,"",IF(Q24=4,Q30-S30,IF(S24=4,S30-Q30,""))))</f>
        <v/>
      </c>
      <c r="AM27" s="48" t="str">
        <f>IF(AK9&lt;4,"",IF(AK8&lt;7,"",IF(T24=4,T30-V30,IF(V24=4,V30-T30,""))))</f>
        <v/>
      </c>
      <c r="AN27" s="48" t="str">
        <f>IF(AK9&lt;4,"",IF(AK8&lt;8,"",IF(W24=4,W30-Y30,IF(Y24=4,Y30-W30,""))))</f>
        <v/>
      </c>
      <c r="AO27" s="48" t="str">
        <f>IF(AK9&lt;4,"",IF(AK8&lt;9,"",IF(Z24=4,Z30-AB30,IF(AB24=4,AB30-Z30,""))))</f>
        <v/>
      </c>
      <c r="AP27" s="48" t="str">
        <f>IF(AK9&lt;4,"",IF(AK8&lt;10,"",IF(AC24=4,AC30-AE30,IF(AE24=4,AE30-AC30,""))))</f>
        <v/>
      </c>
      <c r="AQ27" s="44">
        <f>SUM(AG27:AP27)</f>
        <v>27</v>
      </c>
    </row>
    <row r="28" spans="1:48" ht="15" x14ac:dyDescent="0.2">
      <c r="A28" s="3" t="str">
        <f>IF(AK7&gt;3,"Game 4","")</f>
        <v/>
      </c>
      <c r="B28" s="49"/>
      <c r="C28" s="50" t="s">
        <v>80</v>
      </c>
      <c r="D28" s="51"/>
      <c r="E28" s="49"/>
      <c r="F28" s="50" t="str">
        <f>IF(AK8&gt;1,IF(AK7&gt;3,"/",""),"")</f>
        <v/>
      </c>
      <c r="G28" s="51"/>
      <c r="H28" s="49"/>
      <c r="I28" s="50" t="str">
        <f>IF(AK8&gt;2,IF(AK7&gt;3,"/",""),"")</f>
        <v/>
      </c>
      <c r="J28" s="51"/>
      <c r="K28" s="49"/>
      <c r="L28" s="50" t="str">
        <f>IF(AK8&gt;3,IF(AK7&gt;3,"/",""),"")</f>
        <v/>
      </c>
      <c r="M28" s="51"/>
      <c r="N28" s="49"/>
      <c r="O28" s="50" t="str">
        <f>IF(AK8&gt;4,IF(AK7&gt;3,"/",""),"")</f>
        <v/>
      </c>
      <c r="P28" s="51"/>
      <c r="Q28" s="49"/>
      <c r="R28" s="50" t="str">
        <f>IF(AK8&gt;5,IF(AK7&gt;3,"/",""),"")</f>
        <v/>
      </c>
      <c r="S28" s="51"/>
      <c r="T28" s="49"/>
      <c r="U28" s="50" t="str">
        <f>IF(AK8&gt;6,IF(AK7&gt;3,"/",""),"")</f>
        <v/>
      </c>
      <c r="V28" s="51"/>
      <c r="W28" s="49"/>
      <c r="X28" s="50" t="str">
        <f>IF(AK8&gt;7,IF(AK7&gt;3,"/",""),"")</f>
        <v/>
      </c>
      <c r="Y28" s="51"/>
      <c r="Z28" s="49"/>
      <c r="AA28" s="50" t="str">
        <f>IF(AK8&gt;8,IF(AK7&gt;3,"/",""),"")</f>
        <v/>
      </c>
      <c r="AB28" s="51"/>
      <c r="AC28" s="49"/>
      <c r="AD28" s="50" t="str">
        <f>IF(AK8&gt;9,IF(AK7&gt;3,"/",""),"")</f>
        <v/>
      </c>
      <c r="AE28" s="51"/>
      <c r="AF28" s="42" t="str">
        <f>IF(AK9&gt;4,"Team 5","")</f>
        <v/>
      </c>
      <c r="AG28" s="52" t="str">
        <f>IF(AK9&lt;5,"",IF(AK8&lt;1,"",IF(B24=5,B30-D30,IF(D24=5,D30-B30,""))))</f>
        <v/>
      </c>
      <c r="AH28" s="48" t="str">
        <f>IF(AK9&lt;5,"",IF(AK8&lt;2,"",IF(E24=5,E30-G30,IF(G24=5,G30-E30,""))))</f>
        <v/>
      </c>
      <c r="AI28" s="48" t="str">
        <f>IF(AK9&lt;5,"",IF(AK8&lt;3,"",IF(H24=5,H30-J30,IF(J24=5,J30-H30,""))))</f>
        <v/>
      </c>
      <c r="AJ28" s="48" t="str">
        <f>IF(AK9&lt;5,"",IF(AK8&lt;4,"",IF(K24=5,K30-M30,IF(M24=5,M30-K30,""))))</f>
        <v/>
      </c>
      <c r="AK28" s="48" t="str">
        <f>IF(AK9&lt;5,"",IF(AK8&lt;5,"",IF(N24=5,N30-P30,IF(P24=5,P30-N30,""))))</f>
        <v/>
      </c>
      <c r="AL28" s="48" t="str">
        <f>IF(AK9&lt;5,"",IF(AK8&lt;6,"",IF(Q24=5,Q30-S30,IF(S24=5,S30-Q30,""))))</f>
        <v/>
      </c>
      <c r="AM28" s="48" t="str">
        <f>IF(AK9&lt;5,"",IF(AK8&lt;7,"",IF(T24=5,T30-V30,IF(V24=5,V30-T30,""))))</f>
        <v/>
      </c>
      <c r="AN28" s="48" t="str">
        <f>IF(AK9&lt;5,"",IF(AK8&lt;8,"",IF(W24=5,W30-Y30,IF(Y24=5,Y30-W30,""))))</f>
        <v/>
      </c>
      <c r="AO28" s="48" t="str">
        <f>IF(AK9&lt;5,"",IF(AK8&lt;9,"",IF(Z24=5,Z30-AB30,IF(AB24=5,AB30-Z30,""))))</f>
        <v/>
      </c>
      <c r="AP28" s="48" t="str">
        <f>IF(AK9&lt;5,"",IF(AK8&lt;10,"",IF(AC24=5,AC30-AE30,IF(AE24=5,AE30-AC30,""))))</f>
        <v/>
      </c>
      <c r="AQ28" s="44">
        <f>SUM(AG28:AP28)</f>
        <v>0</v>
      </c>
    </row>
    <row r="29" spans="1:48" ht="15" hidden="1" x14ac:dyDescent="0.2">
      <c r="A29" s="3" t="str">
        <f>IF(AK7&gt;4,"Game 5","")</f>
        <v/>
      </c>
      <c r="B29" s="49"/>
      <c r="C29" s="50" t="s">
        <v>80</v>
      </c>
      <c r="D29" s="51"/>
      <c r="E29" s="49"/>
      <c r="F29" s="50" t="str">
        <f>IF(AK8&gt;1,IF(AK7&gt;4,"/",""),"")</f>
        <v/>
      </c>
      <c r="G29" s="51"/>
      <c r="H29" s="49"/>
      <c r="I29" s="50" t="str">
        <f>IF(AK8&gt;2,IF(AK7&gt;4,"/",""),"")</f>
        <v/>
      </c>
      <c r="J29" s="51"/>
      <c r="K29" s="49"/>
      <c r="L29" s="50" t="str">
        <f>IF(AK8&gt;3,IF(AK7&gt;4,"/",""),"")</f>
        <v/>
      </c>
      <c r="M29" s="51"/>
      <c r="N29" s="49"/>
      <c r="O29" s="50" t="str">
        <f>IF(AK8&gt;4,IF(AK7&gt;4,"/",""),"")</f>
        <v/>
      </c>
      <c r="P29" s="51"/>
      <c r="Q29" s="49"/>
      <c r="R29" s="50" t="str">
        <f>IF(AK8&gt;5,IF(AK7&gt;4,"/",""),"")</f>
        <v/>
      </c>
      <c r="S29" s="51"/>
      <c r="T29" s="49"/>
      <c r="U29" s="50" t="str">
        <f>IF(AK8&gt;6,IF(AK7&gt;4,"/",""),"")</f>
        <v/>
      </c>
      <c r="V29" s="51"/>
      <c r="W29" s="49"/>
      <c r="X29" s="50" t="str">
        <f>IF(AK8&gt;7,IF(AK7&gt;4,"/",""),"")</f>
        <v/>
      </c>
      <c r="Y29" s="51"/>
      <c r="Z29" s="49"/>
      <c r="AA29" s="50" t="str">
        <f>IF(AK8&gt;8,IF(AK7&gt;4,"/",""),"")</f>
        <v/>
      </c>
      <c r="AB29" s="51"/>
      <c r="AC29" s="49"/>
      <c r="AD29" s="50" t="str">
        <f>IF(AK8&gt;9,IF(AK7&gt;4,"/",""),"")</f>
        <v/>
      </c>
      <c r="AE29" s="51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</row>
    <row r="30" spans="1:48" hidden="1" x14ac:dyDescent="0.2">
      <c r="A30" s="53"/>
      <c r="B30" s="53">
        <f>IF($AK7=5,SUM(B25:B29),IF($AK7=4,SUM(B25:B28),IF($AK7=3,SUM(B25:B27),IF($AK7=2,SUM(B25:B26),B25))))</f>
        <v>25</v>
      </c>
      <c r="C30" s="53"/>
      <c r="D30" s="53">
        <f>IF($AK7=5,SUM(D25:D29),IF($AK7=4,SUM(D25:D28),IF($AK7=3,SUM(D25:D27),IF($AK7=2,SUM(D25:D26),D25))))</f>
        <v>35</v>
      </c>
      <c r="E30" s="53">
        <f>IF($AK7=5,SUM(E25:E29),IF($AK7=4,SUM(E25:E28),IF($AK7=3,SUM(E25:E27),IF($AK7=2,SUM(E25:E26),E25))))</f>
        <v>29</v>
      </c>
      <c r="F30" s="53"/>
      <c r="G30" s="53">
        <f>IF($AK7=5,SUM(G25:G29),IF($AK7=4,SUM(G25:G28),IF($AK7=3,SUM(G25:G27),IF($AK7=2,SUM(G25:G26),G25))))</f>
        <v>35</v>
      </c>
      <c r="H30" s="53">
        <f>IF($AK7=5,SUM(H25:H29),IF($AK7=4,SUM(H25:H28),IF($AK7=3,SUM(H25:H27),IF($AK7=2,SUM(H25:H26),H25))))</f>
        <v>27</v>
      </c>
      <c r="I30" s="53"/>
      <c r="J30" s="53">
        <f>IF($AK7=5,SUM(J25:J29),IF($AK7=4,SUM(J25:J28),IF($AK7=3,SUM(J25:J27),IF($AK7=2,SUM(J25:J26),J25))))</f>
        <v>35</v>
      </c>
      <c r="K30" s="53">
        <f>IF($AK7=5,SUM(K25:K29),IF($AK7=4,SUM(K25:K28),IF($AK7=3,SUM(K25:K27),IF($AK7=2,SUM(K25:K26),K25))))</f>
        <v>34</v>
      </c>
      <c r="L30" s="53"/>
      <c r="M30" s="53">
        <f>IF($AK7=5,SUM(M25:M29),IF($AK7=4,SUM(M25:M28),IF($AK7=3,SUM(M25:M27),IF($AK7=2,SUM(M25:M26),M25))))</f>
        <v>28</v>
      </c>
      <c r="N30" s="53">
        <f>IF($AK7=5,SUM(N25:N29),IF($AK7=4,SUM(N25:N28),IF($AK7=3,SUM(N25:N27),IF($AK7=2,SUM(N25:N26),N25))))</f>
        <v>20</v>
      </c>
      <c r="O30" s="53"/>
      <c r="P30" s="53">
        <f>IF($AK7=5,SUM(P25:P29),IF($AK7=4,SUM(P25:P28),IF($AK7=3,SUM(P25:P27),IF($AK7=2,SUM(P25:P26),P25))))</f>
        <v>33</v>
      </c>
      <c r="Q30" s="53">
        <f>IF($AK7=5,SUM(Q25:Q29),IF($AK7=4,SUM(Q25:Q28),IF($AK7=3,SUM(Q25:Q27),IF($AK7=2,SUM(Q25:Q26),Q25))))</f>
        <v>38</v>
      </c>
      <c r="R30" s="53"/>
      <c r="S30" s="53">
        <f>IF($AK7=5,SUM(S25:S29),IF($AK7=4,SUM(S25:S28),IF($AK7=3,SUM(S25:S27),IF($AK7=2,SUM(S25:S26),S25))))</f>
        <v>23</v>
      </c>
      <c r="T30" s="53">
        <f>IF($AK7=5,SUM(T25:T29),IF($AK7=4,SUM(T25:T28),IF($AK7=3,SUM(T25:T27),IF($AK7=2,SUM(T25:T26),T25))))</f>
        <v>0</v>
      </c>
      <c r="U30" s="53"/>
      <c r="V30" s="53">
        <f>IF($AK7=5,SUM(V25:V29),IF($AK7=4,SUM(V25:V28),IF($AK7=3,SUM(V25:V27),IF($AK7=2,SUM(V25:V26),V25))))</f>
        <v>0</v>
      </c>
      <c r="W30" s="53">
        <f>IF($AK7=5,SUM(W25:W29),IF($AK7=4,SUM(W25:W28),IF($AK7=3,SUM(W25:W27),IF($AK7=2,SUM(W25:W26),W25))))</f>
        <v>0</v>
      </c>
      <c r="X30" s="53"/>
      <c r="Y30" s="53">
        <f>IF($AK7=5,SUM(Y25:Y29),IF($AK7=4,SUM(Y25:Y28),IF($AK7=3,SUM(Y25:Y27),IF($AK7=2,SUM(Y25:Y26),Y25))))</f>
        <v>0</v>
      </c>
      <c r="Z30" s="53">
        <f>IF($AK7=5,SUM(Z25:Z29),IF($AK7=4,SUM(Z25:Z28),IF($AK7=3,SUM(Z25:Z27),IF($AK7=2,SUM(Z25:Z26),Z25))))</f>
        <v>0</v>
      </c>
      <c r="AA30" s="53"/>
      <c r="AB30" s="53">
        <f>IF($AK7=5,SUM(AB25:AB29),IF($AK7=4,SUM(AB25:AB28),IF($AK7=3,SUM(AB25:AB27),IF($AK7=2,SUM(AB25:AB26),AB25))))</f>
        <v>0</v>
      </c>
      <c r="AC30" s="53">
        <f>IF($AK7=5,SUM(AC25:AC29),IF($AK7=4,SUM(AC25:AC28),IF($AK7=3,SUM(AC25:AC27),IF($AK7=2,SUM(AC25:AC26),AC25))))</f>
        <v>0</v>
      </c>
      <c r="AD30" s="53"/>
      <c r="AE30" s="53">
        <f>IF($AK7=5,SUM(AE25:AE29),IF($AK7=4,SUM(AE25:AE28),IF($AK7=3,SUM(AE25:AE27),IF($AK7=2,SUM(AE25:AE26),AE25))))</f>
        <v>0</v>
      </c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</row>
    <row r="31" spans="1:48" s="55" customFormat="1" ht="12.75" hidden="1" customHeight="1" x14ac:dyDescent="0.2">
      <c r="A31" s="55" t="s">
        <v>81</v>
      </c>
      <c r="B31" s="56">
        <f>IF(AND(B25&gt;D25,$AK8&gt;0,ISNUMBER(B25),ISNUMBER(D25)),1,0)</f>
        <v>0</v>
      </c>
      <c r="C31" s="56"/>
      <c r="D31" s="57">
        <f>IF(AND(D25&gt;B25,$AK8&gt;0,ISNUMBER(B25),ISNUMBER(D25)),1,0)</f>
        <v>1</v>
      </c>
      <c r="E31" s="56">
        <f>IF(AND(E25&gt;G25,$AK8&gt;1,ISNUMBER(E25),ISNUMBER(G25)),1,0)</f>
        <v>0</v>
      </c>
      <c r="F31" s="56"/>
      <c r="G31" s="57">
        <f>IF(AND(G25&gt;E25,$AK8&gt;1,ISNUMBER(E25),ISNUMBER(G25)),1,0)</f>
        <v>1</v>
      </c>
      <c r="H31" s="56">
        <f>IF(AND(H25&gt;J25,$AK8&gt;2,ISNUMBER(H25),ISNUMBER(J25)),1,0)</f>
        <v>0</v>
      </c>
      <c r="I31" s="56"/>
      <c r="J31" s="57">
        <f>IF(AND(J25&gt;H25,$AK8&gt;2,ISNUMBER(H25),ISNUMBER(J25)),1,0)</f>
        <v>1</v>
      </c>
      <c r="K31" s="56">
        <f>IF(AND(K25&gt;M25,$AK8&gt;3,ISNUMBER(K25),ISNUMBER(M25)),1,0)</f>
        <v>0</v>
      </c>
      <c r="L31" s="56"/>
      <c r="M31" s="57">
        <f>IF(AND(M25&gt;K25,$AK8&gt;3,ISNUMBER(K25),ISNUMBER(M25)),1,0)</f>
        <v>1</v>
      </c>
      <c r="N31" s="56">
        <f>IF(AND(N25&gt;P25,$AK8&gt;4,ISNUMBER(N25),ISNUMBER(P25)),1,0)</f>
        <v>0</v>
      </c>
      <c r="O31" s="56"/>
      <c r="P31" s="57">
        <f>IF(AND(P25&gt;N25,$AK8&gt;4,ISNUMBER(N25),ISNUMBER(P25)),1,0)</f>
        <v>1</v>
      </c>
      <c r="Q31" s="56">
        <f>IF(AND(Q25&gt;S25,$AK8&gt;5,ISNUMBER(Q25),ISNUMBER(S25)),1,0)</f>
        <v>1</v>
      </c>
      <c r="R31" s="56"/>
      <c r="S31" s="57">
        <f>IF(AND(S25&gt;Q25,$AK8&gt;5,ISNUMBER(Q25),ISNUMBER(S25)),1,0)</f>
        <v>0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0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0</v>
      </c>
      <c r="AD31" s="56"/>
      <c r="AE31" s="57">
        <f>IF(AND(AE25&gt;AC25,$AK8&gt;9,ISNUMBER(AC25),ISNUMBER(AE25)),1,0)</f>
        <v>0</v>
      </c>
    </row>
    <row r="32" spans="1:48" s="55" customFormat="1" ht="12.75" hidden="1" customHeight="1" x14ac:dyDescent="0.2">
      <c r="A32" s="55" t="s">
        <v>82</v>
      </c>
      <c r="B32" s="56">
        <f>IF(AND(B26&gt;D26,$AK8&gt;0,$AK7&gt;1,ISNUMBER(B26),ISNUMBER(D26)),1,0)</f>
        <v>0</v>
      </c>
      <c r="C32" s="56"/>
      <c r="D32" s="57">
        <f>IF(AND(D26&gt;B26,$AK8&gt;0,$AK7&gt;1,ISNUMBER(B26),ISNUMBER(D26)),1,0)</f>
        <v>1</v>
      </c>
      <c r="E32" s="56">
        <f>IF(AND(E26&gt;G26,$AK8&gt;1,$AK7&gt;1,ISNUMBER(E26),ISNUMBER(G26)),1,0)</f>
        <v>1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0</v>
      </c>
      <c r="I32" s="56"/>
      <c r="J32" s="57">
        <f>IF(AND(J26&gt;H26,$AK8&gt;2,$AK7&gt;1,ISNUMBER(H26),ISNUMBER(J26)),1,0)</f>
        <v>1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1</v>
      </c>
      <c r="Q32" s="56">
        <f>IF(AND(Q26&gt;S26,$AK8&gt;5,$AK7&gt;1,ISNUMBER(Q26),ISNUMBER(S26)),1,0)</f>
        <v>1</v>
      </c>
      <c r="R32" s="56"/>
      <c r="S32" s="57">
        <f>IF(AND(S26&gt;Q26,$AK8&gt;5,$AK7&gt;1,ISNUMBER(Q26),ISNUMBER(S26)),1,0)</f>
        <v>0</v>
      </c>
      <c r="T32" s="56">
        <f>IF(AND(T26&gt;V26,$AK8&gt;6,$AK7&gt;1,ISNUMBER(T26),ISNUMBER(V26)),1,0)</f>
        <v>0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0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0</v>
      </c>
    </row>
    <row r="33" spans="1:33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</row>
    <row r="34" spans="1:33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</row>
    <row r="35" spans="1:33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</row>
    <row r="36" spans="1:33" s="55" customFormat="1" ht="38.25" hidden="1" customHeight="1" x14ac:dyDescent="0.2">
      <c r="A36" s="59" t="s">
        <v>86</v>
      </c>
      <c r="B36" s="55">
        <f>SUM(B31:B35)</f>
        <v>0</v>
      </c>
      <c r="D36" s="60">
        <f>SUM(D31:D35)</f>
        <v>2</v>
      </c>
      <c r="E36" s="55">
        <f>SUM(E31:E35)</f>
        <v>1</v>
      </c>
      <c r="G36" s="60">
        <f>SUM(G31:G35)</f>
        <v>1</v>
      </c>
      <c r="H36" s="55">
        <f>SUM(H31:H35)</f>
        <v>0</v>
      </c>
      <c r="J36" s="60">
        <f>SUM(J31:J35)</f>
        <v>2</v>
      </c>
      <c r="K36" s="55">
        <f>SUM(K31:K35)</f>
        <v>1</v>
      </c>
      <c r="M36" s="60">
        <f>SUM(M31:M35)</f>
        <v>1</v>
      </c>
      <c r="N36" s="55">
        <f>SUM(N31:N35)</f>
        <v>0</v>
      </c>
      <c r="P36" s="60">
        <f>SUM(P31:P35)</f>
        <v>2</v>
      </c>
      <c r="Q36" s="55">
        <f>SUM(Q31:Q35)</f>
        <v>2</v>
      </c>
      <c r="S36" s="60">
        <f>SUM(S31:S35)</f>
        <v>0</v>
      </c>
      <c r="T36" s="55">
        <f>SUM(T31:T35)</f>
        <v>0</v>
      </c>
      <c r="V36" s="60">
        <f>SUM(V31:V35)</f>
        <v>0</v>
      </c>
      <c r="W36" s="55">
        <f>SUM(W31:W35)</f>
        <v>0</v>
      </c>
      <c r="Y36" s="60">
        <f>SUM(Y31:Y35)</f>
        <v>0</v>
      </c>
      <c r="Z36" s="55">
        <f>SUM(Z31:Z35)</f>
        <v>0</v>
      </c>
      <c r="AB36" s="60">
        <f>SUM(AB31:AB35)</f>
        <v>0</v>
      </c>
      <c r="AC36" s="55">
        <f>SUM(AC31:AC35)</f>
        <v>0</v>
      </c>
      <c r="AE36" s="60">
        <f>SUM(AE31:AE35)</f>
        <v>0</v>
      </c>
    </row>
    <row r="37" spans="1:33" s="55" customFormat="1" ht="25.5" hidden="1" customHeight="1" x14ac:dyDescent="0.2">
      <c r="A37" s="59" t="s">
        <v>87</v>
      </c>
      <c r="B37" s="55">
        <f>IF(B36&gt;D36,IF(C71=AK7,1,IF(C71=AK7-1,1,0)),0)</f>
        <v>0</v>
      </c>
      <c r="C37" s="55">
        <f>B37+D37</f>
        <v>1</v>
      </c>
      <c r="D37" s="60">
        <f>IF(D36&gt;B36,IF(C71=AK7,1,IF(C71=AK7-1,1,0)),0)</f>
        <v>1</v>
      </c>
      <c r="E37" s="55">
        <f>IF(E36&gt;G36,IF(F71=AK7,1,IF(F71=AK7-1,1,0)),0)</f>
        <v>0</v>
      </c>
      <c r="F37" s="55">
        <f>E37+G37</f>
        <v>0</v>
      </c>
      <c r="G37" s="60">
        <f>IF(G36&gt;E36,IF(F71=AK7,1,IF(F71=AK7-1,1,0)),0)</f>
        <v>0</v>
      </c>
      <c r="H37" s="55">
        <f>IF(H36&gt;J36,IF(I71=AK7,1,IF(I71=AK7-1,1,0)),0)</f>
        <v>0</v>
      </c>
      <c r="I37" s="55">
        <f>H37+J37</f>
        <v>1</v>
      </c>
      <c r="J37" s="60">
        <f>IF(J36&gt;H36,IF(I71=AK7,1,IF(I71=AK7-1,1,0)),0)</f>
        <v>1</v>
      </c>
      <c r="K37" s="55">
        <f>IF(K36&gt;M36,IF(L71=AK7,1,IF(L71=AK7-1,1,0)),0)</f>
        <v>0</v>
      </c>
      <c r="L37" s="55">
        <f>K37+M37</f>
        <v>0</v>
      </c>
      <c r="M37" s="60">
        <f>IF(M36&gt;K36,IF(L71=AK7,1,IF(L71=AK7-1,1,0)),0)</f>
        <v>0</v>
      </c>
      <c r="N37" s="55">
        <f>IF(N36&gt;P36,IF(O71=AK7,1,IF(O71=AK7-1,1,0)),0)</f>
        <v>0</v>
      </c>
      <c r="O37" s="55">
        <f>N37+P37</f>
        <v>1</v>
      </c>
      <c r="P37" s="60">
        <f>IF(P36&gt;N36,IF(O71=AK7,1,IF(O71=AK7-1,1,0)),0)</f>
        <v>1</v>
      </c>
      <c r="Q37" s="55">
        <f>IF(Q36&gt;S36,IF(R71=AK7,1,IF(R71=AK7-1,1,0)),0)</f>
        <v>1</v>
      </c>
      <c r="R37" s="55">
        <f>Q37+S37</f>
        <v>1</v>
      </c>
      <c r="S37" s="60">
        <f>IF(S36&gt;Q36,IF(R71=AK7,1,IF(R71=AK7-1,1,0)),0)</f>
        <v>0</v>
      </c>
      <c r="T37" s="55">
        <f>IF(T36&gt;V36,IF(U71=AK7,1,IF(U71=AK7-1,1,0)),0)</f>
        <v>0</v>
      </c>
      <c r="U37" s="55">
        <f>T37+V37</f>
        <v>0</v>
      </c>
      <c r="V37" s="60">
        <f>IF(V36&gt;T36,IF(U71=AK7,1,IF(U71=AK7-1,1,0)),0)</f>
        <v>0</v>
      </c>
      <c r="W37" s="55">
        <f>IF(W36&gt;Y36,IF(X71=AK7,1,IF(X71=AK7-1,1,0)),0)</f>
        <v>0</v>
      </c>
      <c r="X37" s="55">
        <f>W37+Y37</f>
        <v>0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0</v>
      </c>
      <c r="AB37" s="60">
        <f>IF(AB36&gt;Z36,IF(AA71=AK7,1,IF(AA71=AK7-1,1,0)),0)</f>
        <v>0</v>
      </c>
      <c r="AC37" s="55">
        <f>IF(AC36&gt;AE36,IF(AD71=AK7,1,IF(AD71=AK7-1,1,0)),0)</f>
        <v>0</v>
      </c>
      <c r="AD37" s="55">
        <f>AC37+AE37</f>
        <v>0</v>
      </c>
      <c r="AE37" s="60">
        <f>IF(AE36&gt;AC36,IF(AD71=AK7,1,IF(AD71=AK7-1,1,0)),0)</f>
        <v>0</v>
      </c>
    </row>
    <row r="38" spans="1:33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</row>
    <row r="39" spans="1:33" s="55" customFormat="1" ht="12.75" hidden="1" customHeight="1" x14ac:dyDescent="0.2">
      <c r="A39" s="55" t="s">
        <v>88</v>
      </c>
      <c r="B39" s="55">
        <f>IF(B31=1,B25,0)</f>
        <v>0</v>
      </c>
      <c r="D39" s="60">
        <f t="shared" ref="D39:E43" si="2">IF(D31=1,D25,0)</f>
        <v>15</v>
      </c>
      <c r="E39" s="55">
        <f t="shared" si="2"/>
        <v>0</v>
      </c>
      <c r="G39" s="60">
        <f t="shared" ref="G39:H43" si="3">IF(G31=1,G25,0)</f>
        <v>18</v>
      </c>
      <c r="H39" s="55">
        <f t="shared" si="3"/>
        <v>0</v>
      </c>
      <c r="J39" s="60">
        <f t="shared" ref="J39:K43" si="4">IF(J31=1,J25,0)</f>
        <v>17</v>
      </c>
      <c r="K39" s="55">
        <f t="shared" si="4"/>
        <v>0</v>
      </c>
      <c r="M39" s="60">
        <f t="shared" ref="M39:N43" si="5">IF(M31=1,M25,0)</f>
        <v>18</v>
      </c>
      <c r="N39" s="55">
        <f t="shared" si="5"/>
        <v>0</v>
      </c>
      <c r="P39" s="60">
        <f t="shared" ref="P39:Q43" si="6">IF(P31=1,P25,0)</f>
        <v>14</v>
      </c>
      <c r="Q39" s="55">
        <f t="shared" si="6"/>
        <v>24</v>
      </c>
      <c r="S39" s="60">
        <f t="shared" ref="S39:T43" si="7">IF(S31=1,S25,0)</f>
        <v>0</v>
      </c>
      <c r="T39" s="55">
        <f t="shared" si="7"/>
        <v>0</v>
      </c>
      <c r="V39" s="60">
        <f t="shared" ref="V39:W43" si="8">IF(V31=1,V25,0)</f>
        <v>0</v>
      </c>
      <c r="W39" s="55">
        <f t="shared" si="8"/>
        <v>0</v>
      </c>
      <c r="Y39" s="60">
        <f t="shared" ref="Y39:Z43" si="9">IF(Y31=1,Y25,0)</f>
        <v>0</v>
      </c>
      <c r="Z39" s="55">
        <f t="shared" si="9"/>
        <v>0</v>
      </c>
      <c r="AB39" s="60">
        <f t="shared" ref="AB39:AC43" si="10">IF(AB31=1,AB25,0)</f>
        <v>0</v>
      </c>
      <c r="AC39" s="55">
        <f t="shared" si="10"/>
        <v>0</v>
      </c>
      <c r="AE39" s="60">
        <f>IF(AE31=1,AE25,0)</f>
        <v>0</v>
      </c>
    </row>
    <row r="40" spans="1:33" s="55" customFormat="1" ht="12.75" hidden="1" customHeight="1" x14ac:dyDescent="0.2">
      <c r="A40" s="55" t="s">
        <v>89</v>
      </c>
      <c r="B40" s="55">
        <f>IF(B32=1,B26,0)</f>
        <v>0</v>
      </c>
      <c r="D40" s="60">
        <f t="shared" si="2"/>
        <v>20</v>
      </c>
      <c r="E40" s="55">
        <f t="shared" si="2"/>
        <v>18</v>
      </c>
      <c r="G40" s="60">
        <f t="shared" si="3"/>
        <v>0</v>
      </c>
      <c r="H40" s="55">
        <f t="shared" si="3"/>
        <v>0</v>
      </c>
      <c r="J40" s="60">
        <f t="shared" si="4"/>
        <v>18</v>
      </c>
      <c r="K40" s="55">
        <f t="shared" si="4"/>
        <v>17</v>
      </c>
      <c r="M40" s="60">
        <f t="shared" si="5"/>
        <v>0</v>
      </c>
      <c r="N40" s="55">
        <f t="shared" si="5"/>
        <v>0</v>
      </c>
      <c r="P40" s="60">
        <f t="shared" si="6"/>
        <v>19</v>
      </c>
      <c r="Q40" s="55">
        <f t="shared" si="6"/>
        <v>14</v>
      </c>
      <c r="S40" s="60">
        <f t="shared" si="7"/>
        <v>0</v>
      </c>
      <c r="T40" s="55">
        <f t="shared" si="7"/>
        <v>0</v>
      </c>
      <c r="V40" s="60">
        <f t="shared" si="8"/>
        <v>0</v>
      </c>
      <c r="W40" s="55">
        <f t="shared" si="8"/>
        <v>0</v>
      </c>
      <c r="Y40" s="60">
        <f t="shared" si="9"/>
        <v>0</v>
      </c>
      <c r="Z40" s="55">
        <f t="shared" si="9"/>
        <v>0</v>
      </c>
      <c r="AB40" s="60">
        <f t="shared" si="10"/>
        <v>0</v>
      </c>
      <c r="AC40" s="55">
        <f t="shared" si="10"/>
        <v>0</v>
      </c>
      <c r="AE40" s="60">
        <f>IF(AE32=1,AE26,0)</f>
        <v>0</v>
      </c>
    </row>
    <row r="41" spans="1:33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</row>
    <row r="42" spans="1:33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</row>
    <row r="43" spans="1:33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</row>
    <row r="44" spans="1:33" s="55" customFormat="1" ht="38.25" hidden="1" customHeight="1" x14ac:dyDescent="0.2">
      <c r="A44" s="59" t="s">
        <v>93</v>
      </c>
      <c r="B44" s="55">
        <f>SUM(B39:D43)</f>
        <v>35</v>
      </c>
      <c r="D44" s="60"/>
      <c r="E44" s="55">
        <f>SUM(E39:G43)</f>
        <v>36</v>
      </c>
      <c r="G44" s="60"/>
      <c r="H44" s="55">
        <f>SUM(H39:J43)</f>
        <v>35</v>
      </c>
      <c r="J44" s="60"/>
      <c r="K44" s="55">
        <f>SUM(K39:M43)</f>
        <v>35</v>
      </c>
      <c r="M44" s="60"/>
      <c r="N44" s="55">
        <f>SUM(N39:P43)</f>
        <v>33</v>
      </c>
      <c r="P44" s="60"/>
      <c r="Q44" s="55">
        <f>SUM(Q39:S43)</f>
        <v>38</v>
      </c>
      <c r="S44" s="60"/>
      <c r="T44" s="55">
        <f>SUM(T39:V43)</f>
        <v>0</v>
      </c>
      <c r="V44" s="60"/>
      <c r="W44" s="55">
        <f>SUM(W39:Y43)</f>
        <v>0</v>
      </c>
      <c r="Y44" s="60"/>
      <c r="Z44" s="55">
        <f>SUM(Z39:AB43)</f>
        <v>0</v>
      </c>
      <c r="AB44" s="60"/>
      <c r="AC44" s="55">
        <f>SUM(AC39:AE43)</f>
        <v>0</v>
      </c>
      <c r="AE44" s="60"/>
    </row>
    <row r="45" spans="1:33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</row>
    <row r="46" spans="1:33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0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1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0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1</v>
      </c>
      <c r="AG46" s="55">
        <f>AF52-AF46</f>
        <v>0</v>
      </c>
    </row>
    <row r="47" spans="1:33" s="55" customFormat="1" ht="12.75" hidden="1" customHeight="1" x14ac:dyDescent="0.2">
      <c r="A47" s="55" t="s">
        <v>98</v>
      </c>
      <c r="B47" s="55">
        <f>IF(B24=2,IF(B37=1,1,0),0)</f>
        <v>0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0</v>
      </c>
      <c r="AG47" s="55">
        <f>AF53-AF47</f>
        <v>3</v>
      </c>
    </row>
    <row r="48" spans="1:33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1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1</v>
      </c>
      <c r="AG48" s="55">
        <f>AF54-AF48</f>
        <v>1</v>
      </c>
    </row>
    <row r="49" spans="1:37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1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1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2</v>
      </c>
      <c r="AG49" s="55">
        <f>AF55-AF49</f>
        <v>0</v>
      </c>
    </row>
    <row r="50" spans="1:37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0</v>
      </c>
      <c r="AG50" s="55">
        <f>AF56-AF50</f>
        <v>0</v>
      </c>
    </row>
    <row r="51" spans="1:37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</row>
    <row r="52" spans="1:37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0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0</v>
      </c>
      <c r="P52" s="60">
        <f>IF(P24=1,IF(O37=1,1,0),0)</f>
        <v>0</v>
      </c>
      <c r="Q52" s="55">
        <f>IF(Q24=1,IF(R37=1,1,0),0)</f>
        <v>1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0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0</v>
      </c>
      <c r="AE52" s="60">
        <f>IF(AE24=1,IF(AD37=1,1,0),0)</f>
        <v>0</v>
      </c>
      <c r="AF52" s="55">
        <f>SUM(B52:AE52)</f>
        <v>1</v>
      </c>
    </row>
    <row r="53" spans="1:37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1</v>
      </c>
      <c r="J53" s="60">
        <f>IF(J24=2,IF(I37=1,1,0),0)</f>
        <v>0</v>
      </c>
      <c r="K53" s="55">
        <f>IF(K24=2,IF(L37=1,1,0),0)</f>
        <v>0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1</v>
      </c>
      <c r="T53" s="55">
        <f>IF(T24=2,IF(U37=1,1,0),0)</f>
        <v>0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0</v>
      </c>
      <c r="AF53" s="55">
        <f>SUM(B53:AE53)</f>
        <v>3</v>
      </c>
    </row>
    <row r="54" spans="1:37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1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0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1</v>
      </c>
      <c r="P54" s="60">
        <f>IF(P24=3,IF(O37=1,1,0),0)</f>
        <v>0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0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0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2</v>
      </c>
    </row>
    <row r="55" spans="1:37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0</v>
      </c>
      <c r="H55" s="55">
        <f>IF(H24=4,IF(I37=1,1,0),0)</f>
        <v>0</v>
      </c>
      <c r="J55" s="60">
        <f>IF(J24=4,IF(I37=1,1,0),0)</f>
        <v>1</v>
      </c>
      <c r="K55" s="55">
        <f>IF(K24=4,IF(L37=1,1,0),0)</f>
        <v>0</v>
      </c>
      <c r="M55" s="60">
        <f>IF(M24=4,IF(L37=1,1,0),0)</f>
        <v>0</v>
      </c>
      <c r="N55" s="55">
        <f>IF(N24=4,IF(O37=1,1,0),0)</f>
        <v>0</v>
      </c>
      <c r="P55" s="60">
        <f>IF(P24=4,IF(O37=1,1,0),0)</f>
        <v>1</v>
      </c>
      <c r="Q55" s="55">
        <f>IF(Q24=4,IF(R37=1,1,0),0)</f>
        <v>0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0</v>
      </c>
      <c r="AC55" s="55">
        <f>IF(AC24=4,IF(AD37=1,1,0),0)</f>
        <v>0</v>
      </c>
      <c r="AE55" s="60">
        <f>IF(AE24=4,IF(AD37=1,1,0),0)</f>
        <v>0</v>
      </c>
      <c r="AF55" s="55">
        <f>SUM(B55:AE55)</f>
        <v>2</v>
      </c>
    </row>
    <row r="56" spans="1:37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0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0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0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0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0</v>
      </c>
    </row>
    <row r="57" spans="1:37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</row>
    <row r="58" spans="1:37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36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35</v>
      </c>
      <c r="M58" s="60">
        <f>IF(M24=1,K44,0)</f>
        <v>0</v>
      </c>
      <c r="N58" s="55">
        <f>IF(N24=1,N44,0)</f>
        <v>0</v>
      </c>
      <c r="P58" s="60">
        <f>IF(P24=1,N44,0)</f>
        <v>0</v>
      </c>
      <c r="Q58" s="55">
        <f>IF(Q24=1,Q44,0)</f>
        <v>38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0</v>
      </c>
      <c r="AE58" s="60">
        <f>IF(AE24=1,AC44,0)</f>
        <v>0</v>
      </c>
      <c r="AF58" s="55">
        <f>SUM(B58:AE58)</f>
        <v>109</v>
      </c>
    </row>
    <row r="59" spans="1:37" s="55" customFormat="1" ht="12.75" hidden="1" customHeight="1" x14ac:dyDescent="0.2">
      <c r="A59" s="55" t="s">
        <v>104</v>
      </c>
      <c r="B59" s="55">
        <f>IF(B24=2,B44,0)</f>
        <v>35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35</v>
      </c>
      <c r="J59" s="60">
        <f>IF(J24=2,H44,0)</f>
        <v>0</v>
      </c>
      <c r="K59" s="55">
        <f>IF(K24=2,K44,0)</f>
        <v>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38</v>
      </c>
      <c r="T59" s="55">
        <f>IF(T24=2,T44,0)</f>
        <v>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0</v>
      </c>
      <c r="AF59" s="55">
        <f>SUM(B59:AE59)</f>
        <v>108</v>
      </c>
    </row>
    <row r="60" spans="1:37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35</v>
      </c>
      <c r="E60" s="55">
        <f>IF(E24=3,E44,0)</f>
        <v>0</v>
      </c>
      <c r="G60" s="60">
        <f>IF(G24=3,E44,0)</f>
        <v>0</v>
      </c>
      <c r="H60" s="55">
        <f>IF(H24=3,H44,0)</f>
        <v>0</v>
      </c>
      <c r="J60" s="60">
        <f>IF(J24=3,H44,0)</f>
        <v>0</v>
      </c>
      <c r="K60" s="55">
        <f>IF(K24=3,K44,0)</f>
        <v>0</v>
      </c>
      <c r="M60" s="60">
        <f>IF(M24=3,K44,0)</f>
        <v>35</v>
      </c>
      <c r="N60" s="55">
        <f>IF(N24=3,N44,0)</f>
        <v>33</v>
      </c>
      <c r="P60" s="60">
        <f>IF(P24=3,N44,0)</f>
        <v>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0</v>
      </c>
      <c r="W60" s="55">
        <f>IF(W24=3,W44,0)</f>
        <v>0</v>
      </c>
      <c r="Y60" s="60">
        <f>IF(Y24=3,W44,0)</f>
        <v>0</v>
      </c>
      <c r="Z60" s="55">
        <f>IF(Z24=3,Z44,0)</f>
        <v>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103</v>
      </c>
    </row>
    <row r="61" spans="1:37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36</v>
      </c>
      <c r="H61" s="55">
        <f>IF(H24=4,H44,0)</f>
        <v>0</v>
      </c>
      <c r="J61" s="60">
        <f>IF(J24=4,H44,0)</f>
        <v>35</v>
      </c>
      <c r="K61" s="55">
        <f>IF(K24=4,K44,0)</f>
        <v>0</v>
      </c>
      <c r="M61" s="60">
        <f>IF(M24=4,K44,0)</f>
        <v>0</v>
      </c>
      <c r="N61" s="55">
        <f>IF(N24=4,N44,0)</f>
        <v>0</v>
      </c>
      <c r="P61" s="60">
        <f>IF(P24=4,N44,0)</f>
        <v>33</v>
      </c>
      <c r="Q61" s="55">
        <f>IF(Q24=4,Q44,0)</f>
        <v>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0</v>
      </c>
      <c r="AC61" s="55">
        <f>IF(AC24=4,AC44,0)</f>
        <v>0</v>
      </c>
      <c r="AE61" s="60">
        <f>IF(AE24=4,AC44,0)</f>
        <v>0</v>
      </c>
      <c r="AF61" s="55">
        <f>SUM(B61:AE61)</f>
        <v>104</v>
      </c>
    </row>
    <row r="62" spans="1:37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0</v>
      </c>
    </row>
    <row r="63" spans="1:37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</row>
    <row r="64" spans="1:37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1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1</v>
      </c>
      <c r="M64" s="60">
        <f>IF(M24=1,SUMIF(M31:M35,"&gt;0"),0)</f>
        <v>0</v>
      </c>
      <c r="N64" s="55">
        <f>IF(N24=1,SUMIF(N31:N35,"&gt;0"),0)</f>
        <v>0</v>
      </c>
      <c r="P64" s="60">
        <f>IF(P24=1,SUMIF(P31:P35,"&gt;0"),0)</f>
        <v>0</v>
      </c>
      <c r="Q64" s="55">
        <f>IF(Q24=1,SUMIF(Q31:Q35,"&gt;0"),0)</f>
        <v>2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0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0</v>
      </c>
      <c r="AE64" s="60">
        <f>IF(AE24=1,SUMIF(AE31:AE35,"&gt;0"),0)</f>
        <v>0</v>
      </c>
      <c r="AF64" s="55">
        <f>SUM(B64:AE64)</f>
        <v>4</v>
      </c>
      <c r="AG64" s="55">
        <f>AF72-AF64</f>
        <v>2</v>
      </c>
    </row>
    <row r="65" spans="1:49" s="55" customFormat="1" ht="12.75" hidden="1" customHeight="1" x14ac:dyDescent="0.2">
      <c r="A65" s="55" t="s">
        <v>98</v>
      </c>
      <c r="B65" s="55">
        <f>IF(B24=2,SUMIF(B31:B35,"&gt;0"),0)</f>
        <v>0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0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0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0</v>
      </c>
      <c r="AG65" s="55">
        <f>AF73-AF65</f>
        <v>6</v>
      </c>
    </row>
    <row r="66" spans="1:49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2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1</v>
      </c>
      <c r="N66" s="55">
        <f>IF(N24=3,SUMIF(N31:N35,"&gt;0"),0)</f>
        <v>0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0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0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3</v>
      </c>
      <c r="AG66" s="55">
        <f>AF74-AF66</f>
        <v>3</v>
      </c>
    </row>
    <row r="67" spans="1:49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1</v>
      </c>
      <c r="H67" s="55">
        <f>IF(H24=4,SUMIF(H31:H35,"&gt;0"),0)</f>
        <v>0</v>
      </c>
      <c r="J67" s="60">
        <f>IF(J24=4,SUMIF(J31:J35,"&gt;0"),0)</f>
        <v>2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2</v>
      </c>
      <c r="Q67" s="55">
        <f>IF(Q24=4,SUMIF(Q31:Q35,"&gt;0"),0)</f>
        <v>0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0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5</v>
      </c>
      <c r="AG67" s="55">
        <f>AF75-AF67</f>
        <v>1</v>
      </c>
    </row>
    <row r="68" spans="1:49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0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0</v>
      </c>
      <c r="AG68" s="55">
        <f>AF76-AF68</f>
        <v>0</v>
      </c>
    </row>
    <row r="69" spans="1:49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</row>
    <row r="70" spans="1:49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</row>
    <row r="71" spans="1:49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0</v>
      </c>
      <c r="V71" s="60"/>
      <c r="X71" s="55">
        <f>SUMIF(W64:Y68,"&gt;0")</f>
        <v>0</v>
      </c>
      <c r="Y71" s="60"/>
      <c r="AA71" s="55">
        <f>SUMIF(Z64:AB68,"&gt;0")</f>
        <v>0</v>
      </c>
      <c r="AB71" s="60"/>
      <c r="AD71" s="55">
        <f>SUMIF(AC64:AE68,"&gt;0")</f>
        <v>0</v>
      </c>
      <c r="AE71" s="60"/>
      <c r="AF71" s="59" t="s">
        <v>113</v>
      </c>
    </row>
    <row r="72" spans="1:49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2</v>
      </c>
      <c r="M72" s="60">
        <f>IF(M24=1,L71,0)</f>
        <v>0</v>
      </c>
      <c r="N72" s="55">
        <f>IF(N24=1,O71,0)</f>
        <v>0</v>
      </c>
      <c r="P72" s="60">
        <f>IF(P24=1,O71,0)</f>
        <v>0</v>
      </c>
      <c r="Q72" s="55">
        <f>IF(Q24=1,R71,0)</f>
        <v>2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0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0</v>
      </c>
      <c r="AE72" s="60">
        <f>IF(AE24=1,AD71,0)</f>
        <v>0</v>
      </c>
      <c r="AF72" s="55">
        <f>SUM(B72:AE72)</f>
        <v>6</v>
      </c>
    </row>
    <row r="73" spans="1:49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2</v>
      </c>
      <c r="J73" s="60">
        <f>IF(J24=2,I71,0)</f>
        <v>0</v>
      </c>
      <c r="K73" s="55">
        <f>IF(K24=2,L71,0)</f>
        <v>0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2</v>
      </c>
      <c r="T73" s="55">
        <f>IF(T24=2,U71,0)</f>
        <v>0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0</v>
      </c>
      <c r="AF73" s="55">
        <f>SUM(B73:AE73)</f>
        <v>6</v>
      </c>
    </row>
    <row r="74" spans="1:49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2</v>
      </c>
      <c r="E74" s="55">
        <f>IF(E24=3,F71,0)</f>
        <v>0</v>
      </c>
      <c r="G74" s="60">
        <f>IF(G24=3,F71,0)</f>
        <v>0</v>
      </c>
      <c r="H74" s="55">
        <f>IF(H24=3,I71,0)</f>
        <v>0</v>
      </c>
      <c r="J74" s="60">
        <f>IF(J24=3,I71,0)</f>
        <v>0</v>
      </c>
      <c r="K74" s="55">
        <f>IF(K24=3,L71,0)</f>
        <v>0</v>
      </c>
      <c r="M74" s="60">
        <f>IF(M24=3,L71,0)</f>
        <v>2</v>
      </c>
      <c r="N74" s="55">
        <f>IF(N24=3,O71,0)</f>
        <v>2</v>
      </c>
      <c r="P74" s="60">
        <f>IF(P24=3,O71,0)</f>
        <v>0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0</v>
      </c>
      <c r="W74" s="55">
        <f>IF(W24=3,X71,0)</f>
        <v>0</v>
      </c>
      <c r="Y74" s="60">
        <f>IF(Y24=3,X71,0)</f>
        <v>0</v>
      </c>
      <c r="Z74" s="55">
        <f>IF(Z24=3,AA71,0)</f>
        <v>0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6</v>
      </c>
    </row>
    <row r="75" spans="1:49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2</v>
      </c>
      <c r="K75" s="55">
        <f>IF(K24=4,L71,0)</f>
        <v>0</v>
      </c>
      <c r="M75" s="60">
        <f>IF(M24=4,L71,0)</f>
        <v>0</v>
      </c>
      <c r="N75" s="55">
        <f>IF(N24=4,O71,0)</f>
        <v>0</v>
      </c>
      <c r="P75" s="60">
        <f>IF(P24=4,O71,0)</f>
        <v>2</v>
      </c>
      <c r="Q75" s="55">
        <f>IF(Q24=4,R71,0)</f>
        <v>0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0</v>
      </c>
      <c r="AC75" s="55">
        <f>IF(AC24=4,AD71,0)</f>
        <v>0</v>
      </c>
      <c r="AE75" s="60">
        <f>IF(AE24=4,AD71,0)</f>
        <v>0</v>
      </c>
      <c r="AF75" s="55">
        <f>SUM(B75:AE75)</f>
        <v>6</v>
      </c>
    </row>
    <row r="76" spans="1:49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0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0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0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0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0</v>
      </c>
    </row>
    <row r="77" spans="1:49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130"/>
    </row>
    <row r="78" spans="1:49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</row>
    <row r="79" spans="1:49" s="63" customFormat="1" hidden="1" x14ac:dyDescent="0.2">
      <c r="A79" s="67">
        <v>1</v>
      </c>
      <c r="B79" s="67" t="str">
        <f>E8</f>
        <v>Kidz Power Intense RH</v>
      </c>
      <c r="C79" s="67">
        <f>VLOOKUP(B79,AU$3:AW$33,3,FALSE)</f>
        <v>1133.6105278384805</v>
      </c>
      <c r="D79" s="67">
        <f>IF(B72,B87,IF(D72,D87,C79))</f>
        <v>1133.6105278384805</v>
      </c>
      <c r="E79" s="67"/>
      <c r="F79" s="67"/>
      <c r="G79" s="67">
        <f>IF(E72,E87,IF(G72,G87,D79))</f>
        <v>1137.1700839518003</v>
      </c>
      <c r="H79" s="67"/>
      <c r="I79" s="67"/>
      <c r="J79" s="67">
        <f>IF(H72,H87,IF(J72,J87,G79))</f>
        <v>1137.1700839518003</v>
      </c>
      <c r="K79" s="67"/>
      <c r="L79" s="67"/>
      <c r="M79" s="67">
        <f>IF(K72,K87,IF(M72,M87,J79))</f>
        <v>1139.1608062773485</v>
      </c>
      <c r="N79" s="67"/>
      <c r="O79" s="67"/>
      <c r="P79" s="67">
        <f>IF(N72,N87,IF(P72,P87,M79))</f>
        <v>1139.1608062773485</v>
      </c>
      <c r="Q79" s="67"/>
      <c r="R79" s="67"/>
      <c r="S79" s="67">
        <f>IF(Q72,Q87,IF(S72,S87,P79))</f>
        <v>1156.9377403644455</v>
      </c>
      <c r="T79" s="67"/>
      <c r="U79" s="67"/>
      <c r="V79" s="67">
        <f>IF(T72,T87,IF(V72,V87,S79))</f>
        <v>1156.9377403644455</v>
      </c>
      <c r="W79" s="67"/>
      <c r="X79" s="67"/>
      <c r="Y79" s="67">
        <f>IF(W72,W87,IF(Y72,Y87,V79))</f>
        <v>1156.9377403644455</v>
      </c>
      <c r="Z79" s="67"/>
      <c r="AA79" s="67"/>
      <c r="AB79" s="67">
        <f>IF(Z72,Z87,IF(AB72,AB87,Y79))</f>
        <v>1156.9377403644455</v>
      </c>
      <c r="AC79" s="67"/>
      <c r="AD79" s="67"/>
      <c r="AE79" s="67">
        <f>IF(AC72,AC87,IF(AE72,AE87,AB79))</f>
        <v>1156.9377403644455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Kidz Power Intense RH</v>
      </c>
      <c r="AU79" s="63">
        <f>AE79</f>
        <v>1156.9377403644455</v>
      </c>
      <c r="AW79" s="66"/>
    </row>
    <row r="80" spans="1:49" s="63" customFormat="1" hidden="1" x14ac:dyDescent="0.2">
      <c r="A80" s="67">
        <v>2</v>
      </c>
      <c r="B80" s="67" t="str">
        <f>E10</f>
        <v>SC Midlands KP Garnet</v>
      </c>
      <c r="C80" s="67">
        <f>VLOOKUP(B80,AU$3:AW$33,3,FALSE)</f>
        <v>1211.4389130921036</v>
      </c>
      <c r="D80" s="67">
        <f>IF(B73,B87,IF(D73,D87,C80))</f>
        <v>1193.1945099002673</v>
      </c>
      <c r="E80" s="67"/>
      <c r="F80" s="67"/>
      <c r="G80" s="67">
        <f>IF(E73,E87,IF(G73,G87,D80))</f>
        <v>1193.1945099002673</v>
      </c>
      <c r="H80" s="67"/>
      <c r="I80" s="67"/>
      <c r="J80" s="67">
        <f>IF(H73,H87,IF(J73,J87,G80))</f>
        <v>1177.9062620738607</v>
      </c>
      <c r="K80" s="67"/>
      <c r="L80" s="67"/>
      <c r="M80" s="67">
        <f>IF(K73,K87,IF(M73,M87,J80))</f>
        <v>1177.9062620738607</v>
      </c>
      <c r="N80" s="67"/>
      <c r="O80" s="67"/>
      <c r="P80" s="67">
        <f>IF(N73,N87,IF(P73,P87,M80))</f>
        <v>1177.9062620738607</v>
      </c>
      <c r="Q80" s="67"/>
      <c r="R80" s="67"/>
      <c r="S80" s="67">
        <f>IF(Q73,Q87,IF(S73,S87,P80))</f>
        <v>1160.1293279867637</v>
      </c>
      <c r="T80" s="67"/>
      <c r="U80" s="67"/>
      <c r="V80" s="67">
        <f>IF(T73,T87,IF(V73,V87,S80))</f>
        <v>1160.1293279867637</v>
      </c>
      <c r="W80" s="67"/>
      <c r="X80" s="67"/>
      <c r="Y80" s="67">
        <f>IF(W73,W87,IF(Y73,Y87,V80))</f>
        <v>1160.1293279867637</v>
      </c>
      <c r="Z80" s="67"/>
      <c r="AA80" s="67"/>
      <c r="AB80" s="67">
        <f>IF(Z73,Z87,IF(AB73,AB87,Y80))</f>
        <v>1160.1293279867637</v>
      </c>
      <c r="AC80" s="67"/>
      <c r="AD80" s="67"/>
      <c r="AE80" s="67">
        <f>IF(AC73,AC87,IF(AE73,AE87,AB80))</f>
        <v>1160.1293279867637</v>
      </c>
      <c r="AF80" s="4"/>
      <c r="AG80" s="4"/>
      <c r="AJ80" s="4"/>
      <c r="AL80" s="4"/>
      <c r="AM80" s="4"/>
      <c r="AN80" s="4"/>
      <c r="AO80" s="4"/>
      <c r="AT80" s="63" t="str">
        <f>B80</f>
        <v>SC Midlands KP Garnet</v>
      </c>
      <c r="AU80" s="63">
        <f>AE80</f>
        <v>1160.1293279867637</v>
      </c>
      <c r="AW80" s="66"/>
    </row>
    <row r="81" spans="1:49" s="63" customFormat="1" hidden="1" x14ac:dyDescent="0.2">
      <c r="A81" s="67">
        <v>3</v>
      </c>
      <c r="B81" s="67" t="str">
        <f>E12</f>
        <v>USA 12's Pink</v>
      </c>
      <c r="C81" s="67">
        <f>VLOOKUP(B81,AU$3:AW$33,3,FALSE)</f>
        <v>1162.3788236220796</v>
      </c>
      <c r="D81" s="67">
        <f>IF(B74,B87,IF(D74,D87,C81))</f>
        <v>1180.6232268139158</v>
      </c>
      <c r="E81" s="67"/>
      <c r="F81" s="67"/>
      <c r="G81" s="67">
        <f>IF(E74,E87,IF(G74,G87,D81))</f>
        <v>1180.6232268139158</v>
      </c>
      <c r="H81" s="67"/>
      <c r="I81" s="67"/>
      <c r="J81" s="67">
        <f>IF(H74,H87,IF(J74,J87,G81))</f>
        <v>1180.6232268139158</v>
      </c>
      <c r="K81" s="67"/>
      <c r="L81" s="67"/>
      <c r="M81" s="67">
        <f>IF(K74,K87,IF(M74,M87,J81))</f>
        <v>1178.6325044883677</v>
      </c>
      <c r="N81" s="67"/>
      <c r="O81" s="67"/>
      <c r="P81" s="67">
        <f>IF(N74,N87,IF(P74,P87,M81))</f>
        <v>1164.7076277056995</v>
      </c>
      <c r="Q81" s="67"/>
      <c r="R81" s="67"/>
      <c r="S81" s="67">
        <f>IF(Q74,Q87,IF(S74,S87,P81))</f>
        <v>1164.7076277056995</v>
      </c>
      <c r="T81" s="67"/>
      <c r="U81" s="67"/>
      <c r="V81" s="67">
        <f>IF(T74,T87,IF(V74,V87,S81))</f>
        <v>1164.7076277056995</v>
      </c>
      <c r="W81" s="67"/>
      <c r="X81" s="67"/>
      <c r="Y81" s="67">
        <f>IF(W74,W87,IF(Y74,Y87,V81))</f>
        <v>1164.7076277056995</v>
      </c>
      <c r="Z81" s="67"/>
      <c r="AA81" s="67"/>
      <c r="AB81" s="67">
        <f>IF(Z74,Z87,IF(AB74,AB87,Y81))</f>
        <v>1164.7076277056995</v>
      </c>
      <c r="AC81" s="67"/>
      <c r="AD81" s="67"/>
      <c r="AE81" s="67">
        <f>IF(AC74,AC87,IF(AE74,AE87,AB81))</f>
        <v>1164.7076277056995</v>
      </c>
      <c r="AF81" s="4"/>
      <c r="AG81" s="4"/>
      <c r="AJ81" s="4"/>
      <c r="AL81" s="4"/>
      <c r="AM81" s="4"/>
      <c r="AN81" s="4"/>
      <c r="AO81" s="4"/>
      <c r="AT81" s="63" t="str">
        <f>B81</f>
        <v>USA 12's Pink</v>
      </c>
      <c r="AU81" s="63">
        <f>AE81</f>
        <v>1164.7076277056995</v>
      </c>
      <c r="AW81" s="66"/>
    </row>
    <row r="82" spans="1:49" s="63" customFormat="1" hidden="1" x14ac:dyDescent="0.2">
      <c r="A82" s="67">
        <v>4</v>
      </c>
      <c r="B82" s="67" t="str">
        <f>E14</f>
        <v>Foothills 12 Kim</v>
      </c>
      <c r="C82" s="67">
        <f>VLOOKUP(B82,AU$3:AW$33,3,FALSE)</f>
        <v>1212.2197750275632</v>
      </c>
      <c r="D82" s="67">
        <f>IF(B75,B87,IF(D75,D87,C82))</f>
        <v>1212.2197750275632</v>
      </c>
      <c r="E82" s="67"/>
      <c r="F82" s="67"/>
      <c r="G82" s="67">
        <f>IF(E75,E87,IF(G75,G87,D82))</f>
        <v>1208.6602189142434</v>
      </c>
      <c r="H82" s="67"/>
      <c r="I82" s="67"/>
      <c r="J82" s="67">
        <f>IF(H75,H87,IF(J75,J87,G82))</f>
        <v>1223.94846674065</v>
      </c>
      <c r="K82" s="67"/>
      <c r="L82" s="67"/>
      <c r="M82" s="67">
        <f>IF(K75,K87,IF(M75,M87,J82))</f>
        <v>1223.94846674065</v>
      </c>
      <c r="N82" s="67"/>
      <c r="O82" s="67"/>
      <c r="P82" s="67">
        <f>IF(N75,N87,IF(P75,P87,M82))</f>
        <v>1237.8733435233182</v>
      </c>
      <c r="Q82" s="67"/>
      <c r="R82" s="67"/>
      <c r="S82" s="67">
        <f>IF(Q75,Q87,IF(S75,S87,P82))</f>
        <v>1237.8733435233182</v>
      </c>
      <c r="T82" s="67"/>
      <c r="U82" s="67"/>
      <c r="V82" s="67">
        <f>IF(T75,T87,IF(V75,V87,S82))</f>
        <v>1237.8733435233182</v>
      </c>
      <c r="W82" s="67"/>
      <c r="X82" s="67"/>
      <c r="Y82" s="67">
        <f>IF(W75,W87,IF(Y75,Y87,V82))</f>
        <v>1237.8733435233182</v>
      </c>
      <c r="Z82" s="67"/>
      <c r="AA82" s="67"/>
      <c r="AB82" s="67">
        <f>IF(Z75,Z87,IF(AB75,AB87,Y82))</f>
        <v>1237.8733435233182</v>
      </c>
      <c r="AC82" s="67"/>
      <c r="AD82" s="67"/>
      <c r="AE82" s="67">
        <f>IF(AC75,AC87,IF(AE75,AE87,AB82))</f>
        <v>1237.8733435233182</v>
      </c>
      <c r="AF82" s="4"/>
      <c r="AG82" s="4"/>
      <c r="AJ82" s="4"/>
      <c r="AL82" s="4"/>
      <c r="AM82" s="4"/>
      <c r="AN82" s="4"/>
      <c r="AO82" s="4"/>
      <c r="AT82" s="63" t="str">
        <f>B82</f>
        <v>Foothills 12 Kim</v>
      </c>
      <c r="AU82" s="63">
        <f>AE82</f>
        <v>1237.8733435233182</v>
      </c>
      <c r="AW82" s="66"/>
    </row>
    <row r="83" spans="1:49" s="63" customFormat="1" hidden="1" x14ac:dyDescent="0.2">
      <c r="A83" s="67">
        <v>5</v>
      </c>
      <c r="B83" s="67" t="e">
        <f>E16</f>
        <v>#REF!</v>
      </c>
      <c r="C83" s="67" t="e">
        <f>VLOOKUP(B83,AU$3:AW$33,3,FALSE)</f>
        <v>#REF!</v>
      </c>
      <c r="D83" s="67" t="e">
        <f>IF(B76,B87,IF(D76,D87,C83))</f>
        <v>#REF!</v>
      </c>
      <c r="E83" s="67"/>
      <c r="F83" s="67"/>
      <c r="G83" s="67" t="e">
        <f>IF(E76,E87,IF(G76,G87,D83))</f>
        <v>#REF!</v>
      </c>
      <c r="H83" s="67"/>
      <c r="I83" s="67"/>
      <c r="J83" s="67" t="e">
        <f>IF(H76,H87,IF(J76,J87,G83))</f>
        <v>#REF!</v>
      </c>
      <c r="K83" s="67"/>
      <c r="L83" s="67"/>
      <c r="M83" s="67" t="e">
        <f>IF(K76,K87,IF(M76,M87,J83))</f>
        <v>#REF!</v>
      </c>
      <c r="N83" s="67"/>
      <c r="O83" s="67"/>
      <c r="P83" s="67" t="e">
        <f>IF(N76,N87,IF(P76,P87,M83))</f>
        <v>#REF!</v>
      </c>
      <c r="Q83" s="67"/>
      <c r="R83" s="67"/>
      <c r="S83" s="67" t="e">
        <f>IF(Q76,Q87,IF(S76,S87,P83))</f>
        <v>#REF!</v>
      </c>
      <c r="T83" s="67"/>
      <c r="U83" s="67"/>
      <c r="V83" s="67" t="e">
        <f>IF(T76,T87,IF(V76,V87,S83))</f>
        <v>#REF!</v>
      </c>
      <c r="W83" s="67"/>
      <c r="X83" s="67"/>
      <c r="Y83" s="67" t="e">
        <f>IF(W76,W87,IF(Y76,Y87,V83))</f>
        <v>#REF!</v>
      </c>
      <c r="Z83" s="67"/>
      <c r="AA83" s="67"/>
      <c r="AB83" s="67" t="e">
        <f>IF(Z76,Z87,IF(AB76,AB87,Y83))</f>
        <v>#REF!</v>
      </c>
      <c r="AC83" s="67"/>
      <c r="AD83" s="67"/>
      <c r="AE83" s="67" t="e">
        <f>IF(AC76,AC87,IF(AE76,AE87,AB83))</f>
        <v>#REF!</v>
      </c>
      <c r="AF83" s="4"/>
      <c r="AG83" s="4"/>
      <c r="AJ83" s="4"/>
      <c r="AL83" s="4"/>
      <c r="AM83" s="4"/>
      <c r="AN83" s="4"/>
      <c r="AO83" s="4"/>
      <c r="AT83" s="63" t="e">
        <f>B83</f>
        <v>#REF!</v>
      </c>
      <c r="AU83" s="63" t="e">
        <f>AE83</f>
        <v>#REF!</v>
      </c>
      <c r="AW83" s="66"/>
    </row>
    <row r="84" spans="1:49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</row>
    <row r="85" spans="1:49" s="63" customFormat="1" hidden="1" x14ac:dyDescent="0.2">
      <c r="A85" s="67" t="s">
        <v>116</v>
      </c>
      <c r="B85" s="67">
        <f>VLOOKUP(B24,$A79:$AE83,3,FALSE)</f>
        <v>1211.4389130921036</v>
      </c>
      <c r="C85" s="67">
        <v>1</v>
      </c>
      <c r="D85" s="67">
        <f>VLOOKUP(D24,$A79:$AE83,3,FALSE)</f>
        <v>1162.3788236220796</v>
      </c>
      <c r="E85" s="67">
        <f>VLOOKUP(E24,$A79:$AE83,4,FALSE)</f>
        <v>1133.6105278384805</v>
      </c>
      <c r="F85" s="67">
        <v>2</v>
      </c>
      <c r="G85" s="67">
        <f>VLOOKUP(G24,$A79:$AE83,4,FALSE)</f>
        <v>1212.2197750275632</v>
      </c>
      <c r="H85" s="67">
        <f>VLOOKUP(H24,$A79:$AE83,7,FALSE)</f>
        <v>1193.1945099002673</v>
      </c>
      <c r="I85" s="67">
        <v>3</v>
      </c>
      <c r="J85" s="67">
        <f>VLOOKUP(J24,$A79:$AE83,7,FALSE)</f>
        <v>1208.6602189142434</v>
      </c>
      <c r="K85" s="67">
        <f>VLOOKUP(K24,$A79:$AE83,10,FALSE)</f>
        <v>1137.1700839518003</v>
      </c>
      <c r="L85" s="67">
        <v>4</v>
      </c>
      <c r="M85" s="67">
        <f>VLOOKUP(M24,$A79:$AE83,10,FALSE)</f>
        <v>1180.6232268139158</v>
      </c>
      <c r="N85" s="67">
        <f>VLOOKUP(N24,$A79:$AE83,13,FALSE)</f>
        <v>1178.6325044883677</v>
      </c>
      <c r="O85" s="67">
        <v>5</v>
      </c>
      <c r="P85" s="67">
        <f>VLOOKUP(P24,$A79:$AE83,13,FALSE)</f>
        <v>1223.94846674065</v>
      </c>
      <c r="Q85" s="67">
        <f>VLOOKUP(Q24,$A79:$AE83,16,FALSE)</f>
        <v>1139.1608062773485</v>
      </c>
      <c r="R85" s="67">
        <v>6</v>
      </c>
      <c r="S85" s="67">
        <f>VLOOKUP(S24,$A79:$AE83,16,FALSE)</f>
        <v>1177.9062620738607</v>
      </c>
      <c r="T85" s="67" t="e">
        <f>VLOOKUP(T24,$A79:$AE83,19,FALSE)</f>
        <v>#N/A</v>
      </c>
      <c r="U85" s="67">
        <v>7</v>
      </c>
      <c r="V85" s="67" t="e">
        <f>VLOOKUP(V24,$A79:$AE83,19,FALSE)</f>
        <v>#N/A</v>
      </c>
      <c r="W85" s="67" t="e">
        <f>VLOOKUP(W24,$A79:$AE83,22,FALSE)</f>
        <v>#N/A</v>
      </c>
      <c r="X85" s="67">
        <v>8</v>
      </c>
      <c r="Y85" s="67" t="e">
        <f>VLOOKUP(Y24,$A79:$AE83,22,FALSE)</f>
        <v>#N/A</v>
      </c>
      <c r="Z85" s="67" t="e">
        <f>VLOOKUP(Z24,$A79:$AE83,25,FALSE)</f>
        <v>#N/A</v>
      </c>
      <c r="AA85" s="67">
        <v>9</v>
      </c>
      <c r="AB85" s="67" t="e">
        <f>VLOOKUP(AB24,$A79:$AE83,25,FALSE)</f>
        <v>#N/A</v>
      </c>
      <c r="AC85" s="67" t="e">
        <f>VLOOKUP(AC24,$A79:$AE83,28,FALSE)</f>
        <v>#N/A</v>
      </c>
      <c r="AD85" s="67">
        <v>10</v>
      </c>
      <c r="AE85" s="67" t="e">
        <f>VLOOKUP(AE24,$A79:$AE83,28,FALSE)</f>
        <v>#N/A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</row>
    <row r="86" spans="1:49" s="72" customFormat="1" hidden="1" x14ac:dyDescent="0.2">
      <c r="A86" s="68" t="s">
        <v>117</v>
      </c>
      <c r="B86" s="68">
        <f>1/(1+(10^-((B85-D85)/400)))*(B36+D36)</f>
        <v>1.1402751994897575</v>
      </c>
      <c r="C86" s="68"/>
      <c r="D86" s="68">
        <f>1/(1+(10^-((D85-B85)/400)))*(B36+D36)</f>
        <v>0.85972480051024225</v>
      </c>
      <c r="E86" s="68">
        <f>1/(1+(10^-((E85-G85)/400)))*(E36+G36)</f>
        <v>0.77752774291750681</v>
      </c>
      <c r="F86" s="68"/>
      <c r="G86" s="68">
        <f>1/(1+(10^-((G85-E85)/400)))*(E36+G36)</f>
        <v>1.2224722570824931</v>
      </c>
      <c r="H86" s="68">
        <f>1/(1+(10^-((H85-J85)/400)))*(H36+J36)</f>
        <v>0.95551548915040796</v>
      </c>
      <c r="I86" s="68"/>
      <c r="J86" s="68">
        <f>1/(1+(10^-((J85-H85)/400)))*(H36+J36)</f>
        <v>1.0444845108495919</v>
      </c>
      <c r="K86" s="68">
        <f>1/(1+(10^-((K85-M85)/400)))*(K36+M36)</f>
        <v>0.87557985465323573</v>
      </c>
      <c r="L86" s="68"/>
      <c r="M86" s="68">
        <f>1/(1+(10^-((M85-K85)/400)))*(K36+M36)</f>
        <v>1.1244201453467644</v>
      </c>
      <c r="N86" s="68">
        <f>1/(1+(10^-((N85-P85)/400)))*(N36+P36)</f>
        <v>0.87030479891675905</v>
      </c>
      <c r="O86" s="68"/>
      <c r="P86" s="68">
        <f>1/(1+(10^-((P85-N85)/400)))*(N36+P36)</f>
        <v>1.1296952010832408</v>
      </c>
      <c r="Q86" s="68">
        <f>1/(1+(10^-((Q85-S85)/400)))*(Q36+S36)</f>
        <v>0.8889416195564297</v>
      </c>
      <c r="R86" s="68"/>
      <c r="S86" s="68">
        <f>1/(1+(10^-((S85-Q85)/400)))*(Q36+S36)</f>
        <v>1.1110583804435703</v>
      </c>
      <c r="T86" s="68" t="e">
        <f>1/(1+(10^-((T85-V85)/400)))*(T36+V36)</f>
        <v>#N/A</v>
      </c>
      <c r="U86" s="68"/>
      <c r="V86" s="68" t="e">
        <f>1/(1+(10^-((V85-T85)/400)))*(T36+V36)</f>
        <v>#N/A</v>
      </c>
      <c r="W86" s="68" t="e">
        <f>1/(1+(10^-((W85-Y85)/400)))*(W36+Y36)</f>
        <v>#N/A</v>
      </c>
      <c r="X86" s="68"/>
      <c r="Y86" s="68" t="e">
        <f>1/(1+(10^-((Y85-W85)/400)))*(W36+Y36)</f>
        <v>#N/A</v>
      </c>
      <c r="Z86" s="68" t="e">
        <f>1/(1+(10^-((Z85-AB85)/400)))*(Z36+AB36)</f>
        <v>#N/A</v>
      </c>
      <c r="AA86" s="68"/>
      <c r="AB86" s="68" t="e">
        <f>1/(1+(10^-((AB85-Z85)/400)))*(Z36+AB36)</f>
        <v>#N/A</v>
      </c>
      <c r="AC86" s="68" t="e">
        <f>1/(1+(10^-((AC85-AE85)/400)))*(AC36+AE36)</f>
        <v>#N/A</v>
      </c>
      <c r="AD86" s="68"/>
      <c r="AE86" s="68" t="e">
        <f>1/(1+(10^-((AE85-AC85)/400)))*(AC36+AE36)</f>
        <v>#N/A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</row>
    <row r="87" spans="1:49" s="78" customFormat="1" hidden="1" x14ac:dyDescent="0.2">
      <c r="A87" s="74" t="s">
        <v>118</v>
      </c>
      <c r="B87" s="74">
        <f>B85+(B36-B86)*$BA$1</f>
        <v>1193.1945099002673</v>
      </c>
      <c r="C87" s="74"/>
      <c r="D87" s="74">
        <f>D85+(D36-D86)*$BA$1</f>
        <v>1180.6232268139158</v>
      </c>
      <c r="E87" s="74">
        <f>E85+(E36-E86)*$BA$1</f>
        <v>1137.1700839518003</v>
      </c>
      <c r="F87" s="74"/>
      <c r="G87" s="74">
        <f>G85+(G36-G86)*$BA$1</f>
        <v>1208.6602189142434</v>
      </c>
      <c r="H87" s="74">
        <f>H85+(H36-H86)*$BA$1</f>
        <v>1177.9062620738607</v>
      </c>
      <c r="I87" s="74"/>
      <c r="J87" s="74">
        <f>J85+(J36-J86)*$BA$1</f>
        <v>1223.94846674065</v>
      </c>
      <c r="K87" s="74">
        <f>K85+(K36-K86)*$BA$1</f>
        <v>1139.1608062773485</v>
      </c>
      <c r="L87" s="74"/>
      <c r="M87" s="74">
        <f>M85+(M36-M86)*$BA$1</f>
        <v>1178.6325044883677</v>
      </c>
      <c r="N87" s="74">
        <f>N85+(N36-N86)*$BA$1</f>
        <v>1164.7076277056995</v>
      </c>
      <c r="O87" s="74"/>
      <c r="P87" s="74">
        <f>P85+(P36-P86)*$BA$1</f>
        <v>1237.8733435233182</v>
      </c>
      <c r="Q87" s="74">
        <f>Q85+(Q36-Q86)*$BA$1</f>
        <v>1156.9377403644455</v>
      </c>
      <c r="R87" s="74"/>
      <c r="S87" s="74">
        <f>S85+(S36-S86)*$BA$1</f>
        <v>1160.1293279867637</v>
      </c>
      <c r="T87" s="74" t="e">
        <f>T85+(T36-T86)*$BA$1</f>
        <v>#N/A</v>
      </c>
      <c r="U87" s="74"/>
      <c r="V87" s="74" t="e">
        <f>V85+(V36-V86)*$BA$1</f>
        <v>#N/A</v>
      </c>
      <c r="W87" s="74" t="e">
        <f>W85+(W36-W86)*$BA$1</f>
        <v>#N/A</v>
      </c>
      <c r="X87" s="74"/>
      <c r="Y87" s="74" t="e">
        <f>Y85+(Y36-Y86)*$BA$1</f>
        <v>#N/A</v>
      </c>
      <c r="Z87" s="74" t="e">
        <f>Z85+(Z36-Z86)*$BA$1</f>
        <v>#N/A</v>
      </c>
      <c r="AA87" s="74"/>
      <c r="AB87" s="74" t="e">
        <f>AB85+(AB36-AB86)*$BA$1</f>
        <v>#N/A</v>
      </c>
      <c r="AC87" s="74" t="e">
        <f>AC85+(AC36-AC86)*$BA$1</f>
        <v>#N/A</v>
      </c>
      <c r="AD87" s="74"/>
      <c r="AE87" s="74" t="e">
        <f>AE85+(AE36-AE86)*$BA$1</f>
        <v>#N/A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</row>
    <row r="88" spans="1:49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T88" s="79"/>
    </row>
    <row r="89" spans="1:49" s="63" customFormat="1" hidden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</row>
    <row r="90" spans="1:49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</row>
    <row r="91" spans="1:49" ht="24" customHeight="1" thickBot="1" x14ac:dyDescent="0.25">
      <c r="A91" s="22" t="s">
        <v>35</v>
      </c>
      <c r="B91" s="23" t="s">
        <v>1015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332" t="str">
        <f>"Pool "&amp;B91&amp;" - Round 1 - Court "&amp;I91</f>
        <v>Pool BB - Round 1 - Court 2</v>
      </c>
      <c r="L91" s="333"/>
      <c r="M91" s="333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  <c r="AA91" s="333"/>
      <c r="AB91" s="333"/>
      <c r="AC91" s="333"/>
      <c r="AD91" s="333"/>
      <c r="AE91" s="333"/>
      <c r="AF91" s="333"/>
      <c r="AG91" s="333"/>
      <c r="AH91" s="333"/>
      <c r="AI91" s="334"/>
      <c r="AJ91" s="182"/>
      <c r="AK91" s="182"/>
      <c r="AL91" s="182"/>
      <c r="AM91" s="182"/>
      <c r="AN91" s="182"/>
      <c r="AO91" s="182"/>
      <c r="AP91" s="182"/>
      <c r="AQ91" s="182"/>
    </row>
    <row r="92" spans="1:49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Matches Won</v>
      </c>
      <c r="M92" s="255"/>
      <c r="N92" s="255"/>
      <c r="O92" s="255"/>
      <c r="P92" s="255"/>
      <c r="Q92" s="256"/>
      <c r="R92" s="254" t="str">
        <f>IF($AK95=0,"Games Lost","Matches Lost")</f>
        <v>Matches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49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Kershaw Dev 12 Black</v>
      </c>
      <c r="F93" s="233"/>
      <c r="G93" s="233"/>
      <c r="H93" s="233"/>
      <c r="I93" s="233"/>
      <c r="J93" s="233"/>
      <c r="K93" s="234"/>
      <c r="L93" s="235">
        <f>IF($AK95=0,AF149,AF131)</f>
        <v>2</v>
      </c>
      <c r="M93" s="236"/>
      <c r="N93" s="236"/>
      <c r="O93" s="236"/>
      <c r="P93" s="236"/>
      <c r="Q93" s="256"/>
      <c r="R93" s="235">
        <f>IF($AK95=0,AG149,AG131)</f>
        <v>1</v>
      </c>
      <c r="S93" s="236"/>
      <c r="T93" s="236"/>
      <c r="U93" s="236"/>
      <c r="V93" s="236"/>
      <c r="W93" s="235">
        <f>AQ109</f>
        <v>20</v>
      </c>
      <c r="X93" s="236"/>
      <c r="Y93" s="236"/>
      <c r="Z93" s="239">
        <f>IF(AF143&gt;0,(AQ109/AF143),0)</f>
        <v>0.16260162601626016</v>
      </c>
      <c r="AA93" s="240"/>
      <c r="AB93" s="240"/>
      <c r="AC93" s="262">
        <f>IF(AF157=0,0,(AF149/AF157))</f>
        <v>0.66666666666666663</v>
      </c>
      <c r="AD93" s="263"/>
      <c r="AE93" s="264"/>
      <c r="AF93" s="268">
        <v>2</v>
      </c>
      <c r="AG93" s="268">
        <v>1</v>
      </c>
      <c r="AH93" s="270">
        <v>6</v>
      </c>
      <c r="AI93" s="271"/>
      <c r="AJ93" s="27"/>
      <c r="AK93" s="28">
        <v>6</v>
      </c>
      <c r="AL93" s="29" t="s">
        <v>49</v>
      </c>
      <c r="AM93" s="29"/>
      <c r="AN93" s="29"/>
      <c r="AO93" s="29"/>
      <c r="AP93" s="29"/>
      <c r="AQ93" s="29"/>
      <c r="AR93" s="30"/>
    </row>
    <row r="94" spans="1:49" ht="18.75" customHeight="1" thickBot="1" x14ac:dyDescent="0.25">
      <c r="A94" s="228"/>
      <c r="B94" s="274" t="s">
        <v>11</v>
      </c>
      <c r="C94" s="275"/>
      <c r="D94" s="276"/>
      <c r="E94" s="277" t="str">
        <f>AV4</f>
        <v>fj2kersh3pm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4</v>
      </c>
      <c r="AL94" s="29" t="s">
        <v>52</v>
      </c>
      <c r="AM94" s="27"/>
      <c r="AN94" s="27"/>
      <c r="AO94" s="27"/>
      <c r="AP94" s="27"/>
      <c r="AQ94" s="27"/>
      <c r="AR94" s="3"/>
    </row>
    <row r="95" spans="1:49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Foothills 12 Steph</v>
      </c>
      <c r="F95" s="233"/>
      <c r="G95" s="233"/>
      <c r="H95" s="233"/>
      <c r="I95" s="233"/>
      <c r="J95" s="233"/>
      <c r="K95" s="234"/>
      <c r="L95" s="235">
        <f>IF($AK95=0,AF150,AF132)</f>
        <v>1</v>
      </c>
      <c r="M95" s="236"/>
      <c r="N95" s="236"/>
      <c r="O95" s="236"/>
      <c r="P95" s="236"/>
      <c r="Q95" s="256"/>
      <c r="R95" s="235">
        <f>IF($AK95=0,AG150,AG132)</f>
        <v>2</v>
      </c>
      <c r="S95" s="236"/>
      <c r="T95" s="236"/>
      <c r="U95" s="236"/>
      <c r="V95" s="236"/>
      <c r="W95" s="235">
        <f>AQ110</f>
        <v>-3</v>
      </c>
      <c r="X95" s="236"/>
      <c r="Y95" s="236"/>
      <c r="Z95" s="239">
        <f>IF(AF144&gt;0,(AQ110/AF144),0)</f>
        <v>-2.7777777777777776E-2</v>
      </c>
      <c r="AA95" s="240"/>
      <c r="AB95" s="240"/>
      <c r="AC95" s="262">
        <f>IF(AF158=0,0,(AF150/AF158))</f>
        <v>0.33333333333333331</v>
      </c>
      <c r="AD95" s="263"/>
      <c r="AE95" s="264"/>
      <c r="AF95" s="268">
        <v>3</v>
      </c>
      <c r="AG95" s="268">
        <v>1</v>
      </c>
      <c r="AH95" s="270">
        <v>4</v>
      </c>
      <c r="AI95" s="271"/>
      <c r="AJ95" s="27"/>
      <c r="AK95" s="28">
        <v>1</v>
      </c>
      <c r="AL95" s="29" t="s">
        <v>55</v>
      </c>
      <c r="AM95" s="29"/>
      <c r="AN95" s="29"/>
      <c r="AO95" s="29"/>
      <c r="AP95" s="29"/>
      <c r="AQ95" s="29"/>
      <c r="AR95" s="30"/>
    </row>
    <row r="96" spans="1:49" ht="18.75" customHeight="1" thickBot="1" x14ac:dyDescent="0.25">
      <c r="A96" s="228"/>
      <c r="B96" s="284" t="s">
        <v>11</v>
      </c>
      <c r="C96" s="285"/>
      <c r="D96" s="285"/>
      <c r="E96" s="277" t="str">
        <f>AV5</f>
        <v>fj2footh2pm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Kershaw Dev 12 White</v>
      </c>
      <c r="F97" s="233"/>
      <c r="G97" s="233"/>
      <c r="H97" s="233"/>
      <c r="I97" s="233"/>
      <c r="J97" s="233"/>
      <c r="K97" s="234"/>
      <c r="L97" s="235">
        <f>IF($AK95=0,AF151,AF133)</f>
        <v>0</v>
      </c>
      <c r="M97" s="236"/>
      <c r="N97" s="236"/>
      <c r="O97" s="236"/>
      <c r="P97" s="236"/>
      <c r="Q97" s="256"/>
      <c r="R97" s="235">
        <f>IF($AK95=0,AG151,AG133)</f>
        <v>3</v>
      </c>
      <c r="S97" s="236"/>
      <c r="T97" s="236"/>
      <c r="U97" s="236"/>
      <c r="V97" s="236"/>
      <c r="W97" s="235">
        <f>AQ111</f>
        <v>-70</v>
      </c>
      <c r="X97" s="236"/>
      <c r="Y97" s="236"/>
      <c r="Z97" s="239">
        <f>IF(AF145&gt;0,(AQ111/AF145),0)</f>
        <v>-0.49295774647887325</v>
      </c>
      <c r="AA97" s="240"/>
      <c r="AB97" s="240"/>
      <c r="AC97" s="262">
        <f>IF(AF159=0,0,(AF151/AF159))</f>
        <v>0</v>
      </c>
      <c r="AD97" s="263"/>
      <c r="AE97" s="264"/>
      <c r="AF97" s="268">
        <v>4</v>
      </c>
      <c r="AG97" s="268">
        <v>1</v>
      </c>
      <c r="AH97" s="270">
        <v>5</v>
      </c>
      <c r="AI97" s="271"/>
      <c r="AJ97" s="31"/>
      <c r="AK97" s="28">
        <v>4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fj2kersh4pm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Magnum Youth Academy</v>
      </c>
      <c r="F99" s="233"/>
      <c r="G99" s="233"/>
      <c r="H99" s="233"/>
      <c r="I99" s="233"/>
      <c r="J99" s="233"/>
      <c r="K99" s="234"/>
      <c r="L99" s="235">
        <f>IF($AK95=0,AF152,AF134)</f>
        <v>3</v>
      </c>
      <c r="M99" s="236"/>
      <c r="N99" s="236"/>
      <c r="O99" s="236"/>
      <c r="P99" s="236"/>
      <c r="Q99" s="256"/>
      <c r="R99" s="235">
        <f>IF($AK95=0,AG152,AG134)</f>
        <v>0</v>
      </c>
      <c r="S99" s="236"/>
      <c r="T99" s="236"/>
      <c r="U99" s="236"/>
      <c r="V99" s="236"/>
      <c r="W99" s="235">
        <f>AQ112</f>
        <v>53</v>
      </c>
      <c r="X99" s="236"/>
      <c r="Y99" s="236"/>
      <c r="Z99" s="239">
        <f>IF(AF146&gt;0,(AQ112/AF146),0)</f>
        <v>0.38129496402877699</v>
      </c>
      <c r="AA99" s="240"/>
      <c r="AB99" s="240"/>
      <c r="AC99" s="262">
        <f>IF(AF160=0,0,(AF152/AF160))</f>
        <v>1</v>
      </c>
      <c r="AD99" s="263"/>
      <c r="AE99" s="264"/>
      <c r="AF99" s="268">
        <v>1</v>
      </c>
      <c r="AG99" s="268"/>
      <c r="AH99" s="270"/>
      <c r="AI99" s="271"/>
      <c r="AJ99" s="182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fj2magnm6pm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182"/>
      <c r="AK100" s="37"/>
      <c r="AL100" s="37"/>
      <c r="AM100" s="37"/>
      <c r="AN100" s="37"/>
      <c r="AO100" s="37"/>
      <c r="AP100" s="37"/>
      <c r="AQ100" s="182"/>
      <c r="AR100" s="3"/>
    </row>
    <row r="101" spans="1:44" ht="18.75" customHeight="1" x14ac:dyDescent="0.2">
      <c r="A101" s="227" t="str">
        <f>IF($AK94&gt;4,"5","")</f>
        <v/>
      </c>
      <c r="B101" s="286" t="s">
        <v>10</v>
      </c>
      <c r="C101" s="287"/>
      <c r="D101" s="287"/>
      <c r="E101" s="300" t="e">
        <f>#REF!</f>
        <v>#REF!</v>
      </c>
      <c r="F101" s="301"/>
      <c r="G101" s="301"/>
      <c r="H101" s="301"/>
      <c r="I101" s="301"/>
      <c r="J101" s="301"/>
      <c r="K101" s="302"/>
      <c r="L101" s="235">
        <f>IF($AK95=0,AF153,AF135)</f>
        <v>0</v>
      </c>
      <c r="M101" s="236"/>
      <c r="N101" s="236"/>
      <c r="O101" s="236"/>
      <c r="P101" s="236"/>
      <c r="Q101" s="256"/>
      <c r="R101" s="235">
        <f>IF($AK95=0,AG153,AG135)</f>
        <v>0</v>
      </c>
      <c r="S101" s="236"/>
      <c r="T101" s="236"/>
      <c r="U101" s="236"/>
      <c r="V101" s="236"/>
      <c r="W101" s="235">
        <f>AQ113</f>
        <v>0</v>
      </c>
      <c r="X101" s="236"/>
      <c r="Y101" s="236"/>
      <c r="Z101" s="239">
        <f>IF(AF147&gt;0,(AQ113/AF147),0)</f>
        <v>0</v>
      </c>
      <c r="AA101" s="240"/>
      <c r="AB101" s="240"/>
      <c r="AC101" s="262">
        <f>IF(AF161=0,0,(AF153/AF161))</f>
        <v>0</v>
      </c>
      <c r="AD101" s="263"/>
      <c r="AE101" s="264"/>
      <c r="AF101" s="268"/>
      <c r="AG101" s="268"/>
      <c r="AH101" s="270"/>
      <c r="AI101" s="271"/>
      <c r="AJ101" s="182"/>
      <c r="AK101" s="37"/>
      <c r="AL101" s="37"/>
      <c r="AM101" s="37"/>
      <c r="AN101" s="37"/>
      <c r="AO101" s="37"/>
      <c r="AP101" s="37"/>
      <c r="AQ101" s="182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298" t="e">
        <f>#REF!</f>
        <v>#REF!</v>
      </c>
      <c r="F102" s="299"/>
      <c r="G102" s="299"/>
      <c r="H102" s="299"/>
      <c r="I102" s="299"/>
      <c r="J102" s="299"/>
      <c r="K102" s="299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182"/>
      <c r="AK102" s="37"/>
      <c r="AL102" s="37"/>
      <c r="AM102" s="37"/>
      <c r="AN102" s="37"/>
      <c r="AO102" s="37"/>
      <c r="AP102" s="37"/>
      <c r="AQ102" s="182"/>
      <c r="AR102" s="3"/>
    </row>
    <row r="103" spans="1:44" ht="21" customHeight="1" thickTop="1" thickBot="1" x14ac:dyDescent="0.25">
      <c r="A103" s="40"/>
      <c r="B103" s="305" t="s">
        <v>1020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182"/>
      <c r="AK103" s="37"/>
      <c r="AL103" s="37"/>
      <c r="AM103" s="37"/>
      <c r="AN103" s="37"/>
      <c r="AO103" s="37"/>
      <c r="AP103" s="37"/>
      <c r="AQ103" s="182"/>
      <c r="AR103" s="3"/>
    </row>
    <row r="104" spans="1:44" ht="13.5" thickTop="1" x14ac:dyDescent="0.2">
      <c r="A104" s="4" t="s">
        <v>66</v>
      </c>
      <c r="B104" s="308">
        <v>0.13541666666666666</v>
      </c>
      <c r="C104" s="309"/>
      <c r="D104" s="310"/>
      <c r="E104" s="308">
        <v>0.16666666666666666</v>
      </c>
      <c r="F104" s="309"/>
      <c r="G104" s="310"/>
      <c r="H104" s="308">
        <v>0.19791666666666666</v>
      </c>
      <c r="I104" s="309"/>
      <c r="J104" s="310"/>
      <c r="K104" s="308"/>
      <c r="L104" s="309"/>
      <c r="M104" s="310"/>
      <c r="N104" s="308"/>
      <c r="O104" s="309"/>
      <c r="P104" s="310"/>
      <c r="Q104" s="308"/>
      <c r="R104" s="309"/>
      <c r="S104" s="310"/>
      <c r="T104" s="308"/>
      <c r="U104" s="309"/>
      <c r="V104" s="310"/>
      <c r="W104" s="308"/>
      <c r="X104" s="309"/>
      <c r="Y104" s="310"/>
      <c r="Z104" s="308"/>
      <c r="AA104" s="309"/>
      <c r="AB104" s="310"/>
      <c r="AC104" s="308"/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/>
      <c r="C105" s="320"/>
      <c r="D105" s="321"/>
      <c r="E105" s="319"/>
      <c r="F105" s="320"/>
      <c r="G105" s="321"/>
      <c r="H105" s="319"/>
      <c r="I105" s="320"/>
      <c r="J105" s="321"/>
      <c r="K105" s="319"/>
      <c r="L105" s="320"/>
      <c r="M105" s="321"/>
      <c r="N105" s="319"/>
      <c r="O105" s="320"/>
      <c r="P105" s="321"/>
      <c r="Q105" s="319"/>
      <c r="R105" s="320"/>
      <c r="S105" s="321"/>
      <c r="T105" s="319"/>
      <c r="U105" s="320"/>
      <c r="V105" s="321"/>
      <c r="W105" s="319"/>
      <c r="X105" s="320"/>
      <c r="Y105" s="321"/>
      <c r="Z105" s="319"/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/>
      <c r="C106" s="320"/>
      <c r="D106" s="321"/>
      <c r="E106" s="319"/>
      <c r="F106" s="320"/>
      <c r="G106" s="321"/>
      <c r="H106" s="319"/>
      <c r="I106" s="320"/>
      <c r="J106" s="321"/>
      <c r="K106" s="319"/>
      <c r="L106" s="320"/>
      <c r="M106" s="321"/>
      <c r="N106" s="319"/>
      <c r="O106" s="320"/>
      <c r="P106" s="321"/>
      <c r="Q106" s="319"/>
      <c r="R106" s="320"/>
      <c r="S106" s="321"/>
      <c r="T106" s="319"/>
      <c r="U106" s="320"/>
      <c r="V106" s="321"/>
      <c r="W106" s="319"/>
      <c r="X106" s="320"/>
      <c r="Y106" s="321"/>
      <c r="Z106" s="319"/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182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/>
      </c>
      <c r="U107" s="323"/>
      <c r="V107" s="324"/>
      <c r="W107" s="322" t="str">
        <f>IF(AK93&gt;7,"Match 8","")</f>
        <v/>
      </c>
      <c r="X107" s="323"/>
      <c r="Y107" s="324"/>
      <c r="Z107" s="322" t="str">
        <f>IF(AK93&gt;8,"Match 9","")</f>
        <v/>
      </c>
      <c r="AA107" s="323"/>
      <c r="AB107" s="324"/>
      <c r="AC107" s="322" t="str">
        <f>IF(AK93&gt;9,"Match 10","")</f>
        <v/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182"/>
      <c r="B108" s="325" t="s">
        <v>73</v>
      </c>
      <c r="C108" s="326"/>
      <c r="D108" s="327"/>
      <c r="E108" s="325" t="s">
        <v>75</v>
      </c>
      <c r="F108" s="326"/>
      <c r="G108" s="327"/>
      <c r="H108" s="325" t="s">
        <v>72</v>
      </c>
      <c r="I108" s="326"/>
      <c r="J108" s="327"/>
      <c r="K108" s="325" t="s">
        <v>71</v>
      </c>
      <c r="L108" s="326"/>
      <c r="M108" s="327"/>
      <c r="N108" s="325" t="s">
        <v>75</v>
      </c>
      <c r="O108" s="326"/>
      <c r="P108" s="327"/>
      <c r="Q108" s="325" t="s">
        <v>72</v>
      </c>
      <c r="R108" s="326"/>
      <c r="S108" s="327"/>
      <c r="T108" s="325"/>
      <c r="U108" s="326"/>
      <c r="V108" s="327"/>
      <c r="W108" s="325"/>
      <c r="X108" s="326"/>
      <c r="Y108" s="327"/>
      <c r="Z108" s="325"/>
      <c r="AA108" s="326"/>
      <c r="AB108" s="327"/>
      <c r="AC108" s="325"/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182"/>
      <c r="B109" s="45">
        <v>2</v>
      </c>
      <c r="C109" s="46" t="s">
        <v>78</v>
      </c>
      <c r="D109" s="47">
        <v>3</v>
      </c>
      <c r="E109" s="45">
        <v>1</v>
      </c>
      <c r="F109" s="46" t="str">
        <f>IF(AK93&gt;1,"v","")</f>
        <v>v</v>
      </c>
      <c r="G109" s="47">
        <v>4</v>
      </c>
      <c r="H109" s="45">
        <v>2</v>
      </c>
      <c r="I109" s="46" t="str">
        <f>IF(AK93&gt;2,"v","")</f>
        <v>v</v>
      </c>
      <c r="J109" s="47">
        <v>4</v>
      </c>
      <c r="K109" s="45">
        <v>1</v>
      </c>
      <c r="L109" s="46" t="str">
        <f>IF(AK93&gt;3,"v","")</f>
        <v>v</v>
      </c>
      <c r="M109" s="47">
        <v>3</v>
      </c>
      <c r="N109" s="45">
        <v>3</v>
      </c>
      <c r="O109" s="46" t="str">
        <f>IF(AK93&gt;4,"v","")</f>
        <v>v</v>
      </c>
      <c r="P109" s="47">
        <v>4</v>
      </c>
      <c r="Q109" s="45">
        <v>1</v>
      </c>
      <c r="R109" s="46" t="str">
        <f>IF(AK93&gt;5,"v","")</f>
        <v>v</v>
      </c>
      <c r="S109" s="47">
        <v>2</v>
      </c>
      <c r="T109" s="45"/>
      <c r="U109" s="46" t="str">
        <f>IF(AK93&gt;6,"v","")</f>
        <v/>
      </c>
      <c r="V109" s="47"/>
      <c r="W109" s="45"/>
      <c r="X109" s="46" t="str">
        <f>IF(AK93&gt;7,"v","")</f>
        <v/>
      </c>
      <c r="Y109" s="47"/>
      <c r="Z109" s="45"/>
      <c r="AA109" s="46" t="str">
        <f>IF(AK93&gt;8,"v","")</f>
        <v/>
      </c>
      <c r="AB109" s="47"/>
      <c r="AC109" s="45"/>
      <c r="AD109" s="46" t="str">
        <f>IF(AK93&gt;9,"v","")</f>
        <v/>
      </c>
      <c r="AE109" s="47"/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-19</v>
      </c>
      <c r="AI109" s="48" t="str">
        <f>IF(AK94&lt;1,"",IF(AK93&lt;3,"",IF(H109=1,H115-J115,IF(J109=1,J115-H115,""))))</f>
        <v/>
      </c>
      <c r="AJ109" s="48">
        <f>IF(AK94&lt;1,"",IF(AK93&lt;4,"",IF(K109=1,K115-M115,IF(M109=1,M115-K115,""))))</f>
        <v>30</v>
      </c>
      <c r="AK109" s="48" t="str">
        <f>IF(AK94&lt;1,"",IF(AK93&lt;5,"",IF(N109=1,N115-P115,IF(P109=1,P115-N115,""))))</f>
        <v/>
      </c>
      <c r="AL109" s="48">
        <f>IF(AK94&lt;1,"",IF(AK93&lt;6,"",IF(Q109=1,Q115-S115,IF(S109=1,S115-Q115,""))))</f>
        <v>9</v>
      </c>
      <c r="AM109" s="48" t="str">
        <f>IF(AK94&lt;1,"",IF(AK93&lt;7,"",IF(T109=1,T115-V115,IF(V109=1,V115-T115,""))))</f>
        <v/>
      </c>
      <c r="AN109" s="48" t="str">
        <f>IF(AK94&lt;1,"",IF(AK93&lt;8,"",IF(W109=1,W115-Y115,IF(Y109=1,Y115-W115,""))))</f>
        <v/>
      </c>
      <c r="AO109" s="48" t="str">
        <f>IF(AK94&lt;1,"",IF(AK93&lt;9,"",IF(Z109=1,Z115-AB115,IF(AB109=1,AB115-Z115,""))))</f>
        <v/>
      </c>
      <c r="AP109" s="48" t="str">
        <f>IF(AK94&lt;1,"",IF(AK93&lt;10,"",IF(AC109=1,AC115-AE115,IF(AE109=1,AE115-AC115,""))))</f>
        <v/>
      </c>
      <c r="AQ109" s="44">
        <f>SUM(AG109:AP109)</f>
        <v>20</v>
      </c>
    </row>
    <row r="110" spans="1:44" ht="15" x14ac:dyDescent="0.2">
      <c r="A110" s="4" t="s">
        <v>79</v>
      </c>
      <c r="B110" s="49">
        <v>18</v>
      </c>
      <c r="C110" s="50" t="s">
        <v>80</v>
      </c>
      <c r="D110" s="51">
        <v>17</v>
      </c>
      <c r="E110" s="49">
        <v>15</v>
      </c>
      <c r="F110" s="50" t="str">
        <f>IF(AK93&gt;1,"/","")</f>
        <v>/</v>
      </c>
      <c r="G110" s="51">
        <v>24</v>
      </c>
      <c r="H110" s="49">
        <v>15</v>
      </c>
      <c r="I110" s="50" t="str">
        <f>IF(AK93&gt;2,"/","")</f>
        <v>/</v>
      </c>
      <c r="J110" s="51">
        <v>17</v>
      </c>
      <c r="K110" s="49">
        <v>27</v>
      </c>
      <c r="L110" s="50" t="str">
        <f>IF(AK93&gt;3,"/","")</f>
        <v>/</v>
      </c>
      <c r="M110" s="51">
        <v>6</v>
      </c>
      <c r="N110" s="49">
        <v>12</v>
      </c>
      <c r="O110" s="50" t="str">
        <f>IF(AK93&gt;4,"/","")</f>
        <v>/</v>
      </c>
      <c r="P110" s="51">
        <v>29</v>
      </c>
      <c r="Q110" s="49">
        <v>16</v>
      </c>
      <c r="R110" s="50" t="str">
        <f>IF(AK93&gt;5,"/","")</f>
        <v>/</v>
      </c>
      <c r="S110" s="51">
        <v>11</v>
      </c>
      <c r="T110" s="49"/>
      <c r="U110" s="50" t="str">
        <f>IF(AK93&gt;6,"/","")</f>
        <v/>
      </c>
      <c r="V110" s="51"/>
      <c r="W110" s="49"/>
      <c r="X110" s="50" t="str">
        <f>IF(AK93&gt;7,"/","")</f>
        <v/>
      </c>
      <c r="Y110" s="51"/>
      <c r="Z110" s="49"/>
      <c r="AA110" s="50" t="str">
        <f>IF(AK93&gt;8,"/","")</f>
        <v/>
      </c>
      <c r="AB110" s="51"/>
      <c r="AC110" s="49"/>
      <c r="AD110" s="50" t="str">
        <f>IF(AK93&gt;9,"/","")</f>
        <v/>
      </c>
      <c r="AE110" s="51"/>
      <c r="AF110" s="42" t="str">
        <f>IF(AK94&gt;1,"Team 2","")</f>
        <v>Team 2</v>
      </c>
      <c r="AG110" s="48">
        <f>IF(AK94&lt;2,"",IF(AK93&lt;1,"",IF(B109=2,B115-D115,IF(D109=2,D115-B115,""))))</f>
        <v>12</v>
      </c>
      <c r="AH110" s="48" t="str">
        <f>IF(AK94&lt;2,"",IF(AK93&lt;2,"",IF(E109=2,E115-G115,IF(G109=2,G115-E115,""))))</f>
        <v/>
      </c>
      <c r="AI110" s="48">
        <f>IF(AK94&lt;2,"",IF(AK93&lt;3,"",IF(H109=2,H115-J115,IF(J109=2,J115-H115,""))))</f>
        <v>-6</v>
      </c>
      <c r="AJ110" s="48" t="str">
        <f>IF(AK94&lt;2,"",IF(AK93&lt;4,"",IF(K109=2,K115-M115,IF(M109=2,M115-K115,""))))</f>
        <v/>
      </c>
      <c r="AK110" s="48" t="str">
        <f>IF(AK94&lt;2,"",IF(AK93&lt;5,"",IF(N109=2,N115-P115,IF(P109=2,P115-N115,""))))</f>
        <v/>
      </c>
      <c r="AL110" s="48">
        <f>IF(AK94&lt;2,"",IF(AK93&lt;6,"",IF(Q109=2,Q115-S115,IF(S109=2,S115-Q115,""))))</f>
        <v>-9</v>
      </c>
      <c r="AM110" s="48" t="str">
        <f>IF(AK94&lt;2,"",IF(AK93&lt;7,"",IF(T109=2,T115-V115,IF(V109=2,V115-T115,""))))</f>
        <v/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 t="str">
        <f>IF(AK94&lt;2,"",IF(AK93&lt;10,"",IF(AC109=2,AC115-AE115,IF(AE109=2,AE115-AC115,""))))</f>
        <v/>
      </c>
      <c r="AQ110" s="44">
        <f>SUM(AG110:AP110)</f>
        <v>-3</v>
      </c>
    </row>
    <row r="111" spans="1:44" ht="15" x14ac:dyDescent="0.2">
      <c r="A111" s="3" t="str">
        <f>IF(AK92&gt;1,"Game 2","")</f>
        <v>Game 2</v>
      </c>
      <c r="B111" s="49">
        <v>23</v>
      </c>
      <c r="C111" s="50" t="s">
        <v>80</v>
      </c>
      <c r="D111" s="51">
        <v>12</v>
      </c>
      <c r="E111" s="49">
        <v>13</v>
      </c>
      <c r="F111" s="50" t="str">
        <f>IF(AK93&gt;1,IF(AK92&gt;1,"/",""),"")</f>
        <v>/</v>
      </c>
      <c r="G111" s="51">
        <v>23</v>
      </c>
      <c r="H111" s="49">
        <v>16</v>
      </c>
      <c r="I111" s="50" t="str">
        <f>IF(AK93&gt;2,IF(AK92&gt;1,"/",""),"")</f>
        <v>/</v>
      </c>
      <c r="J111" s="51">
        <v>20</v>
      </c>
      <c r="K111" s="49">
        <v>19</v>
      </c>
      <c r="L111" s="50" t="str">
        <f>IF(AK93&gt;3,IF(AK92&gt;1,"/",""),"")</f>
        <v>/</v>
      </c>
      <c r="M111" s="51">
        <v>10</v>
      </c>
      <c r="N111" s="49">
        <v>15</v>
      </c>
      <c r="O111" s="50" t="str">
        <f>IF(AK93&gt;4,IF(AK92&gt;1,"/",""),"")</f>
        <v>/</v>
      </c>
      <c r="P111" s="51">
        <v>26</v>
      </c>
      <c r="Q111" s="49">
        <v>14</v>
      </c>
      <c r="R111" s="50" t="str">
        <f>IF(AK93&gt;5,IF(AK92&gt;1,"/",""),"")</f>
        <v>/</v>
      </c>
      <c r="S111" s="51">
        <v>10</v>
      </c>
      <c r="T111" s="49"/>
      <c r="U111" s="50" t="str">
        <f>IF(AK93&gt;6,IF(AK92&gt;1,"/",""),"")</f>
        <v/>
      </c>
      <c r="V111" s="51"/>
      <c r="W111" s="49"/>
      <c r="X111" s="50" t="str">
        <f>IF(AK93&gt;7,IF(AK92&gt;1,"/",""),"")</f>
        <v/>
      </c>
      <c r="Y111" s="51"/>
      <c r="Z111" s="49"/>
      <c r="AA111" s="50" t="str">
        <f>IF(AK93&gt;8,IF(AK92&gt;1,"/",""),"")</f>
        <v/>
      </c>
      <c r="AB111" s="51"/>
      <c r="AC111" s="49"/>
      <c r="AD111" s="50" t="str">
        <f>IF(AK93&gt;9,IF(AK92&gt;1,"/",""),"")</f>
        <v/>
      </c>
      <c r="AE111" s="51"/>
      <c r="AF111" s="42" t="str">
        <f>IF(AK94&gt;2,"Team 3","")</f>
        <v>Team 3</v>
      </c>
      <c r="AG111" s="48">
        <f>IF(AK94&lt;3,"",IF(AK93&lt;1,"",IF(B109=3,B115-D115,IF(D109=3,D115-B115,""))))</f>
        <v>-12</v>
      </c>
      <c r="AH111" s="48" t="str">
        <f>IF(AK94&lt;3,"",IF(AK93&lt;2,"",IF(E109=3,E115-G115,IF(G109=3,G115-E115,""))))</f>
        <v/>
      </c>
      <c r="AI111" s="48" t="str">
        <f>IF(AK94&lt;3,"",IF(AK93&lt;3,"",IF(H109=3,H115-J115,IF(J109=3,J115-H115,""))))</f>
        <v/>
      </c>
      <c r="AJ111" s="48">
        <f>IF(AK94&lt;3,"",IF(AK93&lt;4,"",IF(K109=3,K115-M115,IF(M109=3,M115-K115,""))))</f>
        <v>-30</v>
      </c>
      <c r="AK111" s="48">
        <f>IF(AK94&lt;3,"",IF(AK93&lt;5,"",IF(N109=3,N115-P115,IF(P109=3,P115-N115,""))))</f>
        <v>-28</v>
      </c>
      <c r="AL111" s="48" t="str">
        <f>IF(AK94&lt;3,"",IF(AK93&lt;6,"",IF(Q109=3,Q115-S115,IF(S109=3,S115-Q115,""))))</f>
        <v/>
      </c>
      <c r="AM111" s="48" t="str">
        <f>IF(AK94&lt;3,"",IF(AK93&lt;7,"",IF(T109=3,T115-V115,IF(V109=3,V115-T115,""))))</f>
        <v/>
      </c>
      <c r="AN111" s="48" t="str">
        <f>IF(AK94&lt;3,"",IF(AK93&lt;8,"",IF(W109=3,W115-Y115,IF(Y109=3,Y115-W115,""))))</f>
        <v/>
      </c>
      <c r="AO111" s="48" t="str">
        <f>IF(AK94&lt;3,"",IF(AK93&lt;9,"",IF(Z109=3,Z115-AB115,IF(AB109=3,AB115-Z115,""))))</f>
        <v/>
      </c>
      <c r="AP111" s="48" t="str">
        <f>IF(AK94&lt;3,"",IF(AK93&lt;9,"",IF(AC109=3,AC115-AE115,IF(AE109=3,AE115-AC115,""))))</f>
        <v/>
      </c>
      <c r="AQ111" s="44">
        <f>SUM(AG111:AP111)</f>
        <v>-70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19</v>
      </c>
      <c r="AI112" s="48">
        <f>IF(AK94&lt;4,"",IF(AK93&lt;3,"",IF(H109=4,H115-J115,IF(J109=4,J115-H115,""))))</f>
        <v>6</v>
      </c>
      <c r="AJ112" s="48" t="str">
        <f>IF(AK94&lt;4,"",IF(AK93&lt;4,"",IF(K109=4,K115-M115,IF(M109=4,M115-K115,""))))</f>
        <v/>
      </c>
      <c r="AK112" s="48">
        <f>IF(AK94&lt;4,"",IF(AK93&lt;5,"",IF(N109=4,N115-P115,IF(P109=4,P115-N115,""))))</f>
        <v>28</v>
      </c>
      <c r="AL112" s="48" t="str">
        <f>IF(AK94&lt;4,"",IF(AK93&lt;6,"",IF(Q109=4,Q115-S115,IF(S109=4,S115-Q115,""))))</f>
        <v/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 t="str">
        <f>IF(AK94&lt;4,"",IF(AK93&lt;9,"",IF(Z109=4,Z115-AB115,IF(AB109=4,AB115-Z115,""))))</f>
        <v/>
      </c>
      <c r="AP112" s="48" t="str">
        <f>IF(AK94&lt;4,"",IF(AK93&lt;10,"",IF(AC109=4,AC115-AE115,IF(AE109=4,AE115-AC115,""))))</f>
        <v/>
      </c>
      <c r="AQ112" s="44">
        <f>SUM(AG112:AP112)</f>
        <v>53</v>
      </c>
    </row>
    <row r="113" spans="1:43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/>
      </c>
      <c r="AG113" s="52" t="str">
        <f>IF(AK94&lt;5,"",IF(AK93&lt;1,"",IF(B109=5,B115-D115,IF(D109=5,D115-B115,""))))</f>
        <v/>
      </c>
      <c r="AH113" s="48" t="str">
        <f>IF(AK94&lt;5,"",IF(AK93&lt;2,"",IF(E109=5,E115-G115,IF(G109=5,G115-E115,""))))</f>
        <v/>
      </c>
      <c r="AI113" s="48" t="str">
        <f>IF(AK94&lt;5,"",IF(AK93&lt;3,"",IF(H109=5,H115-J115,IF(J109=5,J115-H115,""))))</f>
        <v/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 t="str">
        <f>IF(AK94&lt;5,"",IF(AK93&lt;6,"",IF(Q109=5,Q115-S115,IF(S109=5,S115-Q115,""))))</f>
        <v/>
      </c>
      <c r="AM113" s="48" t="str">
        <f>IF(AK94&lt;5,"",IF(AK93&lt;7,"",IF(T109=5,T115-V115,IF(V109=5,V115-T115,""))))</f>
        <v/>
      </c>
      <c r="AN113" s="48" t="str">
        <f>IF(AK94&lt;5,"",IF(AK93&lt;8,"",IF(W109=5,W115-Y115,IF(Y109=5,Y115-W115,""))))</f>
        <v/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0</v>
      </c>
    </row>
    <row r="114" spans="1:43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</row>
    <row r="115" spans="1:43" x14ac:dyDescent="0.2">
      <c r="A115" s="53"/>
      <c r="B115" s="53">
        <f>IF($AK92=5,SUM(B110:B114),IF($AK92=4,SUM(B110:B113),IF($AK92=3,SUM(B110:B112),IF($AK92=2,SUM(B110:B111),B110))))</f>
        <v>41</v>
      </c>
      <c r="C115" s="53"/>
      <c r="D115" s="53">
        <f>IF($AK92=5,SUM(D110:D114),IF($AK92=4,SUM(D110:D113),IF($AK92=3,SUM(D110:D112),IF($AK92=2,SUM(D110:D111),D110))))</f>
        <v>29</v>
      </c>
      <c r="E115" s="53">
        <f>IF($AK92=5,SUM(E110:E114),IF($AK92=4,SUM(E110:E113),IF($AK92=3,SUM(E110:E112),IF($AK92=2,SUM(E110:E111),E110))))</f>
        <v>28</v>
      </c>
      <c r="F115" s="53"/>
      <c r="G115" s="53">
        <f>IF($AK92=5,SUM(G110:G114),IF($AK92=4,SUM(G110:G113),IF($AK92=3,SUM(G110:G112),IF($AK92=2,SUM(G110:G111),G110))))</f>
        <v>47</v>
      </c>
      <c r="H115" s="53">
        <f>IF($AK92=5,SUM(H110:H114),IF($AK92=4,SUM(H110:H113),IF($AK92=3,SUM(H110:H112),IF($AK92=2,SUM(H110:H111),H110))))</f>
        <v>31</v>
      </c>
      <c r="I115" s="53"/>
      <c r="J115" s="53">
        <f>IF($AK92=5,SUM(J110:J114),IF($AK92=4,SUM(J110:J113),IF($AK92=3,SUM(J110:J112),IF($AK92=2,SUM(J110:J111),J110))))</f>
        <v>37</v>
      </c>
      <c r="K115" s="53">
        <f>IF($AK92=5,SUM(K110:K114),IF($AK92=4,SUM(K110:K113),IF($AK92=3,SUM(K110:K112),IF($AK92=2,SUM(K110:K111),K110))))</f>
        <v>46</v>
      </c>
      <c r="L115" s="53"/>
      <c r="M115" s="53">
        <f>IF($AK92=5,SUM(M110:M114),IF($AK92=4,SUM(M110:M113),IF($AK92=3,SUM(M110:M112),IF($AK92=2,SUM(M110:M111),M110))))</f>
        <v>16</v>
      </c>
      <c r="N115" s="53">
        <f>IF($AK92=5,SUM(N110:N114),IF($AK92=4,SUM(N110:N113),IF($AK92=3,SUM(N110:N112),IF($AK92=2,SUM(N110:N111),N110))))</f>
        <v>27</v>
      </c>
      <c r="O115" s="53"/>
      <c r="P115" s="53">
        <f>IF($AK92=5,SUM(P110:P114),IF($AK92=4,SUM(P110:P113),IF($AK92=3,SUM(P110:P112),IF($AK92=2,SUM(P110:P111),P110))))</f>
        <v>55</v>
      </c>
      <c r="Q115" s="53">
        <f>IF($AK92=5,SUM(Q110:Q114),IF($AK92=4,SUM(Q110:Q113),IF($AK92=3,SUM(Q110:Q112),IF($AK92=2,SUM(Q110:Q111),Q110))))</f>
        <v>30</v>
      </c>
      <c r="R115" s="53"/>
      <c r="S115" s="53">
        <f>IF($AK92=5,SUM(S110:S114),IF($AK92=4,SUM(S110:S113),IF($AK92=3,SUM(S110:S112),IF($AK92=2,SUM(S110:S111),S110))))</f>
        <v>21</v>
      </c>
      <c r="T115" s="53">
        <f>IF($AK92=5,SUM(T110:T114),IF($AK92=4,SUM(T110:T113),IF($AK92=3,SUM(T110:T112),IF($AK92=2,SUM(T110:T111),T110))))</f>
        <v>0</v>
      </c>
      <c r="U115" s="53"/>
      <c r="V115" s="53">
        <f>IF($AK92=5,SUM(V110:V114),IF($AK92=4,SUM(V110:V113),IF($AK92=3,SUM(V110:V112),IF($AK92=2,SUM(V110:V111),V110))))</f>
        <v>0</v>
      </c>
      <c r="W115" s="53">
        <f>IF($AK92=5,SUM(W110:W114),IF($AK92=4,SUM(W110:W113),IF($AK92=3,SUM(W110:W112),IF($AK92=2,SUM(W110:W111),W110))))</f>
        <v>0</v>
      </c>
      <c r="X115" s="53"/>
      <c r="Y115" s="53">
        <f>IF($AK92=5,SUM(Y110:Y114),IF($AK92=4,SUM(Y110:Y113),IF($AK92=3,SUM(Y110:Y112),IF($AK92=2,SUM(Y110:Y111),Y110))))</f>
        <v>0</v>
      </c>
      <c r="Z115" s="53">
        <f>IF($AK92=5,SUM(Z110:Z114),IF($AK92=4,SUM(Z110:Z113),IF($AK92=3,SUM(Z110:Z112),IF($AK92=2,SUM(Z110:Z111),Z110))))</f>
        <v>0</v>
      </c>
      <c r="AA115" s="53"/>
      <c r="AB115" s="53">
        <f>IF($AK92=5,SUM(AB110:AB114),IF($AK92=4,SUM(AB110:AB113),IF($AK92=3,SUM(AB110:AB112),IF($AK92=2,SUM(AB110:AB111),AB110))))</f>
        <v>0</v>
      </c>
      <c r="AC115" s="53">
        <f>IF($AK92=5,SUM(AC110:AC114),IF($AK92=4,SUM(AC110:AC113),IF($AK92=3,SUM(AC110:AC112),IF($AK92=2,SUM(AC110:AC111),AC110))))</f>
        <v>0</v>
      </c>
      <c r="AD115" s="53"/>
      <c r="AE115" s="53">
        <f>IF($AK92=5,SUM(AE110:AE114),IF($AK92=4,SUM(AE110:AE113),IF($AK92=3,SUM(AE110:AE112),IF($AK92=2,SUM(AE110:AE111),AE110))))</f>
        <v>0</v>
      </c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</row>
    <row r="116" spans="1:43" s="55" customFormat="1" ht="12.75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0</v>
      </c>
      <c r="F116" s="56"/>
      <c r="G116" s="57">
        <f>IF(AND(G110&gt;E110,$AK93&gt;1,ISNUMBER(E110),ISNUMBER(G110)),1,0)</f>
        <v>1</v>
      </c>
      <c r="H116" s="56">
        <f>IF(AND(H110&gt;J110,$AK93&gt;2,ISNUMBER(H110),ISNUMBER(J110)),1,0)</f>
        <v>0</v>
      </c>
      <c r="I116" s="56"/>
      <c r="J116" s="57">
        <f>IF(AND(J110&gt;H110,$AK93&gt;2,ISNUMBER(H110),ISNUMBER(J110)),1,0)</f>
        <v>1</v>
      </c>
      <c r="K116" s="56">
        <f>IF(AND(K110&gt;M110,$AK93&gt;3,ISNUMBER(K110),ISNUMBER(M110)),1,0)</f>
        <v>1</v>
      </c>
      <c r="L116" s="56"/>
      <c r="M116" s="57">
        <f>IF(AND(M110&gt;K110,$AK93&gt;3,ISNUMBER(K110),ISNUMBER(M110)),1,0)</f>
        <v>0</v>
      </c>
      <c r="N116" s="56">
        <f>IF(AND(N110&gt;P110,$AK93&gt;4,ISNUMBER(N110),ISNUMBER(P110)),1,0)</f>
        <v>0</v>
      </c>
      <c r="O116" s="56"/>
      <c r="P116" s="57">
        <f>IF(AND(P110&gt;N110,$AK93&gt;4,ISNUMBER(N110),ISNUMBER(P110)),1,0)</f>
        <v>1</v>
      </c>
      <c r="Q116" s="56">
        <f>IF(AND(Q110&gt;S110,$AK93&gt;5,ISNUMBER(Q110),ISNUMBER(S110)),1,0)</f>
        <v>1</v>
      </c>
      <c r="R116" s="56"/>
      <c r="S116" s="57">
        <f>IF(AND(S110&gt;Q110,$AK93&gt;5,ISNUMBER(Q110),ISNUMBER(S110)),1,0)</f>
        <v>0</v>
      </c>
      <c r="T116" s="56">
        <f>IF(AND(T110&gt;V110,$AK93&gt;6,ISNUMBER(T110),ISNUMBER(V110)),1,0)</f>
        <v>0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0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0</v>
      </c>
      <c r="AD116" s="56"/>
      <c r="AE116" s="57">
        <f>IF(AND(AE110&gt;AC110,$AK93&gt;9,ISNUMBER(AC110),ISNUMBER(AE110)),1,0)</f>
        <v>0</v>
      </c>
    </row>
    <row r="117" spans="1:43" s="55" customFormat="1" ht="12.75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0</v>
      </c>
      <c r="F117" s="56"/>
      <c r="G117" s="57">
        <f>IF(AND(G111&gt;E111,$AK93&gt;1,$AK92&gt;1,ISNUMBER(E111),ISNUMBER(G111)),1,0)</f>
        <v>1</v>
      </c>
      <c r="H117" s="56">
        <f>IF(AND(H111&gt;J111,$AK93&gt;2,$AK92&gt;1,ISNUMBER(H111),ISNUMBER(J111)),1,0)</f>
        <v>0</v>
      </c>
      <c r="I117" s="56"/>
      <c r="J117" s="57">
        <f>IF(AND(J111&gt;H111,$AK93&gt;2,$AK92&gt;1,ISNUMBER(H111),ISNUMBER(J111)),1,0)</f>
        <v>1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0</v>
      </c>
      <c r="O117" s="56"/>
      <c r="P117" s="57">
        <f>IF(AND(P111&gt;N111,$AK93&gt;4,$AK92&gt;1,ISNUMBER(N111),ISNUMBER(P111)),1,0)</f>
        <v>1</v>
      </c>
      <c r="Q117" s="56">
        <f>IF(AND(Q111&gt;S111,$AK93&gt;5,$AK92&gt;1,ISNUMBER(Q111),ISNUMBER(S111)),1,0)</f>
        <v>1</v>
      </c>
      <c r="R117" s="56"/>
      <c r="S117" s="57">
        <f>IF(AND(S111&gt;Q111,$AK93&gt;5,$AK92&gt;1,ISNUMBER(Q111),ISNUMBER(S111)),1,0)</f>
        <v>0</v>
      </c>
      <c r="T117" s="56">
        <f>IF(AND(T111&gt;V111,$AK93&gt;6,$AK92&gt;1,ISNUMBER(T111),ISNUMBER(V111)),1,0)</f>
        <v>0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0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0</v>
      </c>
      <c r="AD117" s="56"/>
      <c r="AE117" s="57">
        <f>IF(AND(AE111&gt;AC111,$AK93&gt;9,$AK92&gt;1,ISNUMBER(AC111),ISNUMBER(AE111)),1,0)</f>
        <v>0</v>
      </c>
    </row>
    <row r="118" spans="1:43" s="55" customFormat="1" ht="12.75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</row>
    <row r="119" spans="1:43" s="55" customFormat="1" ht="12.75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</row>
    <row r="120" spans="1:43" s="55" customFormat="1" ht="12.75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</row>
    <row r="121" spans="1:43" s="55" customFormat="1" ht="38.25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0</v>
      </c>
      <c r="G121" s="60">
        <f>SUM(G116:G120)</f>
        <v>2</v>
      </c>
      <c r="H121" s="55">
        <f>SUM(H116:H120)</f>
        <v>0</v>
      </c>
      <c r="J121" s="60">
        <f>SUM(J116:J120)</f>
        <v>2</v>
      </c>
      <c r="K121" s="55">
        <f>SUM(K116:K120)</f>
        <v>2</v>
      </c>
      <c r="M121" s="60">
        <f>SUM(M116:M120)</f>
        <v>0</v>
      </c>
      <c r="N121" s="55">
        <f>SUM(N116:N120)</f>
        <v>0</v>
      </c>
      <c r="P121" s="60">
        <f>SUM(P116:P120)</f>
        <v>2</v>
      </c>
      <c r="Q121" s="55">
        <f>SUM(Q116:Q120)</f>
        <v>2</v>
      </c>
      <c r="S121" s="60">
        <f>SUM(S116:S120)</f>
        <v>0</v>
      </c>
      <c r="T121" s="55">
        <f>SUM(T116:T120)</f>
        <v>0</v>
      </c>
      <c r="V121" s="60">
        <f>SUM(V116:V120)</f>
        <v>0</v>
      </c>
      <c r="W121" s="55">
        <f>SUM(W116:W120)</f>
        <v>0</v>
      </c>
      <c r="Y121" s="60">
        <f>SUM(Y116:Y120)</f>
        <v>0</v>
      </c>
      <c r="Z121" s="55">
        <f>SUM(Z116:Z120)</f>
        <v>0</v>
      </c>
      <c r="AB121" s="60">
        <f>SUM(AB116:AB120)</f>
        <v>0</v>
      </c>
      <c r="AC121" s="55">
        <f>SUM(AC116:AC120)</f>
        <v>0</v>
      </c>
      <c r="AE121" s="60">
        <f>SUM(AE116:AE120)</f>
        <v>0</v>
      </c>
    </row>
    <row r="122" spans="1:43" s="55" customFormat="1" ht="25.5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0</v>
      </c>
      <c r="F122" s="55">
        <f>E122+G122</f>
        <v>1</v>
      </c>
      <c r="G122" s="60">
        <f>IF(G121&gt;E121,IF(F156=AK92,1,IF(F156=AK92-1,1,0)),0)</f>
        <v>1</v>
      </c>
      <c r="H122" s="55">
        <f>IF(H121&gt;J121,IF(I156=AK92,1,IF(I156=AK92-1,1,0)),0)</f>
        <v>0</v>
      </c>
      <c r="I122" s="55">
        <f>H122+J122</f>
        <v>1</v>
      </c>
      <c r="J122" s="60">
        <f>IF(J121&gt;H121,IF(I156=AK92,1,IF(I156=AK92-1,1,0)),0)</f>
        <v>1</v>
      </c>
      <c r="K122" s="55">
        <f>IF(K121&gt;M121,IF(L156=AK92,1,IF(L156=AK92-1,1,0)),0)</f>
        <v>1</v>
      </c>
      <c r="L122" s="55">
        <f>K122+M122</f>
        <v>1</v>
      </c>
      <c r="M122" s="60">
        <f>IF(M121&gt;K121,IF(L156=AK92,1,IF(L156=AK92-1,1,0)),0)</f>
        <v>0</v>
      </c>
      <c r="N122" s="55">
        <f>IF(N121&gt;P121,IF(O156=AK92,1,IF(O156=AK92-1,1,0)),0)</f>
        <v>0</v>
      </c>
      <c r="O122" s="55">
        <f>N122+P122</f>
        <v>1</v>
      </c>
      <c r="P122" s="60">
        <f>IF(P121&gt;N121,IF(O156=AK92,1,IF(O156=AK92-1,1,0)),0)</f>
        <v>1</v>
      </c>
      <c r="Q122" s="55">
        <f>IF(Q121&gt;S121,IF(R156=AK92,1,IF(R156=AK92-1,1,0)),0)</f>
        <v>1</v>
      </c>
      <c r="R122" s="55">
        <f>Q122+S122</f>
        <v>1</v>
      </c>
      <c r="S122" s="60">
        <f>IF(S121&gt;Q121,IF(R156=AK92,1,IF(R156=AK92-1,1,0)),0)</f>
        <v>0</v>
      </c>
      <c r="T122" s="55">
        <f>IF(T121&gt;V121,IF(U156=AK92,1,IF(U156=AK92-1,1,0)),0)</f>
        <v>0</v>
      </c>
      <c r="U122" s="55">
        <f>T122+V122</f>
        <v>0</v>
      </c>
      <c r="V122" s="60">
        <f>IF(V121&gt;T121,IF(U156=AK92,1,IF(U156=AK92-1,1,0)),0)</f>
        <v>0</v>
      </c>
      <c r="W122" s="55">
        <f>IF(W121&gt;Y121,IF(X156=AK92,1,IF(X156=AK92-1,1,0)),0)</f>
        <v>0</v>
      </c>
      <c r="X122" s="55">
        <f>W122+Y122</f>
        <v>0</v>
      </c>
      <c r="Y122" s="60">
        <f>IF(Y121&gt;W121,IF(X156=AK92,1,IF(X156=AK92-1,1,0)),0)</f>
        <v>0</v>
      </c>
      <c r="Z122" s="55">
        <f>IF(Z121&gt;AB121,IF(AA156=AK92,1,IF(AA156=AK92-1,1,0)),0)</f>
        <v>0</v>
      </c>
      <c r="AA122" s="55">
        <f>Z122+AB122</f>
        <v>0</v>
      </c>
      <c r="AB122" s="60">
        <f>IF(AB121&gt;Z121,IF(AA156=AK92,1,IF(AA156=AK92-1,1,0)),0)</f>
        <v>0</v>
      </c>
      <c r="AC122" s="55">
        <f>IF(AC121&gt;AE121,IF(AD156=AK92,1,IF(AD156=AK92-1,1,0)),0)</f>
        <v>0</v>
      </c>
      <c r="AD122" s="55">
        <f>AC122+AE122</f>
        <v>0</v>
      </c>
      <c r="AE122" s="60">
        <f>IF(AE121&gt;AC121,IF(AD156=AK92,1,IF(AD156=AK92-1,1,0)),0)</f>
        <v>0</v>
      </c>
    </row>
    <row r="123" spans="1:43" s="55" customFormat="1" ht="25.5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</row>
    <row r="124" spans="1:43" s="55" customFormat="1" ht="12.75" customHeight="1" x14ac:dyDescent="0.2">
      <c r="A124" s="55" t="s">
        <v>88</v>
      </c>
      <c r="B124" s="55">
        <f>IF(B116=1,B110,0)</f>
        <v>18</v>
      </c>
      <c r="D124" s="60">
        <f t="shared" ref="D124:E128" si="11">IF(D116=1,D110,0)</f>
        <v>0</v>
      </c>
      <c r="E124" s="55">
        <f t="shared" si="11"/>
        <v>0</v>
      </c>
      <c r="G124" s="60">
        <f t="shared" ref="G124:H128" si="12">IF(G116=1,G110,0)</f>
        <v>24</v>
      </c>
      <c r="H124" s="55">
        <f t="shared" si="12"/>
        <v>0</v>
      </c>
      <c r="J124" s="60">
        <f t="shared" ref="J124:K128" si="13">IF(J116=1,J110,0)</f>
        <v>17</v>
      </c>
      <c r="K124" s="55">
        <f t="shared" si="13"/>
        <v>27</v>
      </c>
      <c r="M124" s="60">
        <f t="shared" ref="M124:N128" si="14">IF(M116=1,M110,0)</f>
        <v>0</v>
      </c>
      <c r="N124" s="55">
        <f t="shared" si="14"/>
        <v>0</v>
      </c>
      <c r="P124" s="60">
        <f t="shared" ref="P124:Q128" si="15">IF(P116=1,P110,0)</f>
        <v>29</v>
      </c>
      <c r="Q124" s="55">
        <f t="shared" si="15"/>
        <v>16</v>
      </c>
      <c r="S124" s="60">
        <f t="shared" ref="S124:T128" si="16">IF(S116=1,S110,0)</f>
        <v>0</v>
      </c>
      <c r="T124" s="55">
        <f t="shared" si="16"/>
        <v>0</v>
      </c>
      <c r="V124" s="60">
        <f t="shared" ref="V124:W128" si="17">IF(V116=1,V110,0)</f>
        <v>0</v>
      </c>
      <c r="W124" s="55">
        <f t="shared" si="17"/>
        <v>0</v>
      </c>
      <c r="Y124" s="60">
        <f t="shared" ref="Y124:Z128" si="18">IF(Y116=1,Y110,0)</f>
        <v>0</v>
      </c>
      <c r="Z124" s="55">
        <f t="shared" si="18"/>
        <v>0</v>
      </c>
      <c r="AB124" s="60">
        <f t="shared" ref="AB124:AC128" si="19">IF(AB116=1,AB110,0)</f>
        <v>0</v>
      </c>
      <c r="AC124" s="55">
        <f t="shared" si="19"/>
        <v>0</v>
      </c>
      <c r="AE124" s="60">
        <f>IF(AE116=1,AE110,0)</f>
        <v>0</v>
      </c>
    </row>
    <row r="125" spans="1:43" s="55" customFormat="1" ht="12.75" customHeight="1" x14ac:dyDescent="0.2">
      <c r="A125" s="55" t="s">
        <v>89</v>
      </c>
      <c r="B125" s="55">
        <f>IF(B117=1,B111,0)</f>
        <v>23</v>
      </c>
      <c r="D125" s="60">
        <f t="shared" si="11"/>
        <v>0</v>
      </c>
      <c r="E125" s="55">
        <f t="shared" si="11"/>
        <v>0</v>
      </c>
      <c r="G125" s="60">
        <f t="shared" si="12"/>
        <v>23</v>
      </c>
      <c r="H125" s="55">
        <f t="shared" si="12"/>
        <v>0</v>
      </c>
      <c r="J125" s="60">
        <f t="shared" si="13"/>
        <v>20</v>
      </c>
      <c r="K125" s="55">
        <f t="shared" si="13"/>
        <v>19</v>
      </c>
      <c r="M125" s="60">
        <f t="shared" si="14"/>
        <v>0</v>
      </c>
      <c r="N125" s="55">
        <f t="shared" si="14"/>
        <v>0</v>
      </c>
      <c r="P125" s="60">
        <f t="shared" si="15"/>
        <v>26</v>
      </c>
      <c r="Q125" s="55">
        <f t="shared" si="15"/>
        <v>14</v>
      </c>
      <c r="S125" s="60">
        <f t="shared" si="16"/>
        <v>0</v>
      </c>
      <c r="T125" s="55">
        <f t="shared" si="16"/>
        <v>0</v>
      </c>
      <c r="V125" s="60">
        <f t="shared" si="17"/>
        <v>0</v>
      </c>
      <c r="W125" s="55">
        <f t="shared" si="17"/>
        <v>0</v>
      </c>
      <c r="Y125" s="60">
        <f t="shared" si="18"/>
        <v>0</v>
      </c>
      <c r="Z125" s="55">
        <f t="shared" si="18"/>
        <v>0</v>
      </c>
      <c r="AB125" s="60">
        <f t="shared" si="19"/>
        <v>0</v>
      </c>
      <c r="AC125" s="55">
        <f t="shared" si="19"/>
        <v>0</v>
      </c>
      <c r="AE125" s="60">
        <f>IF(AE117=1,AE111,0)</f>
        <v>0</v>
      </c>
    </row>
    <row r="126" spans="1:43" s="55" customFormat="1" ht="12.75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</row>
    <row r="127" spans="1:43" s="55" customFormat="1" ht="12.75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</row>
    <row r="128" spans="1:43" s="55" customFormat="1" ht="12.75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</row>
    <row r="129" spans="1:37" s="55" customFormat="1" ht="38.25" customHeight="1" x14ac:dyDescent="0.2">
      <c r="A129" s="59" t="s">
        <v>93</v>
      </c>
      <c r="B129" s="55">
        <f>SUM(B124:D128)</f>
        <v>41</v>
      </c>
      <c r="D129" s="60"/>
      <c r="E129" s="55">
        <f>SUM(E124:G128)</f>
        <v>47</v>
      </c>
      <c r="G129" s="60"/>
      <c r="H129" s="55">
        <f>SUM(H124:J128)</f>
        <v>37</v>
      </c>
      <c r="J129" s="60"/>
      <c r="K129" s="55">
        <f>SUM(K124:M128)</f>
        <v>46</v>
      </c>
      <c r="M129" s="60"/>
      <c r="N129" s="55">
        <f>SUM(N124:P128)</f>
        <v>55</v>
      </c>
      <c r="P129" s="60"/>
      <c r="Q129" s="55">
        <f>SUM(Q124:S128)</f>
        <v>30</v>
      </c>
      <c r="S129" s="60"/>
      <c r="T129" s="55">
        <f>SUM(T124:V128)</f>
        <v>0</v>
      </c>
      <c r="V129" s="60"/>
      <c r="W129" s="55">
        <f>SUM(W124:Y128)</f>
        <v>0</v>
      </c>
      <c r="Y129" s="60"/>
      <c r="Z129" s="55">
        <f>SUM(Z124:AB128)</f>
        <v>0</v>
      </c>
      <c r="AB129" s="60"/>
      <c r="AC129" s="55">
        <f>SUM(AC124:AE128)</f>
        <v>0</v>
      </c>
      <c r="AE129" s="60"/>
    </row>
    <row r="130" spans="1:37" s="55" customFormat="1" ht="38.25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</row>
    <row r="131" spans="1:37" s="55" customFormat="1" ht="12.75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0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1</v>
      </c>
      <c r="M131" s="60">
        <f>IF(M109=1,IF(M122=1,1,0),0)</f>
        <v>0</v>
      </c>
      <c r="N131" s="55">
        <f>IF(N109=1,IF(N122=1,1,0),0)</f>
        <v>0</v>
      </c>
      <c r="P131" s="60">
        <f>IF(P109=1,IF(P122=1,1,0),0)</f>
        <v>0</v>
      </c>
      <c r="Q131" s="55">
        <f>IF(Q109=1,IF(Q122=1,1,0),0)</f>
        <v>1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0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2</v>
      </c>
      <c r="AG131" s="55">
        <f>AF137-AF131</f>
        <v>1</v>
      </c>
    </row>
    <row r="132" spans="1:37" s="55" customFormat="1" ht="12.75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0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1</v>
      </c>
      <c r="AG132" s="55">
        <f>AF138-AF132</f>
        <v>2</v>
      </c>
    </row>
    <row r="133" spans="1:37" s="55" customFormat="1" ht="12.75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0</v>
      </c>
      <c r="AG133" s="55">
        <f>AF139-AF133</f>
        <v>3</v>
      </c>
    </row>
    <row r="134" spans="1:37" s="55" customFormat="1" ht="12.75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1</v>
      </c>
      <c r="H134" s="55">
        <f>IF(H109=4,IF(H122=1,1,0),0)</f>
        <v>0</v>
      </c>
      <c r="J134" s="60">
        <f>IF(J109=4,IF(J122=1,1,0),0)</f>
        <v>1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1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3</v>
      </c>
      <c r="AG134" s="55">
        <f>AF140-AF134</f>
        <v>0</v>
      </c>
    </row>
    <row r="135" spans="1:37" s="55" customFormat="1" ht="12.75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0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0</v>
      </c>
      <c r="AG135" s="55">
        <f>AF141-AF135</f>
        <v>0</v>
      </c>
    </row>
    <row r="136" spans="1:37" s="55" customFormat="1" ht="38.25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</row>
    <row r="137" spans="1:37" s="55" customFormat="1" ht="12.75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1</v>
      </c>
      <c r="M137" s="60">
        <f>IF(M109=1,IF(L122=1,1,0),0)</f>
        <v>0</v>
      </c>
      <c r="N137" s="55">
        <f>IF(N109=1,IF(O122=1,1,0),0)</f>
        <v>0</v>
      </c>
      <c r="P137" s="60">
        <f>IF(P109=1,IF(O122=1,1,0),0)</f>
        <v>0</v>
      </c>
      <c r="Q137" s="55">
        <f>IF(Q109=1,IF(R122=1,1,0),0)</f>
        <v>1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0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0</v>
      </c>
      <c r="AE137" s="60">
        <f>IF(AE109=1,IF(AD122=1,1,0),0)</f>
        <v>0</v>
      </c>
      <c r="AF137" s="55">
        <f>SUM(B137:AE137)</f>
        <v>3</v>
      </c>
    </row>
    <row r="138" spans="1:37" s="55" customFormat="1" ht="12.75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1</v>
      </c>
      <c r="J138" s="60">
        <f>IF(J109=2,IF(I122=1,1,0),0)</f>
        <v>0</v>
      </c>
      <c r="K138" s="55">
        <f>IF(K109=2,IF(L122=1,1,0),0)</f>
        <v>0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1</v>
      </c>
      <c r="T138" s="55">
        <f>IF(T109=2,IF(U122=1,1,0),0)</f>
        <v>0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0</v>
      </c>
      <c r="AF138" s="55">
        <f>SUM(B138:AE138)</f>
        <v>3</v>
      </c>
    </row>
    <row r="139" spans="1:37" s="55" customFormat="1" ht="12.75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1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0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1</v>
      </c>
      <c r="N139" s="55">
        <f>IF(N109=3,IF(O122=1,1,0),0)</f>
        <v>1</v>
      </c>
      <c r="P139" s="60">
        <f>IF(P109=3,IF(O122=1,1,0),0)</f>
        <v>0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0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0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3</v>
      </c>
    </row>
    <row r="140" spans="1:37" s="55" customFormat="1" ht="12.75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1</v>
      </c>
      <c r="K140" s="55">
        <f>IF(K109=4,IF(L122=1,1,0),0)</f>
        <v>0</v>
      </c>
      <c r="M140" s="60">
        <f>IF(M109=4,IF(L122=1,1,0),0)</f>
        <v>0</v>
      </c>
      <c r="N140" s="55">
        <f>IF(N109=4,IF(O122=1,1,0),0)</f>
        <v>0</v>
      </c>
      <c r="P140" s="60">
        <f>IF(P109=4,IF(O122=1,1,0),0)</f>
        <v>1</v>
      </c>
      <c r="Q140" s="55">
        <f>IF(Q109=4,IF(R122=1,1,0),0)</f>
        <v>0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0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3</v>
      </c>
    </row>
    <row r="141" spans="1:37" s="55" customFormat="1" ht="12.75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0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0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0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0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0</v>
      </c>
    </row>
    <row r="142" spans="1:37" s="55" customFormat="1" ht="38.25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</row>
    <row r="143" spans="1:37" s="55" customFormat="1" ht="12.75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47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46</v>
      </c>
      <c r="M143" s="60">
        <f>IF(M109=1,K129,0)</f>
        <v>0</v>
      </c>
      <c r="N143" s="55">
        <f>IF(N109=1,N129,0)</f>
        <v>0</v>
      </c>
      <c r="P143" s="60">
        <f>IF(P109=1,N129,0)</f>
        <v>0</v>
      </c>
      <c r="Q143" s="55">
        <f>IF(Q109=1,Q129,0)</f>
        <v>30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0</v>
      </c>
      <c r="AE143" s="60">
        <f>IF(AE109=1,AC129,0)</f>
        <v>0</v>
      </c>
      <c r="AF143" s="55">
        <f>SUM(B143:AE143)</f>
        <v>123</v>
      </c>
    </row>
    <row r="144" spans="1:37" s="55" customFormat="1" ht="12.75" customHeight="1" x14ac:dyDescent="0.2">
      <c r="A144" s="55" t="s">
        <v>104</v>
      </c>
      <c r="B144" s="55">
        <f>IF(B109=2,B129,0)</f>
        <v>41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37</v>
      </c>
      <c r="J144" s="60">
        <f>IF(J109=2,H129,0)</f>
        <v>0</v>
      </c>
      <c r="K144" s="55">
        <f>IF(K109=2,K129,0)</f>
        <v>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30</v>
      </c>
      <c r="T144" s="55">
        <f>IF(T109=2,T129,0)</f>
        <v>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0</v>
      </c>
      <c r="AF144" s="55">
        <f>SUM(B144:AE144)</f>
        <v>108</v>
      </c>
    </row>
    <row r="145" spans="1:33" s="55" customFormat="1" ht="12.75" customHeight="1" x14ac:dyDescent="0.2">
      <c r="A145" s="55" t="s">
        <v>105</v>
      </c>
      <c r="B145" s="55">
        <f>IF(B109=3,B129,0)</f>
        <v>0</v>
      </c>
      <c r="D145" s="60">
        <f>IF(D109=3,B129,0)</f>
        <v>41</v>
      </c>
      <c r="E145" s="55">
        <f>IF(E109=3,E129,0)</f>
        <v>0</v>
      </c>
      <c r="G145" s="60">
        <f>IF(G109=3,E129,0)</f>
        <v>0</v>
      </c>
      <c r="H145" s="55">
        <f>IF(H109=3,H129,0)</f>
        <v>0</v>
      </c>
      <c r="J145" s="60">
        <f>IF(J109=3,H129,0)</f>
        <v>0</v>
      </c>
      <c r="K145" s="55">
        <f>IF(K109=3,K129,0)</f>
        <v>0</v>
      </c>
      <c r="M145" s="60">
        <f>IF(M109=3,K129,0)</f>
        <v>46</v>
      </c>
      <c r="N145" s="55">
        <f>IF(N109=3,N129,0)</f>
        <v>55</v>
      </c>
      <c r="P145" s="60">
        <f>IF(P109=3,N129,0)</f>
        <v>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0</v>
      </c>
      <c r="W145" s="55">
        <f>IF(W109=3,W129,0)</f>
        <v>0</v>
      </c>
      <c r="Y145" s="60">
        <f>IF(Y109=3,W129,0)</f>
        <v>0</v>
      </c>
      <c r="Z145" s="55">
        <f>IF(Z109=3,Z129,0)</f>
        <v>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142</v>
      </c>
    </row>
    <row r="146" spans="1:33" s="55" customFormat="1" ht="12.75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47</v>
      </c>
      <c r="H146" s="55">
        <f>IF(H109=4,H129,0)</f>
        <v>0</v>
      </c>
      <c r="J146" s="60">
        <f>IF(J109=4,H129,0)</f>
        <v>37</v>
      </c>
      <c r="K146" s="55">
        <f>IF(K109=4,K129,0)</f>
        <v>0</v>
      </c>
      <c r="M146" s="60">
        <f>IF(M109=4,K129,0)</f>
        <v>0</v>
      </c>
      <c r="N146" s="55">
        <f>IF(N109=4,N129,0)</f>
        <v>0</v>
      </c>
      <c r="P146" s="60">
        <f>IF(P109=4,N129,0)</f>
        <v>55</v>
      </c>
      <c r="Q146" s="55">
        <f>IF(Q109=4,Q129,0)</f>
        <v>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0</v>
      </c>
      <c r="AC146" s="55">
        <f>IF(AC109=4,AC129,0)</f>
        <v>0</v>
      </c>
      <c r="AE146" s="60">
        <f>IF(AE109=4,AC129,0)</f>
        <v>0</v>
      </c>
      <c r="AF146" s="55">
        <f>SUM(B146:AE146)</f>
        <v>139</v>
      </c>
    </row>
    <row r="147" spans="1:33" s="55" customFormat="1" ht="12.75" customHeight="1" x14ac:dyDescent="0.2">
      <c r="A147" s="55" t="s">
        <v>107</v>
      </c>
      <c r="B147" s="55">
        <f>IF(B109=5,B129,0)</f>
        <v>0</v>
      </c>
      <c r="D147" s="60">
        <f>IF(D109=5,B129,0)</f>
        <v>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0</v>
      </c>
    </row>
    <row r="148" spans="1:33" s="55" customFormat="1" ht="38.25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</row>
    <row r="149" spans="1:33" s="55" customFormat="1" ht="12.75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0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2</v>
      </c>
      <c r="M149" s="60">
        <f>IF(M109=1,SUMIF(M116:M120,"&gt;0"),0)</f>
        <v>0</v>
      </c>
      <c r="N149" s="55">
        <f>IF(N109=1,SUMIF(N116:N120,"&gt;0"),0)</f>
        <v>0</v>
      </c>
      <c r="P149" s="60">
        <f>IF(P109=1,SUMIF(P116:P120,"&gt;0"),0)</f>
        <v>0</v>
      </c>
      <c r="Q149" s="55">
        <f>IF(Q109=1,SUMIF(Q116:Q120,"&gt;0"),0)</f>
        <v>2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0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0</v>
      </c>
      <c r="AE149" s="60">
        <f>IF(AE109=1,SUMIF(AE116:AE120,"&gt;0"),0)</f>
        <v>0</v>
      </c>
      <c r="AF149" s="55">
        <f>SUM(B149:AE149)</f>
        <v>4</v>
      </c>
      <c r="AG149" s="55">
        <f>AF157-AF149</f>
        <v>2</v>
      </c>
    </row>
    <row r="150" spans="1:33" s="55" customFormat="1" ht="12.75" customHeight="1" x14ac:dyDescent="0.2">
      <c r="A150" s="55" t="s">
        <v>98</v>
      </c>
      <c r="B150" s="55">
        <f>IF(B109=2,SUMIF(B116:B120,"&gt;0"),0)</f>
        <v>2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0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0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2</v>
      </c>
      <c r="AG150" s="55">
        <f>AF158-AF150</f>
        <v>4</v>
      </c>
    </row>
    <row r="151" spans="1:33" s="55" customFormat="1" ht="12.75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0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0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0</v>
      </c>
      <c r="AG151" s="55">
        <f>AF159-AF151</f>
        <v>6</v>
      </c>
    </row>
    <row r="152" spans="1:33" s="55" customFormat="1" ht="12.75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2</v>
      </c>
      <c r="H152" s="55">
        <f>IF(H109=4,SUMIF(H116:H120,"&gt;0"),0)</f>
        <v>0</v>
      </c>
      <c r="J152" s="60">
        <f>IF(J109=4,SUMIF(J116:J120,"&gt;0"),0)</f>
        <v>2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2</v>
      </c>
      <c r="Q152" s="55">
        <f>IF(Q109=4,SUMIF(Q116:Q120,"&gt;0"),0)</f>
        <v>0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0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6</v>
      </c>
      <c r="AG152" s="55">
        <f>AF160-AF152</f>
        <v>0</v>
      </c>
    </row>
    <row r="153" spans="1:33" s="55" customFormat="1" ht="12.75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0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0</v>
      </c>
      <c r="AG153" s="55">
        <f>AF161-AF153</f>
        <v>0</v>
      </c>
    </row>
    <row r="154" spans="1:33" s="55" customFormat="1" ht="12.75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</row>
    <row r="155" spans="1:33" s="55" customFormat="1" ht="12.75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</row>
    <row r="156" spans="1:33" s="55" customFormat="1" ht="5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0</v>
      </c>
      <c r="V156" s="60"/>
      <c r="X156" s="55">
        <f>SUMIF(W149:Y153,"&gt;0")</f>
        <v>0</v>
      </c>
      <c r="Y156" s="60"/>
      <c r="AA156" s="55">
        <f>SUMIF(Z149:AB153,"&gt;0")</f>
        <v>0</v>
      </c>
      <c r="AB156" s="60"/>
      <c r="AD156" s="55">
        <f>SUMIF(AC149:AE153,"&gt;0")</f>
        <v>0</v>
      </c>
      <c r="AE156" s="60"/>
      <c r="AF156" s="59" t="s">
        <v>113</v>
      </c>
    </row>
    <row r="157" spans="1:33" s="55" customFormat="1" ht="12.75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2</v>
      </c>
      <c r="M157" s="60">
        <f>IF(M109=1,L156,0)</f>
        <v>0</v>
      </c>
      <c r="N157" s="55">
        <f>IF(N109=1,O156,0)</f>
        <v>0</v>
      </c>
      <c r="P157" s="60">
        <f>IF(P109=1,O156,0)</f>
        <v>0</v>
      </c>
      <c r="Q157" s="55">
        <f>IF(Q109=1,R156,0)</f>
        <v>2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0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0</v>
      </c>
      <c r="AE157" s="60">
        <f>IF(AE109=1,AD156,0)</f>
        <v>0</v>
      </c>
      <c r="AF157" s="55">
        <f>SUM(B157:AE157)</f>
        <v>6</v>
      </c>
    </row>
    <row r="158" spans="1:33" s="55" customFormat="1" ht="12.75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2</v>
      </c>
      <c r="J158" s="60">
        <f>IF(J109=2,I156,0)</f>
        <v>0</v>
      </c>
      <c r="K158" s="55">
        <f>IF(K109=2,L156,0)</f>
        <v>0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2</v>
      </c>
      <c r="T158" s="55">
        <f>IF(T109=2,U156,0)</f>
        <v>0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0</v>
      </c>
      <c r="AF158" s="55">
        <f>SUM(B158:AE158)</f>
        <v>6</v>
      </c>
    </row>
    <row r="159" spans="1:33" s="55" customFormat="1" ht="12.75" customHeight="1" x14ac:dyDescent="0.2">
      <c r="A159" s="55" t="s">
        <v>105</v>
      </c>
      <c r="B159" s="55">
        <f>IF(B109=3,C156,0)</f>
        <v>0</v>
      </c>
      <c r="D159" s="60">
        <f>IF(D109=3,C156,0)</f>
        <v>2</v>
      </c>
      <c r="E159" s="55">
        <f>IF(E109=3,F156,0)</f>
        <v>0</v>
      </c>
      <c r="G159" s="60">
        <f>IF(G109=3,F156,0)</f>
        <v>0</v>
      </c>
      <c r="H159" s="55">
        <f>IF(H109=3,I156,0)</f>
        <v>0</v>
      </c>
      <c r="J159" s="60">
        <f>IF(J109=3,I156,0)</f>
        <v>0</v>
      </c>
      <c r="K159" s="55">
        <f>IF(K109=3,L156,0)</f>
        <v>0</v>
      </c>
      <c r="M159" s="60">
        <f>IF(M109=3,L156,0)</f>
        <v>2</v>
      </c>
      <c r="N159" s="55">
        <f>IF(N109=3,O156,0)</f>
        <v>2</v>
      </c>
      <c r="P159" s="60">
        <f>IF(P109=3,O156,0)</f>
        <v>0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0</v>
      </c>
      <c r="W159" s="55">
        <f>IF(W109=3,X156,0)</f>
        <v>0</v>
      </c>
      <c r="Y159" s="60">
        <f>IF(Y109=3,X156,0)</f>
        <v>0</v>
      </c>
      <c r="Z159" s="55">
        <f>IF(Z109=3,AA156,0)</f>
        <v>0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6</v>
      </c>
    </row>
    <row r="160" spans="1:33" s="55" customFormat="1" ht="12.75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2</v>
      </c>
      <c r="K160" s="55">
        <f>IF(K109=4,L156,0)</f>
        <v>0</v>
      </c>
      <c r="M160" s="60">
        <f>IF(M109=4,L156,0)</f>
        <v>0</v>
      </c>
      <c r="N160" s="55">
        <f>IF(N109=4,O156,0)</f>
        <v>0</v>
      </c>
      <c r="P160" s="60">
        <f>IF(P109=4,O156,0)</f>
        <v>2</v>
      </c>
      <c r="Q160" s="55">
        <f>IF(Q109=4,R156,0)</f>
        <v>0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0</v>
      </c>
      <c r="AC160" s="55">
        <f>IF(AC109=4,AD156,0)</f>
        <v>0</v>
      </c>
      <c r="AE160" s="60">
        <f>IF(AE109=4,AD156,0)</f>
        <v>0</v>
      </c>
      <c r="AF160" s="55">
        <f>SUM(B160:AE160)</f>
        <v>6</v>
      </c>
    </row>
    <row r="161" spans="1:49" s="55" customFormat="1" ht="12.75" customHeight="1" x14ac:dyDescent="0.2">
      <c r="A161" s="55" t="s">
        <v>107</v>
      </c>
      <c r="B161" s="55">
        <f>IF(B109=5,C156,0)</f>
        <v>0</v>
      </c>
      <c r="D161" s="60">
        <f>IF(D109=5,C156,0)</f>
        <v>0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0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0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0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0</v>
      </c>
    </row>
    <row r="162" spans="1:49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130"/>
    </row>
    <row r="163" spans="1:49" s="63" customFormat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</row>
    <row r="164" spans="1:49" s="63" customFormat="1" x14ac:dyDescent="0.2">
      <c r="A164" s="67">
        <v>1</v>
      </c>
      <c r="B164" s="67" t="str">
        <f>E93</f>
        <v>Kershaw Dev 12 Black</v>
      </c>
      <c r="C164" s="67">
        <f>VLOOKUP(B164,AU$3:AW$33,3,FALSE)</f>
        <v>1178.4467378847983</v>
      </c>
      <c r="D164" s="67">
        <f>IF(B157,B172,IF(D157,D172,C164))</f>
        <v>1178.4467378847983</v>
      </c>
      <c r="E164" s="67"/>
      <c r="F164" s="67"/>
      <c r="G164" s="67">
        <f>IF(E157,E172,IF(G157,G172,D164))</f>
        <v>1161.0155822653248</v>
      </c>
      <c r="H164" s="67"/>
      <c r="I164" s="67"/>
      <c r="J164" s="67">
        <f>IF(H157,H172,IF(J157,J172,G164))</f>
        <v>1161.0155822653248</v>
      </c>
      <c r="K164" s="67"/>
      <c r="L164" s="67"/>
      <c r="M164" s="67">
        <f>IF(K157,K172,IF(M157,M172,J164))</f>
        <v>1175.7209264639525</v>
      </c>
      <c r="N164" s="67"/>
      <c r="O164" s="67"/>
      <c r="P164" s="67">
        <f>IF(N157,N172,IF(P157,P172,M164))</f>
        <v>1175.7209264639525</v>
      </c>
      <c r="Q164" s="67"/>
      <c r="R164" s="67"/>
      <c r="S164" s="67">
        <f>IF(Q157,Q172,IF(S157,S172,P164))</f>
        <v>1190.2613111223468</v>
      </c>
      <c r="T164" s="67"/>
      <c r="U164" s="67"/>
      <c r="V164" s="67">
        <f>IF(T157,T172,IF(V157,V172,S164))</f>
        <v>1190.2613111223468</v>
      </c>
      <c r="W164" s="67"/>
      <c r="X164" s="67"/>
      <c r="Y164" s="67">
        <f>IF(W157,W172,IF(Y157,Y172,V164))</f>
        <v>1190.2613111223468</v>
      </c>
      <c r="Z164" s="67"/>
      <c r="AA164" s="67"/>
      <c r="AB164" s="67">
        <f>IF(Z157,Z172,IF(AB157,AB172,Y164))</f>
        <v>1190.2613111223468</v>
      </c>
      <c r="AC164" s="67"/>
      <c r="AD164" s="67"/>
      <c r="AE164" s="67">
        <f>IF(AC157,AC172,IF(AE157,AE172,AB164))</f>
        <v>1190.2613111223468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Kershaw Dev 12 Black</v>
      </c>
      <c r="AU164" s="63">
        <f>AE164</f>
        <v>1190.2613111223468</v>
      </c>
      <c r="AW164" s="66"/>
    </row>
    <row r="165" spans="1:49" s="63" customFormat="1" x14ac:dyDescent="0.2">
      <c r="A165" s="67">
        <v>2</v>
      </c>
      <c r="B165" s="67" t="str">
        <f>E95</f>
        <v>Foothills 12 Steph</v>
      </c>
      <c r="C165" s="67">
        <f>VLOOKUP(B165,AU$3:AW$33,3,FALSE)</f>
        <v>1143.4462769415238</v>
      </c>
      <c r="D165" s="67">
        <f>IF(B158,B172,IF(D158,D172,C165))</f>
        <v>1159.7066769555117</v>
      </c>
      <c r="E165" s="67"/>
      <c r="F165" s="67"/>
      <c r="G165" s="67">
        <f>IF(E158,E172,IF(G158,G172,D165))</f>
        <v>1159.7066769555117</v>
      </c>
      <c r="H165" s="67"/>
      <c r="I165" s="67"/>
      <c r="J165" s="67">
        <f>IF(H158,H172,IF(J158,J172,G165))</f>
        <v>1143.9374161912865</v>
      </c>
      <c r="K165" s="67"/>
      <c r="L165" s="67"/>
      <c r="M165" s="67">
        <f>IF(K158,K172,IF(M158,M172,J165))</f>
        <v>1143.9374161912865</v>
      </c>
      <c r="N165" s="67"/>
      <c r="O165" s="67"/>
      <c r="P165" s="67">
        <f>IF(N158,N172,IF(P158,P172,M165))</f>
        <v>1143.9374161912865</v>
      </c>
      <c r="Q165" s="67"/>
      <c r="R165" s="67"/>
      <c r="S165" s="67">
        <f>IF(Q158,Q172,IF(S158,S172,P165))</f>
        <v>1129.3970315328922</v>
      </c>
      <c r="T165" s="67"/>
      <c r="U165" s="67"/>
      <c r="V165" s="67">
        <f>IF(T158,T172,IF(V158,V172,S165))</f>
        <v>1129.3970315328922</v>
      </c>
      <c r="W165" s="67"/>
      <c r="X165" s="67"/>
      <c r="Y165" s="67">
        <f>IF(W158,W172,IF(Y158,Y172,V165))</f>
        <v>1129.3970315328922</v>
      </c>
      <c r="Z165" s="67"/>
      <c r="AA165" s="67"/>
      <c r="AB165" s="67">
        <f>IF(Z158,Z172,IF(AB158,AB172,Y165))</f>
        <v>1129.3970315328922</v>
      </c>
      <c r="AC165" s="67"/>
      <c r="AD165" s="67"/>
      <c r="AE165" s="67">
        <f>IF(AC158,AC172,IF(AE158,AE172,AB165))</f>
        <v>1129.3970315328922</v>
      </c>
      <c r="AF165" s="4"/>
      <c r="AG165" s="4"/>
      <c r="AJ165" s="4"/>
      <c r="AL165" s="4"/>
      <c r="AM165" s="4"/>
      <c r="AN165" s="4"/>
      <c r="AO165" s="4"/>
      <c r="AT165" s="63" t="str">
        <f>B165</f>
        <v>Foothills 12 Steph</v>
      </c>
      <c r="AU165" s="63">
        <f>AE165</f>
        <v>1129.3970315328922</v>
      </c>
      <c r="AW165" s="66"/>
    </row>
    <row r="166" spans="1:49" s="63" customFormat="1" x14ac:dyDescent="0.2">
      <c r="A166" s="67">
        <v>3</v>
      </c>
      <c r="B166" s="67" t="str">
        <f>E97</f>
        <v>Kershaw Dev 12 White</v>
      </c>
      <c r="C166" s="67">
        <f>VLOOKUP(B166,AU$3:AW$33,3,FALSE)</f>
        <v>1149.1012907267443</v>
      </c>
      <c r="D166" s="67">
        <f>IF(B159,B172,IF(D159,D172,C166))</f>
        <v>1132.8408907127564</v>
      </c>
      <c r="E166" s="67"/>
      <c r="F166" s="67"/>
      <c r="G166" s="67">
        <f>IF(E159,E172,IF(G159,G172,D166))</f>
        <v>1132.8408907127564</v>
      </c>
      <c r="H166" s="67"/>
      <c r="I166" s="67"/>
      <c r="J166" s="67">
        <f>IF(H159,H172,IF(J159,J172,G166))</f>
        <v>1132.8408907127564</v>
      </c>
      <c r="K166" s="67"/>
      <c r="L166" s="67"/>
      <c r="M166" s="67">
        <f>IF(K159,K172,IF(M159,M172,J166))</f>
        <v>1118.1355465141287</v>
      </c>
      <c r="N166" s="67"/>
      <c r="O166" s="67"/>
      <c r="P166" s="67">
        <f>IF(N159,N172,IF(P159,P172,M166))</f>
        <v>1104.9764908703403</v>
      </c>
      <c r="Q166" s="67"/>
      <c r="R166" s="67"/>
      <c r="S166" s="67">
        <f>IF(Q159,Q172,IF(S159,S172,P166))</f>
        <v>1104.9764908703403</v>
      </c>
      <c r="T166" s="67"/>
      <c r="U166" s="67"/>
      <c r="V166" s="67">
        <f>IF(T159,T172,IF(V159,V172,S166))</f>
        <v>1104.9764908703403</v>
      </c>
      <c r="W166" s="67"/>
      <c r="X166" s="67"/>
      <c r="Y166" s="67">
        <f>IF(W159,W172,IF(Y159,Y172,V166))</f>
        <v>1104.9764908703403</v>
      </c>
      <c r="Z166" s="67"/>
      <c r="AA166" s="67"/>
      <c r="AB166" s="67">
        <f>IF(Z159,Z172,IF(AB159,AB172,Y166))</f>
        <v>1104.9764908703403</v>
      </c>
      <c r="AC166" s="67"/>
      <c r="AD166" s="67"/>
      <c r="AE166" s="67">
        <f>IF(AC159,AC172,IF(AE159,AE172,AB166))</f>
        <v>1104.9764908703403</v>
      </c>
      <c r="AF166" s="4"/>
      <c r="AG166" s="4"/>
      <c r="AJ166" s="4"/>
      <c r="AL166" s="4"/>
      <c r="AM166" s="4"/>
      <c r="AN166" s="4"/>
      <c r="AO166" s="4"/>
      <c r="AT166" s="63" t="str">
        <f>B166</f>
        <v>Kershaw Dev 12 White</v>
      </c>
      <c r="AU166" s="63">
        <f>AE166</f>
        <v>1104.9764908703403</v>
      </c>
      <c r="AW166" s="66"/>
    </row>
    <row r="167" spans="1:49" s="63" customFormat="1" x14ac:dyDescent="0.2">
      <c r="A167" s="67">
        <v>4</v>
      </c>
      <c r="B167" s="67" t="str">
        <f>E99</f>
        <v>Magnum Youth Academy</v>
      </c>
      <c r="C167" s="67">
        <f>VLOOKUP(B167,AU$3:AW$33,3,FALSE)</f>
        <v>1147.2863075642813</v>
      </c>
      <c r="D167" s="67">
        <f>IF(B160,B172,IF(D160,D172,C167))</f>
        <v>1147.2863075642813</v>
      </c>
      <c r="E167" s="67"/>
      <c r="F167" s="67"/>
      <c r="G167" s="67">
        <f>IF(E160,E172,IF(G160,G172,D167))</f>
        <v>1164.7174631837547</v>
      </c>
      <c r="H167" s="67"/>
      <c r="I167" s="67"/>
      <c r="J167" s="67">
        <f>IF(H160,H172,IF(J160,J172,G167))</f>
        <v>1180.48672394798</v>
      </c>
      <c r="K167" s="67"/>
      <c r="L167" s="67"/>
      <c r="M167" s="67">
        <f>IF(K160,K172,IF(M160,M172,J167))</f>
        <v>1180.48672394798</v>
      </c>
      <c r="N167" s="67"/>
      <c r="O167" s="67"/>
      <c r="P167" s="67">
        <f>IF(N160,N172,IF(P160,P172,M167))</f>
        <v>1193.6457795917684</v>
      </c>
      <c r="Q167" s="67"/>
      <c r="R167" s="67"/>
      <c r="S167" s="67">
        <f>IF(Q160,Q172,IF(S160,S172,P167))</f>
        <v>1193.6457795917684</v>
      </c>
      <c r="T167" s="67"/>
      <c r="U167" s="67"/>
      <c r="V167" s="67">
        <f>IF(T160,T172,IF(V160,V172,S167))</f>
        <v>1193.6457795917684</v>
      </c>
      <c r="W167" s="67"/>
      <c r="X167" s="67"/>
      <c r="Y167" s="67">
        <f>IF(W160,W172,IF(Y160,Y172,V167))</f>
        <v>1193.6457795917684</v>
      </c>
      <c r="Z167" s="67"/>
      <c r="AA167" s="67"/>
      <c r="AB167" s="67">
        <f>IF(Z160,Z172,IF(AB160,AB172,Y167))</f>
        <v>1193.6457795917684</v>
      </c>
      <c r="AC167" s="67"/>
      <c r="AD167" s="67"/>
      <c r="AE167" s="67">
        <f>IF(AC160,AC172,IF(AE160,AE172,AB167))</f>
        <v>1193.6457795917684</v>
      </c>
      <c r="AF167" s="4"/>
      <c r="AG167" s="4"/>
      <c r="AJ167" s="4"/>
      <c r="AL167" s="4"/>
      <c r="AM167" s="4"/>
      <c r="AN167" s="4"/>
      <c r="AO167" s="4"/>
      <c r="AT167" s="63" t="str">
        <f>B167</f>
        <v>Magnum Youth Academy</v>
      </c>
      <c r="AU167" s="63">
        <f>AE167</f>
        <v>1193.6457795917684</v>
      </c>
      <c r="AW167" s="66"/>
    </row>
    <row r="168" spans="1:49" s="63" customFormat="1" x14ac:dyDescent="0.2">
      <c r="A168" s="67">
        <v>5</v>
      </c>
      <c r="B168" s="67" t="e">
        <f>E101</f>
        <v>#REF!</v>
      </c>
      <c r="C168" s="67" t="e">
        <f>VLOOKUP(B168,AU$3:AW$33,3,FALSE)</f>
        <v>#REF!</v>
      </c>
      <c r="D168" s="67" t="e">
        <f>IF(B161,B172,IF(D161,D172,C168))</f>
        <v>#REF!</v>
      </c>
      <c r="E168" s="67"/>
      <c r="F168" s="67"/>
      <c r="G168" s="67" t="e">
        <f>IF(E161,E172,IF(G161,G172,D168))</f>
        <v>#REF!</v>
      </c>
      <c r="H168" s="67"/>
      <c r="I168" s="67"/>
      <c r="J168" s="67" t="e">
        <f>IF(H161,H172,IF(J161,J172,G168))</f>
        <v>#REF!</v>
      </c>
      <c r="K168" s="67"/>
      <c r="L168" s="67"/>
      <c r="M168" s="67" t="e">
        <f>IF(K161,K172,IF(M161,M172,J168))</f>
        <v>#REF!</v>
      </c>
      <c r="N168" s="67"/>
      <c r="O168" s="67"/>
      <c r="P168" s="67" t="e">
        <f>IF(N161,N172,IF(P161,P172,M168))</f>
        <v>#REF!</v>
      </c>
      <c r="Q168" s="67"/>
      <c r="R168" s="67"/>
      <c r="S168" s="67" t="e">
        <f>IF(Q161,Q172,IF(S161,S172,P168))</f>
        <v>#REF!</v>
      </c>
      <c r="T168" s="67"/>
      <c r="U168" s="67"/>
      <c r="V168" s="67" t="e">
        <f>IF(T161,T172,IF(V161,V172,S168))</f>
        <v>#REF!</v>
      </c>
      <c r="W168" s="67"/>
      <c r="X168" s="67"/>
      <c r="Y168" s="67" t="e">
        <f>IF(W161,W172,IF(Y161,Y172,V168))</f>
        <v>#REF!</v>
      </c>
      <c r="Z168" s="67"/>
      <c r="AA168" s="67"/>
      <c r="AB168" s="67" t="e">
        <f>IF(Z161,Z172,IF(AB161,AB172,Y168))</f>
        <v>#REF!</v>
      </c>
      <c r="AC168" s="67"/>
      <c r="AD168" s="67"/>
      <c r="AE168" s="67" t="e">
        <f>IF(AC161,AC172,IF(AE161,AE172,AB168))</f>
        <v>#REF!</v>
      </c>
      <c r="AF168" s="4"/>
      <c r="AG168" s="4"/>
      <c r="AJ168" s="4"/>
      <c r="AL168" s="4"/>
      <c r="AM168" s="4"/>
      <c r="AN168" s="4"/>
      <c r="AO168" s="4"/>
      <c r="AT168" s="63" t="e">
        <f>B168</f>
        <v>#REF!</v>
      </c>
      <c r="AU168" s="63" t="e">
        <f>AE168</f>
        <v>#REF!</v>
      </c>
      <c r="AW168" s="66"/>
    </row>
    <row r="169" spans="1:49" s="63" customFormat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</row>
    <row r="170" spans="1:49" s="63" customFormat="1" x14ac:dyDescent="0.2">
      <c r="A170" s="67" t="s">
        <v>116</v>
      </c>
      <c r="B170" s="67">
        <f>VLOOKUP(B109,$A164:$AE168,3,FALSE)</f>
        <v>1143.4462769415238</v>
      </c>
      <c r="C170" s="67">
        <v>1</v>
      </c>
      <c r="D170" s="67">
        <f>VLOOKUP(D109,$A164:$AE168,3,FALSE)</f>
        <v>1149.1012907267443</v>
      </c>
      <c r="E170" s="67">
        <f>VLOOKUP(E109,$A164:$AE168,4,FALSE)</f>
        <v>1178.4467378847983</v>
      </c>
      <c r="F170" s="67">
        <v>2</v>
      </c>
      <c r="G170" s="67">
        <f>VLOOKUP(G109,$A164:$AE168,4,FALSE)</f>
        <v>1147.2863075642813</v>
      </c>
      <c r="H170" s="67">
        <f>VLOOKUP(H109,$A164:$AE168,7,FALSE)</f>
        <v>1159.7066769555117</v>
      </c>
      <c r="I170" s="67">
        <v>3</v>
      </c>
      <c r="J170" s="67">
        <f>VLOOKUP(J109,$A164:$AE168,7,FALSE)</f>
        <v>1164.7174631837547</v>
      </c>
      <c r="K170" s="67">
        <f>VLOOKUP(K109,$A164:$AE168,10,FALSE)</f>
        <v>1161.0155822653248</v>
      </c>
      <c r="L170" s="67">
        <v>4</v>
      </c>
      <c r="M170" s="67">
        <f>VLOOKUP(M109,$A164:$AE168,10,FALSE)</f>
        <v>1132.8408907127564</v>
      </c>
      <c r="N170" s="67">
        <f>VLOOKUP(N109,$A164:$AE168,13,FALSE)</f>
        <v>1118.1355465141287</v>
      </c>
      <c r="O170" s="67">
        <v>5</v>
      </c>
      <c r="P170" s="67">
        <f>VLOOKUP(P109,$A164:$AE168,13,FALSE)</f>
        <v>1180.48672394798</v>
      </c>
      <c r="Q170" s="67">
        <f>VLOOKUP(Q109,$A164:$AE168,16,FALSE)</f>
        <v>1175.7209264639525</v>
      </c>
      <c r="R170" s="67">
        <v>6</v>
      </c>
      <c r="S170" s="67">
        <f>VLOOKUP(S109,$A164:$AE168,16,FALSE)</f>
        <v>1143.9374161912865</v>
      </c>
      <c r="T170" s="67" t="e">
        <f>VLOOKUP(T109,$A164:$AE168,19,FALSE)</f>
        <v>#N/A</v>
      </c>
      <c r="U170" s="67">
        <v>7</v>
      </c>
      <c r="V170" s="67" t="e">
        <f>VLOOKUP(V109,$A164:$AE168,19,FALSE)</f>
        <v>#N/A</v>
      </c>
      <c r="W170" s="67" t="e">
        <f>VLOOKUP(W109,$A164:$AE168,22,FALSE)</f>
        <v>#N/A</v>
      </c>
      <c r="X170" s="67">
        <v>8</v>
      </c>
      <c r="Y170" s="67" t="e">
        <f>VLOOKUP(Y109,$A164:$AE168,22,FALSE)</f>
        <v>#N/A</v>
      </c>
      <c r="Z170" s="67" t="e">
        <f>VLOOKUP(Z109,$A164:$AE168,25,FALSE)</f>
        <v>#N/A</v>
      </c>
      <c r="AA170" s="67">
        <v>9</v>
      </c>
      <c r="AB170" s="67" t="e">
        <f>VLOOKUP(AB109,$A164:$AE168,25,FALSE)</f>
        <v>#N/A</v>
      </c>
      <c r="AC170" s="67" t="e">
        <f>VLOOKUP(AC109,$A164:$AE168,28,FALSE)</f>
        <v>#N/A</v>
      </c>
      <c r="AD170" s="67">
        <v>10</v>
      </c>
      <c r="AE170" s="67" t="e">
        <f>VLOOKUP(AE109,$A164:$AE168,28,FALSE)</f>
        <v>#N/A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</row>
    <row r="171" spans="1:49" s="72" customFormat="1" x14ac:dyDescent="0.2">
      <c r="A171" s="68" t="s">
        <v>117</v>
      </c>
      <c r="B171" s="68">
        <f>1/(1+(10^-((B170-D170)/400)))*(B121+D121)</f>
        <v>0.98372499912575273</v>
      </c>
      <c r="C171" s="68"/>
      <c r="D171" s="68">
        <f>1/(1+(10^-((D170-B170)/400)))*(B121+D121)</f>
        <v>1.0162750008742474</v>
      </c>
      <c r="E171" s="68">
        <f>1/(1+(10^-((E170-G170)/400)))*(E121+G121)</f>
        <v>1.0894472262170876</v>
      </c>
      <c r="F171" s="68"/>
      <c r="G171" s="68">
        <f>1/(1+(10^-((G170-E170)/400)))*(E121+G121)</f>
        <v>0.91055277378291244</v>
      </c>
      <c r="H171" s="68">
        <f>1/(1+(10^-((H170-J170)/400)))*(H121+J121)</f>
        <v>0.98557879776407442</v>
      </c>
      <c r="I171" s="68"/>
      <c r="J171" s="68">
        <f>1/(1+(10^-((J170-H170)/400)))*(H121+J121)</f>
        <v>1.0144212022359254</v>
      </c>
      <c r="K171" s="68">
        <f>1/(1+(10^-((K170-M170)/400)))*(K121+M121)</f>
        <v>1.0809159875857683</v>
      </c>
      <c r="L171" s="68"/>
      <c r="M171" s="68">
        <f>1/(1+(10^-((M170-K170)/400)))*(K121+M121)</f>
        <v>0.91908401241423165</v>
      </c>
      <c r="N171" s="68">
        <f>1/(1+(10^-((N170-P170)/400)))*(N121+P121)</f>
        <v>0.8224409777367726</v>
      </c>
      <c r="O171" s="68"/>
      <c r="P171" s="68">
        <f>1/(1+(10^-((P170-N170)/400)))*(N121+P121)</f>
        <v>1.1775590222632275</v>
      </c>
      <c r="Q171" s="68">
        <f>1/(1+(10^-((Q170-S170)/400)))*(Q121+S121)</f>
        <v>1.0912259588503566</v>
      </c>
      <c r="R171" s="68"/>
      <c r="S171" s="68">
        <f>1/(1+(10^-((S170-Q170)/400)))*(Q121+S121)</f>
        <v>0.90877404114964355</v>
      </c>
      <c r="T171" s="68" t="e">
        <f>1/(1+(10^-((T170-V170)/400)))*(T121+V121)</f>
        <v>#N/A</v>
      </c>
      <c r="U171" s="68"/>
      <c r="V171" s="68" t="e">
        <f>1/(1+(10^-((V170-T170)/400)))*(T121+V121)</f>
        <v>#N/A</v>
      </c>
      <c r="W171" s="68" t="e">
        <f>1/(1+(10^-((W170-Y170)/400)))*(W121+Y121)</f>
        <v>#N/A</v>
      </c>
      <c r="X171" s="68"/>
      <c r="Y171" s="68" t="e">
        <f>1/(1+(10^-((Y170-W170)/400)))*(W121+Y121)</f>
        <v>#N/A</v>
      </c>
      <c r="Z171" s="68" t="e">
        <f>1/(1+(10^-((Z170-AB170)/400)))*(Z121+AB121)</f>
        <v>#N/A</v>
      </c>
      <c r="AA171" s="68"/>
      <c r="AB171" s="68" t="e">
        <f>1/(1+(10^-((AB170-Z170)/400)))*(Z121+AB121)</f>
        <v>#N/A</v>
      </c>
      <c r="AC171" s="68" t="e">
        <f>1/(1+(10^-((AC170-AE170)/400)))*(AC121+AE121)</f>
        <v>#N/A</v>
      </c>
      <c r="AD171" s="68"/>
      <c r="AE171" s="68" t="e">
        <f>1/(1+(10^-((AE170-AC170)/400)))*(AC121+AE121)</f>
        <v>#N/A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</row>
    <row r="172" spans="1:49" s="78" customFormat="1" x14ac:dyDescent="0.2">
      <c r="A172" s="74" t="s">
        <v>118</v>
      </c>
      <c r="B172" s="74">
        <f>B170+(B121-B171)*$BA$1</f>
        <v>1159.7066769555117</v>
      </c>
      <c r="C172" s="74"/>
      <c r="D172" s="74">
        <f>D170+(D121-D171)*$BA$1</f>
        <v>1132.8408907127564</v>
      </c>
      <c r="E172" s="74">
        <f>E170+(E121-E171)*$BA$1</f>
        <v>1161.0155822653248</v>
      </c>
      <c r="F172" s="74"/>
      <c r="G172" s="74">
        <f>G170+(G121-G171)*$BA$1</f>
        <v>1164.7174631837547</v>
      </c>
      <c r="H172" s="74">
        <f>H170+(H121-H171)*$BA$1</f>
        <v>1143.9374161912865</v>
      </c>
      <c r="I172" s="74"/>
      <c r="J172" s="74">
        <f>J170+(J121-J171)*$BA$1</f>
        <v>1180.48672394798</v>
      </c>
      <c r="K172" s="74">
        <f>K170+(K121-K171)*$BA$1</f>
        <v>1175.7209264639525</v>
      </c>
      <c r="L172" s="74"/>
      <c r="M172" s="74">
        <f>M170+(M121-M171)*$BA$1</f>
        <v>1118.1355465141287</v>
      </c>
      <c r="N172" s="74">
        <f>N170+(N121-N171)*$BA$1</f>
        <v>1104.9764908703403</v>
      </c>
      <c r="O172" s="74"/>
      <c r="P172" s="74">
        <f>P170+(P121-P171)*$BA$1</f>
        <v>1193.6457795917684</v>
      </c>
      <c r="Q172" s="74">
        <f>Q170+(Q121-Q171)*$BA$1</f>
        <v>1190.2613111223468</v>
      </c>
      <c r="R172" s="74"/>
      <c r="S172" s="74">
        <f>S170+(S121-S171)*$BA$1</f>
        <v>1129.3970315328922</v>
      </c>
      <c r="T172" s="74" t="e">
        <f>T170+(T121-T171)*$BA$1</f>
        <v>#N/A</v>
      </c>
      <c r="U172" s="74"/>
      <c r="V172" s="74" t="e">
        <f>V170+(V121-V171)*$BA$1</f>
        <v>#N/A</v>
      </c>
      <c r="W172" s="74" t="e">
        <f>W170+(W121-W171)*$BA$1</f>
        <v>#N/A</v>
      </c>
      <c r="X172" s="74"/>
      <c r="Y172" s="74" t="e">
        <f>Y170+(Y121-Y171)*$BA$1</f>
        <v>#N/A</v>
      </c>
      <c r="Z172" s="74" t="e">
        <f>Z170+(Z121-Z171)*$BA$1</f>
        <v>#N/A</v>
      </c>
      <c r="AA172" s="74"/>
      <c r="AB172" s="74" t="e">
        <f>AB170+(AB121-AB171)*$BA$1</f>
        <v>#N/A</v>
      </c>
      <c r="AC172" s="74" t="e">
        <f>AC170+(AC121-AC171)*$BA$1</f>
        <v>#N/A</v>
      </c>
      <c r="AD172" s="74"/>
      <c r="AE172" s="74" t="e">
        <f>AE170+(AE121-AE171)*$BA$1</f>
        <v>#N/A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</row>
    <row r="173" spans="1:49" s="78" customFormat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T173" s="79"/>
    </row>
    <row r="174" spans="1:49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</row>
    <row r="175" spans="1:49" s="63" customFormat="1" ht="13.5" thickBot="1" x14ac:dyDescent="0.25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</row>
    <row r="176" spans="1:49" ht="24" customHeight="1" thickBot="1" x14ac:dyDescent="0.25">
      <c r="A176" s="22" t="s">
        <v>35</v>
      </c>
      <c r="B176" s="23" t="s">
        <v>1021</v>
      </c>
      <c r="C176" s="246" t="s">
        <v>37</v>
      </c>
      <c r="D176" s="247"/>
      <c r="E176" s="247"/>
      <c r="F176" s="247"/>
      <c r="G176" s="247"/>
      <c r="H176" s="248"/>
      <c r="I176" s="249">
        <v>3</v>
      </c>
      <c r="J176" s="250"/>
      <c r="K176" s="335" t="str">
        <f>"Pool "&amp;B176&amp;" - Round 1 - Court "&amp;I176</f>
        <v>Pool CC - Round 1 - Court 3</v>
      </c>
      <c r="L176" s="336"/>
      <c r="M176" s="336"/>
      <c r="N176" s="336"/>
      <c r="O176" s="336"/>
      <c r="P176" s="336"/>
      <c r="Q176" s="336"/>
      <c r="R176" s="336"/>
      <c r="S176" s="336"/>
      <c r="T176" s="336"/>
      <c r="U176" s="336"/>
      <c r="V176" s="336"/>
      <c r="W176" s="336"/>
      <c r="X176" s="336"/>
      <c r="Y176" s="336"/>
      <c r="Z176" s="336"/>
      <c r="AA176" s="336"/>
      <c r="AB176" s="336"/>
      <c r="AC176" s="336"/>
      <c r="AD176" s="336"/>
      <c r="AE176" s="336"/>
      <c r="AF176" s="336"/>
      <c r="AG176" s="336"/>
      <c r="AH176" s="336"/>
      <c r="AI176" s="337"/>
      <c r="AJ176" s="182"/>
      <c r="AK176" s="182"/>
      <c r="AL176" s="182"/>
      <c r="AM176" s="182"/>
      <c r="AN176" s="182"/>
      <c r="AO176" s="182"/>
      <c r="AP176" s="182"/>
      <c r="AQ176" s="182"/>
    </row>
    <row r="177" spans="1:44" ht="27" customHeight="1" thickBot="1" x14ac:dyDescent="0.25">
      <c r="A177" s="24" t="s">
        <v>40</v>
      </c>
      <c r="B177" s="254" t="s">
        <v>10</v>
      </c>
      <c r="C177" s="255"/>
      <c r="D177" s="255"/>
      <c r="E177" s="255"/>
      <c r="F177" s="255"/>
      <c r="G177" s="255"/>
      <c r="H177" s="255"/>
      <c r="I177" s="255"/>
      <c r="J177" s="255"/>
      <c r="K177" s="255"/>
      <c r="L177" s="254" t="str">
        <f>IF($AK180=0,"Games Won","Matches Won")</f>
        <v>Games Won</v>
      </c>
      <c r="M177" s="255"/>
      <c r="N177" s="255"/>
      <c r="O177" s="255"/>
      <c r="P177" s="255"/>
      <c r="Q177" s="256"/>
      <c r="R177" s="254" t="str">
        <f>IF($AK180=0,"Games Lost","Matches Lost")</f>
        <v>Games Lost</v>
      </c>
      <c r="S177" s="257"/>
      <c r="T177" s="257"/>
      <c r="U177" s="257"/>
      <c r="V177" s="258"/>
      <c r="W177" s="259" t="s">
        <v>41</v>
      </c>
      <c r="X177" s="260"/>
      <c r="Y177" s="261"/>
      <c r="Z177" s="259" t="s">
        <v>42</v>
      </c>
      <c r="AA177" s="260"/>
      <c r="AB177" s="261"/>
      <c r="AC177" s="279" t="s">
        <v>43</v>
      </c>
      <c r="AD177" s="280"/>
      <c r="AE177" s="281"/>
      <c r="AF177" s="25" t="s">
        <v>44</v>
      </c>
      <c r="AG177" s="26" t="s">
        <v>9</v>
      </c>
      <c r="AH177" s="282" t="s">
        <v>45</v>
      </c>
      <c r="AI177" s="283"/>
      <c r="AJ177" s="27"/>
      <c r="AK177" s="28">
        <v>2</v>
      </c>
      <c r="AL177" s="29" t="s">
        <v>46</v>
      </c>
      <c r="AM177" s="29"/>
      <c r="AN177" s="29"/>
      <c r="AO177" s="29"/>
      <c r="AP177" s="29"/>
      <c r="AQ177" s="29"/>
      <c r="AR177" s="30"/>
    </row>
    <row r="178" spans="1:44" ht="18.75" customHeight="1" x14ac:dyDescent="0.2">
      <c r="A178" s="227" t="str">
        <f>IF($AK179&gt;0,"1","")</f>
        <v>1</v>
      </c>
      <c r="B178" s="229" t="s">
        <v>10</v>
      </c>
      <c r="C178" s="230"/>
      <c r="D178" s="231"/>
      <c r="E178" s="232" t="str">
        <f>'New AM wave 8 tms'!V264</f>
        <v>Foothills 12 Kim</v>
      </c>
      <c r="F178" s="233"/>
      <c r="G178" s="233"/>
      <c r="H178" s="233"/>
      <c r="I178" s="233"/>
      <c r="J178" s="233"/>
      <c r="K178" s="234"/>
      <c r="L178" s="235">
        <f>IF($AK180=0,AF234,AF216)</f>
        <v>3</v>
      </c>
      <c r="M178" s="236"/>
      <c r="N178" s="236"/>
      <c r="O178" s="236"/>
      <c r="P178" s="236"/>
      <c r="Q178" s="256"/>
      <c r="R178" s="235">
        <f>IF($AK180=0,AG234,AG216)</f>
        <v>1</v>
      </c>
      <c r="S178" s="236"/>
      <c r="T178" s="236"/>
      <c r="U178" s="236"/>
      <c r="V178" s="236"/>
      <c r="W178" s="235">
        <f>AQ194</f>
        <v>16</v>
      </c>
      <c r="X178" s="236"/>
      <c r="Y178" s="236"/>
      <c r="Z178" s="239">
        <f>IF(AF228&gt;0,(AQ194/AF228),0)</f>
        <v>0.15841584158415842</v>
      </c>
      <c r="AA178" s="240"/>
      <c r="AB178" s="240"/>
      <c r="AC178" s="262">
        <f>IF(AF242=0,0,(AF234/AF242))</f>
        <v>0.75</v>
      </c>
      <c r="AD178" s="263"/>
      <c r="AE178" s="264"/>
      <c r="AF178" s="268">
        <v>1</v>
      </c>
      <c r="AG178" s="268">
        <v>1</v>
      </c>
      <c r="AH178" s="270">
        <v>7</v>
      </c>
      <c r="AI178" s="271"/>
      <c r="AJ178" s="27"/>
      <c r="AK178" s="28">
        <v>3</v>
      </c>
      <c r="AL178" s="29" t="s">
        <v>49</v>
      </c>
      <c r="AM178" s="29"/>
      <c r="AN178" s="29"/>
      <c r="AO178" s="29"/>
      <c r="AP178" s="29"/>
      <c r="AQ178" s="29"/>
      <c r="AR178" s="30"/>
    </row>
    <row r="179" spans="1:44" ht="18.75" customHeight="1" thickBot="1" x14ac:dyDescent="0.25">
      <c r="A179" s="228"/>
      <c r="B179" s="274" t="s">
        <v>11</v>
      </c>
      <c r="C179" s="275"/>
      <c r="D179" s="276"/>
      <c r="E179" s="277" t="str">
        <f>'New AM wave 8 tms'!AB264</f>
        <v>fj2footh3pm</v>
      </c>
      <c r="F179" s="278"/>
      <c r="G179" s="278"/>
      <c r="H179" s="278"/>
      <c r="I179" s="278"/>
      <c r="J179" s="278"/>
      <c r="K179" s="278"/>
      <c r="L179" s="237"/>
      <c r="M179" s="238"/>
      <c r="N179" s="238"/>
      <c r="O179" s="238"/>
      <c r="P179" s="238"/>
      <c r="Q179" s="256"/>
      <c r="R179" s="237"/>
      <c r="S179" s="238"/>
      <c r="T179" s="238"/>
      <c r="U179" s="238"/>
      <c r="V179" s="238"/>
      <c r="W179" s="237"/>
      <c r="X179" s="238"/>
      <c r="Y179" s="238"/>
      <c r="Z179" s="241"/>
      <c r="AA179" s="242"/>
      <c r="AB179" s="242"/>
      <c r="AC179" s="265"/>
      <c r="AD179" s="266"/>
      <c r="AE179" s="267"/>
      <c r="AF179" s="269"/>
      <c r="AG179" s="269"/>
      <c r="AH179" s="272"/>
      <c r="AI179" s="273"/>
      <c r="AJ179" s="27"/>
      <c r="AK179" s="28">
        <v>3</v>
      </c>
      <c r="AL179" s="29" t="s">
        <v>52</v>
      </c>
      <c r="AM179" s="27"/>
      <c r="AN179" s="27"/>
      <c r="AO179" s="27"/>
      <c r="AP179" s="27"/>
      <c r="AQ179" s="27"/>
      <c r="AR179" s="3"/>
    </row>
    <row r="180" spans="1:44" ht="18.75" customHeight="1" x14ac:dyDescent="0.2">
      <c r="A180" s="227" t="str">
        <f>IF($AK179&gt;1,"2","")</f>
        <v>2</v>
      </c>
      <c r="B180" s="229" t="s">
        <v>10</v>
      </c>
      <c r="C180" s="230"/>
      <c r="D180" s="231"/>
      <c r="E180" s="232" t="str">
        <f>'New AM wave 8 tms'!V265</f>
        <v>SC Midlands KP Garnet</v>
      </c>
      <c r="F180" s="233"/>
      <c r="G180" s="233"/>
      <c r="H180" s="233"/>
      <c r="I180" s="233"/>
      <c r="J180" s="233"/>
      <c r="K180" s="234"/>
      <c r="L180" s="235">
        <f>IF($AK180=0,AF235,AF217)</f>
        <v>1</v>
      </c>
      <c r="M180" s="236"/>
      <c r="N180" s="236"/>
      <c r="O180" s="236"/>
      <c r="P180" s="236"/>
      <c r="Q180" s="256"/>
      <c r="R180" s="235">
        <f>IF($AK180=0,AG235,AG217)</f>
        <v>3</v>
      </c>
      <c r="S180" s="236"/>
      <c r="T180" s="236"/>
      <c r="U180" s="236"/>
      <c r="V180" s="236"/>
      <c r="W180" s="235">
        <f>AQ195</f>
        <v>-12</v>
      </c>
      <c r="X180" s="236"/>
      <c r="Y180" s="236"/>
      <c r="Z180" s="239">
        <f>IF(AF229&gt;0,(AQ195/AF229),0)</f>
        <v>-0.13333333333333333</v>
      </c>
      <c r="AA180" s="240"/>
      <c r="AB180" s="240"/>
      <c r="AC180" s="262">
        <f>IF(AF243=0,0,(AF235/AF243))</f>
        <v>0.25</v>
      </c>
      <c r="AD180" s="263"/>
      <c r="AE180" s="264"/>
      <c r="AF180" s="268">
        <v>3</v>
      </c>
      <c r="AG180" s="268">
        <v>1</v>
      </c>
      <c r="AH180" s="270">
        <v>9</v>
      </c>
      <c r="AI180" s="271"/>
      <c r="AJ180" s="27"/>
      <c r="AK180" s="28">
        <v>0</v>
      </c>
      <c r="AL180" s="29" t="s">
        <v>55</v>
      </c>
      <c r="AM180" s="29"/>
      <c r="AN180" s="29"/>
      <c r="AO180" s="29"/>
      <c r="AP180" s="29"/>
      <c r="AQ180" s="29"/>
      <c r="AR180" s="30"/>
    </row>
    <row r="181" spans="1:44" ht="18.75" customHeight="1" thickBot="1" x14ac:dyDescent="0.25">
      <c r="A181" s="228"/>
      <c r="B181" s="284" t="s">
        <v>11</v>
      </c>
      <c r="C181" s="285"/>
      <c r="D181" s="285"/>
      <c r="E181" s="277" t="str">
        <f>'New AM wave 8 tms'!AB265</f>
        <v>fj2scmid5pm</v>
      </c>
      <c r="F181" s="278"/>
      <c r="G181" s="278"/>
      <c r="H181" s="278"/>
      <c r="I181" s="278"/>
      <c r="J181" s="278"/>
      <c r="K181" s="278"/>
      <c r="L181" s="237"/>
      <c r="M181" s="238"/>
      <c r="N181" s="238"/>
      <c r="O181" s="238"/>
      <c r="P181" s="238"/>
      <c r="Q181" s="256"/>
      <c r="R181" s="237"/>
      <c r="S181" s="238"/>
      <c r="T181" s="238"/>
      <c r="U181" s="238"/>
      <c r="V181" s="238"/>
      <c r="W181" s="237"/>
      <c r="X181" s="238"/>
      <c r="Y181" s="238"/>
      <c r="Z181" s="241"/>
      <c r="AA181" s="242"/>
      <c r="AB181" s="242"/>
      <c r="AC181" s="265"/>
      <c r="AD181" s="266"/>
      <c r="AE181" s="267"/>
      <c r="AF181" s="269"/>
      <c r="AG181" s="269"/>
      <c r="AH181" s="272"/>
      <c r="AI181" s="273"/>
      <c r="AJ181" s="27"/>
      <c r="AK181" s="28">
        <v>1</v>
      </c>
      <c r="AL181" s="29" t="s">
        <v>58</v>
      </c>
      <c r="AM181" s="27"/>
      <c r="AN181" s="27"/>
      <c r="AO181" s="27"/>
      <c r="AP181" s="27"/>
      <c r="AQ181" s="27"/>
      <c r="AR181" s="3"/>
    </row>
    <row r="182" spans="1:44" ht="18.75" customHeight="1" x14ac:dyDescent="0.2">
      <c r="A182" s="227" t="str">
        <f>IF($AK179&gt;2,"3","")</f>
        <v>3</v>
      </c>
      <c r="B182" s="286" t="s">
        <v>10</v>
      </c>
      <c r="C182" s="287"/>
      <c r="D182" s="287"/>
      <c r="E182" s="232" t="str">
        <f>'New AM wave 8 tms'!V266</f>
        <v>Kershaw Dev 12 Black</v>
      </c>
      <c r="F182" s="233"/>
      <c r="G182" s="233"/>
      <c r="H182" s="233"/>
      <c r="I182" s="233"/>
      <c r="J182" s="233"/>
      <c r="K182" s="234"/>
      <c r="L182" s="235">
        <f>IF($AK180=0,AF236,AF218)</f>
        <v>2</v>
      </c>
      <c r="M182" s="236"/>
      <c r="N182" s="236"/>
      <c r="O182" s="236"/>
      <c r="P182" s="236"/>
      <c r="Q182" s="256"/>
      <c r="R182" s="235">
        <f>IF($AK180=0,AG236,AG218)</f>
        <v>2</v>
      </c>
      <c r="S182" s="236"/>
      <c r="T182" s="236"/>
      <c r="U182" s="236"/>
      <c r="V182" s="236"/>
      <c r="W182" s="235">
        <f>AQ196</f>
        <v>-4</v>
      </c>
      <c r="X182" s="236"/>
      <c r="Y182" s="236"/>
      <c r="Z182" s="239">
        <f>IF(AF230&gt;0,(AQ196/AF230),0)</f>
        <v>-4.2105263157894736E-2</v>
      </c>
      <c r="AA182" s="240"/>
      <c r="AB182" s="240"/>
      <c r="AC182" s="262">
        <f>IF(AF244=0,0,(AF236/AF244))</f>
        <v>0.5</v>
      </c>
      <c r="AD182" s="263"/>
      <c r="AE182" s="264"/>
      <c r="AF182" s="268">
        <v>2</v>
      </c>
      <c r="AG182" s="268">
        <v>1</v>
      </c>
      <c r="AH182" s="270">
        <v>8</v>
      </c>
      <c r="AI182" s="271"/>
      <c r="AJ182" s="31"/>
      <c r="AK182" s="28">
        <v>4</v>
      </c>
      <c r="AL182" s="32" t="s">
        <v>61</v>
      </c>
      <c r="AM182" s="29"/>
      <c r="AN182" s="29"/>
      <c r="AO182" s="29"/>
      <c r="AP182" s="29"/>
      <c r="AQ182" s="29"/>
      <c r="AR182" s="30"/>
    </row>
    <row r="183" spans="1:44" ht="18.75" customHeight="1" thickBot="1" x14ac:dyDescent="0.25">
      <c r="A183" s="228"/>
      <c r="B183" s="284" t="s">
        <v>11</v>
      </c>
      <c r="C183" s="285"/>
      <c r="D183" s="285"/>
      <c r="E183" s="277" t="str">
        <f>'New AM wave 8 tms'!AB266</f>
        <v>fj2kersh3pm</v>
      </c>
      <c r="F183" s="278"/>
      <c r="G183" s="278"/>
      <c r="H183" s="278"/>
      <c r="I183" s="278"/>
      <c r="J183" s="278"/>
      <c r="K183" s="278"/>
      <c r="L183" s="237"/>
      <c r="M183" s="238"/>
      <c r="N183" s="238"/>
      <c r="O183" s="238"/>
      <c r="P183" s="238"/>
      <c r="Q183" s="256"/>
      <c r="R183" s="237"/>
      <c r="S183" s="238"/>
      <c r="T183" s="238"/>
      <c r="U183" s="238"/>
      <c r="V183" s="238"/>
      <c r="W183" s="237"/>
      <c r="X183" s="238"/>
      <c r="Y183" s="238"/>
      <c r="Z183" s="241"/>
      <c r="AA183" s="242"/>
      <c r="AB183" s="242"/>
      <c r="AC183" s="265"/>
      <c r="AD183" s="266"/>
      <c r="AE183" s="267"/>
      <c r="AF183" s="269"/>
      <c r="AG183" s="269"/>
      <c r="AH183" s="272"/>
      <c r="AI183" s="273"/>
      <c r="AJ183" s="31"/>
      <c r="AK183" s="36"/>
      <c r="AL183" s="37"/>
      <c r="AM183" s="37"/>
      <c r="AN183" s="37"/>
      <c r="AO183" s="37"/>
      <c r="AP183" s="37"/>
      <c r="AQ183" s="27"/>
      <c r="AR183" s="3"/>
    </row>
    <row r="184" spans="1:44" ht="18.75" customHeight="1" x14ac:dyDescent="0.2">
      <c r="A184" s="227" t="str">
        <f>IF($AK179&gt;3,"4","")</f>
        <v/>
      </c>
      <c r="B184" s="286" t="s">
        <v>10</v>
      </c>
      <c r="C184" s="287"/>
      <c r="D184" s="287"/>
      <c r="E184" s="232" t="e">
        <f>#REF!</f>
        <v>#REF!</v>
      </c>
      <c r="F184" s="233"/>
      <c r="G184" s="233"/>
      <c r="H184" s="233"/>
      <c r="I184" s="233"/>
      <c r="J184" s="233"/>
      <c r="K184" s="234"/>
      <c r="L184" s="235">
        <f>IF($AK180=0,AF237,AF219)</f>
        <v>0</v>
      </c>
      <c r="M184" s="236"/>
      <c r="N184" s="236"/>
      <c r="O184" s="236"/>
      <c r="P184" s="236"/>
      <c r="Q184" s="256"/>
      <c r="R184" s="235">
        <f>IF($AK180=0,AG237,AG219)</f>
        <v>0</v>
      </c>
      <c r="S184" s="236"/>
      <c r="T184" s="236"/>
      <c r="U184" s="236"/>
      <c r="V184" s="236"/>
      <c r="W184" s="235">
        <f>AQ197</f>
        <v>0</v>
      </c>
      <c r="X184" s="236"/>
      <c r="Y184" s="236"/>
      <c r="Z184" s="239">
        <f>IF(AF231&gt;0,(AQ197/AF231),0)</f>
        <v>0</v>
      </c>
      <c r="AA184" s="240"/>
      <c r="AB184" s="240"/>
      <c r="AC184" s="262">
        <f>IF(AF245=0,0,(AF237/AF245))</f>
        <v>0</v>
      </c>
      <c r="AD184" s="263"/>
      <c r="AE184" s="264"/>
      <c r="AF184" s="268"/>
      <c r="AG184" s="268"/>
      <c r="AH184" s="270"/>
      <c r="AI184" s="271"/>
      <c r="AJ184" s="182"/>
      <c r="AK184" s="37"/>
      <c r="AL184" s="37"/>
      <c r="AM184" s="37"/>
      <c r="AN184" s="37"/>
      <c r="AO184" s="37"/>
      <c r="AP184" s="37"/>
      <c r="AQ184" s="29"/>
      <c r="AR184" s="30"/>
    </row>
    <row r="185" spans="1:44" ht="18.75" customHeight="1" thickBot="1" x14ac:dyDescent="0.25">
      <c r="A185" s="228"/>
      <c r="B185" s="284" t="s">
        <v>11</v>
      </c>
      <c r="C185" s="285"/>
      <c r="D185" s="285"/>
      <c r="E185" s="277" t="e">
        <f>#REF!</f>
        <v>#REF!</v>
      </c>
      <c r="F185" s="278"/>
      <c r="G185" s="278"/>
      <c r="H185" s="278"/>
      <c r="I185" s="278"/>
      <c r="J185" s="278"/>
      <c r="K185" s="278"/>
      <c r="L185" s="237"/>
      <c r="M185" s="238"/>
      <c r="N185" s="238"/>
      <c r="O185" s="238"/>
      <c r="P185" s="238"/>
      <c r="Q185" s="256"/>
      <c r="R185" s="237"/>
      <c r="S185" s="238"/>
      <c r="T185" s="238"/>
      <c r="U185" s="238"/>
      <c r="V185" s="238"/>
      <c r="W185" s="237"/>
      <c r="X185" s="238"/>
      <c r="Y185" s="238"/>
      <c r="Z185" s="241"/>
      <c r="AA185" s="242"/>
      <c r="AB185" s="242"/>
      <c r="AC185" s="265"/>
      <c r="AD185" s="266"/>
      <c r="AE185" s="267"/>
      <c r="AF185" s="269"/>
      <c r="AG185" s="269"/>
      <c r="AH185" s="272"/>
      <c r="AI185" s="273"/>
      <c r="AJ185" s="182"/>
      <c r="AK185" s="37"/>
      <c r="AL185" s="37"/>
      <c r="AM185" s="37"/>
      <c r="AN185" s="37"/>
      <c r="AO185" s="37"/>
      <c r="AP185" s="37"/>
      <c r="AQ185" s="182"/>
      <c r="AR185" s="3"/>
    </row>
    <row r="186" spans="1:44" ht="18.75" customHeight="1" x14ac:dyDescent="0.2">
      <c r="A186" s="227" t="str">
        <f>IF($AK179&gt;4,"5","")</f>
        <v/>
      </c>
      <c r="B186" s="286" t="s">
        <v>10</v>
      </c>
      <c r="C186" s="287"/>
      <c r="D186" s="287"/>
      <c r="E186" s="300" t="e">
        <f>#REF!</f>
        <v>#REF!</v>
      </c>
      <c r="F186" s="301"/>
      <c r="G186" s="301"/>
      <c r="H186" s="301"/>
      <c r="I186" s="301"/>
      <c r="J186" s="301"/>
      <c r="K186" s="302"/>
      <c r="L186" s="235">
        <f>IF($AK180=0,AF238,AF220)</f>
        <v>0</v>
      </c>
      <c r="M186" s="236"/>
      <c r="N186" s="236"/>
      <c r="O186" s="236"/>
      <c r="P186" s="236"/>
      <c r="Q186" s="256"/>
      <c r="R186" s="235">
        <f>IF($AK180=0,AG238,AG220)</f>
        <v>0</v>
      </c>
      <c r="S186" s="236"/>
      <c r="T186" s="236"/>
      <c r="U186" s="236"/>
      <c r="V186" s="236"/>
      <c r="W186" s="235">
        <f>AQ198</f>
        <v>0</v>
      </c>
      <c r="X186" s="236"/>
      <c r="Y186" s="236"/>
      <c r="Z186" s="239">
        <f>IF(AF232&gt;0,(AQ198/AF232),0)</f>
        <v>0</v>
      </c>
      <c r="AA186" s="240"/>
      <c r="AB186" s="240"/>
      <c r="AC186" s="262">
        <f>IF(AF246=0,0,(AF238/AF246))</f>
        <v>0</v>
      </c>
      <c r="AD186" s="263"/>
      <c r="AE186" s="264"/>
      <c r="AF186" s="268"/>
      <c r="AG186" s="268"/>
      <c r="AH186" s="270"/>
      <c r="AI186" s="271"/>
      <c r="AJ186" s="182"/>
      <c r="AK186" s="37"/>
      <c r="AL186" s="37"/>
      <c r="AM186" s="37"/>
      <c r="AN186" s="37"/>
      <c r="AO186" s="37"/>
      <c r="AP186" s="37"/>
      <c r="AQ186" s="182"/>
      <c r="AR186" s="3"/>
    </row>
    <row r="187" spans="1:44" ht="18.75" customHeight="1" thickBot="1" x14ac:dyDescent="0.25">
      <c r="A187" s="228"/>
      <c r="B187" s="296" t="s">
        <v>11</v>
      </c>
      <c r="C187" s="297"/>
      <c r="D187" s="297"/>
      <c r="E187" s="298" t="e">
        <f>#REF!</f>
        <v>#REF!</v>
      </c>
      <c r="F187" s="299"/>
      <c r="G187" s="299"/>
      <c r="H187" s="299"/>
      <c r="I187" s="299"/>
      <c r="J187" s="299"/>
      <c r="K187" s="299"/>
      <c r="L187" s="303"/>
      <c r="M187" s="304"/>
      <c r="N187" s="304"/>
      <c r="O187" s="304"/>
      <c r="P187" s="304"/>
      <c r="Q187" s="256"/>
      <c r="R187" s="303"/>
      <c r="S187" s="304"/>
      <c r="T187" s="304"/>
      <c r="U187" s="304"/>
      <c r="V187" s="304"/>
      <c r="W187" s="303"/>
      <c r="X187" s="304"/>
      <c r="Y187" s="304"/>
      <c r="Z187" s="288"/>
      <c r="AA187" s="289"/>
      <c r="AB187" s="289"/>
      <c r="AC187" s="290"/>
      <c r="AD187" s="291"/>
      <c r="AE187" s="292"/>
      <c r="AF187" s="293"/>
      <c r="AG187" s="293"/>
      <c r="AH187" s="294"/>
      <c r="AI187" s="295"/>
      <c r="AJ187" s="182"/>
      <c r="AK187" s="37"/>
      <c r="AL187" s="37"/>
      <c r="AM187" s="37"/>
      <c r="AN187" s="37"/>
      <c r="AO187" s="37"/>
      <c r="AP187" s="37"/>
      <c r="AQ187" s="182"/>
      <c r="AR187" s="3"/>
    </row>
    <row r="188" spans="1:44" ht="21" customHeight="1" thickTop="1" thickBot="1" x14ac:dyDescent="0.25">
      <c r="A188" s="40"/>
      <c r="B188" s="305" t="s">
        <v>1020</v>
      </c>
      <c r="C188" s="306"/>
      <c r="D188" s="306"/>
      <c r="E188" s="306"/>
      <c r="F188" s="306"/>
      <c r="G188" s="306"/>
      <c r="H188" s="306"/>
      <c r="I188" s="306"/>
      <c r="J188" s="306"/>
      <c r="K188" s="306"/>
      <c r="L188" s="306"/>
      <c r="M188" s="306"/>
      <c r="N188" s="306"/>
      <c r="O188" s="306"/>
      <c r="P188" s="306"/>
      <c r="Q188" s="306"/>
      <c r="R188" s="306"/>
      <c r="S188" s="306"/>
      <c r="T188" s="306"/>
      <c r="U188" s="306"/>
      <c r="V188" s="306"/>
      <c r="W188" s="306"/>
      <c r="X188" s="306"/>
      <c r="Y188" s="306"/>
      <c r="Z188" s="306"/>
      <c r="AA188" s="306"/>
      <c r="AB188" s="306"/>
      <c r="AC188" s="306"/>
      <c r="AD188" s="306"/>
      <c r="AE188" s="306"/>
      <c r="AF188" s="306"/>
      <c r="AG188" s="306"/>
      <c r="AH188" s="306"/>
      <c r="AI188" s="307"/>
      <c r="AJ188" s="182"/>
      <c r="AK188" s="37"/>
      <c r="AL188" s="37"/>
      <c r="AM188" s="37"/>
      <c r="AN188" s="37"/>
      <c r="AO188" s="37"/>
      <c r="AP188" s="37"/>
      <c r="AQ188" s="182"/>
      <c r="AR188" s="3"/>
    </row>
    <row r="189" spans="1:44" ht="13.5" thickTop="1" x14ac:dyDescent="0.2">
      <c r="A189" s="4" t="s">
        <v>66</v>
      </c>
      <c r="B189" s="308">
        <v>0.13541666666666666</v>
      </c>
      <c r="C189" s="309"/>
      <c r="D189" s="310"/>
      <c r="E189" s="308">
        <v>0.16666666666666666</v>
      </c>
      <c r="F189" s="309"/>
      <c r="G189" s="310"/>
      <c r="H189" s="308">
        <v>0.19791666666666666</v>
      </c>
      <c r="I189" s="309"/>
      <c r="J189" s="310"/>
      <c r="K189" s="308"/>
      <c r="L189" s="309"/>
      <c r="M189" s="310"/>
      <c r="N189" s="308"/>
      <c r="O189" s="309"/>
      <c r="P189" s="310"/>
      <c r="Q189" s="308"/>
      <c r="R189" s="309"/>
      <c r="S189" s="310"/>
      <c r="T189" s="308"/>
      <c r="U189" s="309"/>
      <c r="V189" s="310"/>
      <c r="W189" s="308"/>
      <c r="X189" s="309"/>
      <c r="Y189" s="310"/>
      <c r="Z189" s="308"/>
      <c r="AA189" s="309"/>
      <c r="AB189" s="310"/>
      <c r="AC189" s="308"/>
      <c r="AD189" s="309"/>
      <c r="AE189" s="310"/>
      <c r="AF189" s="311" t="s">
        <v>67</v>
      </c>
      <c r="AG189" s="312"/>
      <c r="AH189" s="312"/>
      <c r="AI189" s="312"/>
      <c r="AJ189" s="313"/>
      <c r="AK189" s="313"/>
      <c r="AL189" s="313"/>
      <c r="AM189" s="313"/>
      <c r="AN189" s="313"/>
      <c r="AO189" s="313"/>
      <c r="AP189" s="313"/>
      <c r="AQ189" s="314"/>
    </row>
    <row r="190" spans="1:44" x14ac:dyDescent="0.2">
      <c r="A190" s="41" t="s">
        <v>68</v>
      </c>
      <c r="B190" s="319"/>
      <c r="C190" s="320"/>
      <c r="D190" s="321"/>
      <c r="E190" s="319"/>
      <c r="F190" s="320"/>
      <c r="G190" s="321"/>
      <c r="H190" s="319"/>
      <c r="I190" s="320"/>
      <c r="J190" s="321"/>
      <c r="K190" s="319"/>
      <c r="L190" s="320"/>
      <c r="M190" s="321"/>
      <c r="N190" s="319"/>
      <c r="O190" s="320"/>
      <c r="P190" s="321"/>
      <c r="Q190" s="319"/>
      <c r="R190" s="320"/>
      <c r="S190" s="321"/>
      <c r="T190" s="319"/>
      <c r="U190" s="320"/>
      <c r="V190" s="321"/>
      <c r="W190" s="319"/>
      <c r="X190" s="320"/>
      <c r="Y190" s="321"/>
      <c r="Z190" s="319"/>
      <c r="AA190" s="320"/>
      <c r="AB190" s="321"/>
      <c r="AC190" s="319"/>
      <c r="AD190" s="320"/>
      <c r="AE190" s="321"/>
      <c r="AF190" s="311"/>
      <c r="AG190" s="312"/>
      <c r="AH190" s="312"/>
      <c r="AI190" s="312"/>
      <c r="AJ190" s="312"/>
      <c r="AK190" s="312"/>
      <c r="AL190" s="312"/>
      <c r="AM190" s="312"/>
      <c r="AN190" s="312"/>
      <c r="AO190" s="312"/>
      <c r="AP190" s="312"/>
      <c r="AQ190" s="315"/>
    </row>
    <row r="191" spans="1:44" x14ac:dyDescent="0.2">
      <c r="A191" s="41" t="s">
        <v>69</v>
      </c>
      <c r="B191" s="319"/>
      <c r="C191" s="320"/>
      <c r="D191" s="321"/>
      <c r="E191" s="319"/>
      <c r="F191" s="320"/>
      <c r="G191" s="321"/>
      <c r="H191" s="319"/>
      <c r="I191" s="320"/>
      <c r="J191" s="321"/>
      <c r="K191" s="319"/>
      <c r="L191" s="320"/>
      <c r="M191" s="321"/>
      <c r="N191" s="319"/>
      <c r="O191" s="320"/>
      <c r="P191" s="321"/>
      <c r="Q191" s="319"/>
      <c r="R191" s="320"/>
      <c r="S191" s="321"/>
      <c r="T191" s="319"/>
      <c r="U191" s="320"/>
      <c r="V191" s="321"/>
      <c r="W191" s="319"/>
      <c r="X191" s="320"/>
      <c r="Y191" s="321"/>
      <c r="Z191" s="319"/>
      <c r="AA191" s="320"/>
      <c r="AB191" s="321"/>
      <c r="AC191" s="319"/>
      <c r="AD191" s="320"/>
      <c r="AE191" s="321"/>
      <c r="AF191" s="311"/>
      <c r="AG191" s="312"/>
      <c r="AH191" s="312"/>
      <c r="AI191" s="312"/>
      <c r="AJ191" s="312"/>
      <c r="AK191" s="312"/>
      <c r="AL191" s="312"/>
      <c r="AM191" s="312"/>
      <c r="AN191" s="312"/>
      <c r="AO191" s="312"/>
      <c r="AP191" s="312"/>
      <c r="AQ191" s="315"/>
    </row>
    <row r="192" spans="1:44" ht="13.5" thickBot="1" x14ac:dyDescent="0.25">
      <c r="A192" s="182"/>
      <c r="B192" s="322" t="s">
        <v>70</v>
      </c>
      <c r="C192" s="323"/>
      <c r="D192" s="324"/>
      <c r="E192" s="322" t="str">
        <f>IF(AK178&gt;1,"Match 2","")</f>
        <v>Match 2</v>
      </c>
      <c r="F192" s="323"/>
      <c r="G192" s="324"/>
      <c r="H192" s="322" t="str">
        <f>IF(AK178&gt;2,"Match 3","")</f>
        <v>Match 3</v>
      </c>
      <c r="I192" s="323"/>
      <c r="J192" s="324"/>
      <c r="K192" s="322" t="str">
        <f>IF(AK178&gt;3,"Match 4","")</f>
        <v/>
      </c>
      <c r="L192" s="323"/>
      <c r="M192" s="324"/>
      <c r="N192" s="322" t="str">
        <f>IF(AK178&gt;4,"Match 5","")</f>
        <v/>
      </c>
      <c r="O192" s="323"/>
      <c r="P192" s="324"/>
      <c r="Q192" s="322" t="str">
        <f>IF(AK178&gt;5,"Match 6","")</f>
        <v/>
      </c>
      <c r="R192" s="323"/>
      <c r="S192" s="324"/>
      <c r="T192" s="322" t="str">
        <f>IF(AK178&gt;6,"Match 7","")</f>
        <v/>
      </c>
      <c r="U192" s="323"/>
      <c r="V192" s="324"/>
      <c r="W192" s="322" t="str">
        <f>IF(AK178&gt;7,"Match 8","")</f>
        <v/>
      </c>
      <c r="X192" s="323"/>
      <c r="Y192" s="324"/>
      <c r="Z192" s="322" t="str">
        <f>IF(AK178&gt;8,"Match 9","")</f>
        <v/>
      </c>
      <c r="AA192" s="323"/>
      <c r="AB192" s="324"/>
      <c r="AC192" s="322" t="str">
        <f>IF(AK178&gt;9,"Match 10","")</f>
        <v/>
      </c>
      <c r="AD192" s="323"/>
      <c r="AE192" s="324"/>
      <c r="AF192" s="316"/>
      <c r="AG192" s="317"/>
      <c r="AH192" s="317"/>
      <c r="AI192" s="317"/>
      <c r="AJ192" s="317"/>
      <c r="AK192" s="317"/>
      <c r="AL192" s="317"/>
      <c r="AM192" s="317"/>
      <c r="AN192" s="317"/>
      <c r="AO192" s="317"/>
      <c r="AP192" s="317"/>
      <c r="AQ192" s="318"/>
    </row>
    <row r="193" spans="1:43" ht="15.75" x14ac:dyDescent="0.25">
      <c r="A193" s="182"/>
      <c r="B193" s="325" t="s">
        <v>75</v>
      </c>
      <c r="C193" s="326"/>
      <c r="D193" s="327"/>
      <c r="E193" s="325" t="s">
        <v>73</v>
      </c>
      <c r="F193" s="326"/>
      <c r="G193" s="327"/>
      <c r="H193" s="325" t="s">
        <v>72</v>
      </c>
      <c r="I193" s="326"/>
      <c r="J193" s="327"/>
      <c r="K193" s="325" t="s">
        <v>71</v>
      </c>
      <c r="L193" s="326"/>
      <c r="M193" s="327"/>
      <c r="N193" s="325" t="s">
        <v>75</v>
      </c>
      <c r="O193" s="326"/>
      <c r="P193" s="327"/>
      <c r="Q193" s="325" t="s">
        <v>72</v>
      </c>
      <c r="R193" s="326"/>
      <c r="S193" s="327"/>
      <c r="T193" s="325"/>
      <c r="U193" s="326"/>
      <c r="V193" s="327"/>
      <c r="W193" s="325"/>
      <c r="X193" s="326"/>
      <c r="Y193" s="327"/>
      <c r="Z193" s="325"/>
      <c r="AA193" s="326"/>
      <c r="AB193" s="327"/>
      <c r="AC193" s="325"/>
      <c r="AD193" s="326"/>
      <c r="AE193" s="327"/>
      <c r="AF193" s="42" t="s">
        <v>76</v>
      </c>
      <c r="AG193" s="43">
        <v>1</v>
      </c>
      <c r="AH193" s="43">
        <v>2</v>
      </c>
      <c r="AI193" s="43">
        <v>3</v>
      </c>
      <c r="AJ193" s="43">
        <v>4</v>
      </c>
      <c r="AK193" s="43">
        <v>5</v>
      </c>
      <c r="AL193" s="43">
        <v>6</v>
      </c>
      <c r="AM193" s="43">
        <v>7</v>
      </c>
      <c r="AN193" s="43">
        <v>8</v>
      </c>
      <c r="AO193" s="43">
        <v>9</v>
      </c>
      <c r="AP193" s="43">
        <v>10</v>
      </c>
      <c r="AQ193" s="44" t="s">
        <v>77</v>
      </c>
    </row>
    <row r="194" spans="1:43" ht="15.75" x14ac:dyDescent="0.25">
      <c r="A194" s="182"/>
      <c r="B194" s="45">
        <v>1</v>
      </c>
      <c r="C194" s="46" t="s">
        <v>78</v>
      </c>
      <c r="D194" s="47">
        <v>3</v>
      </c>
      <c r="E194" s="45">
        <v>2</v>
      </c>
      <c r="F194" s="46" t="str">
        <f>IF(AK178&gt;1,"v","")</f>
        <v>v</v>
      </c>
      <c r="G194" s="47">
        <v>3</v>
      </c>
      <c r="H194" s="45">
        <v>1</v>
      </c>
      <c r="I194" s="46" t="str">
        <f>IF(AK178&gt;2,"v","")</f>
        <v>v</v>
      </c>
      <c r="J194" s="47">
        <v>2</v>
      </c>
      <c r="K194" s="45">
        <v>1</v>
      </c>
      <c r="L194" s="46" t="str">
        <f>IF(AK178&gt;3,"v","")</f>
        <v/>
      </c>
      <c r="M194" s="47">
        <v>3</v>
      </c>
      <c r="N194" s="45">
        <v>3</v>
      </c>
      <c r="O194" s="46" t="str">
        <f>IF(AK178&gt;4,"v","")</f>
        <v/>
      </c>
      <c r="P194" s="47">
        <v>4</v>
      </c>
      <c r="Q194" s="45">
        <v>1</v>
      </c>
      <c r="R194" s="46" t="str">
        <f>IF(AK178&gt;5,"v","")</f>
        <v/>
      </c>
      <c r="S194" s="47">
        <v>2</v>
      </c>
      <c r="T194" s="45"/>
      <c r="U194" s="46" t="str">
        <f>IF(AK178&gt;6,"v","")</f>
        <v/>
      </c>
      <c r="V194" s="47"/>
      <c r="W194" s="45"/>
      <c r="X194" s="46" t="str">
        <f>IF(AK178&gt;7,"v","")</f>
        <v/>
      </c>
      <c r="Y194" s="47"/>
      <c r="Z194" s="45"/>
      <c r="AA194" s="46" t="str">
        <f>IF(AK178&gt;8,"v","")</f>
        <v/>
      </c>
      <c r="AB194" s="47"/>
      <c r="AC194" s="45"/>
      <c r="AD194" s="46" t="str">
        <f>IF(AK178&gt;9,"v","")</f>
        <v/>
      </c>
      <c r="AE194" s="47"/>
      <c r="AF194" s="42" t="str">
        <f>IF(AK179&gt;0,"Team 1","")</f>
        <v>Team 1</v>
      </c>
      <c r="AG194" s="48">
        <f>IF(AK179&lt;1,"",IF(AK178&lt;1,"",IF(B194=1,B200-D200,IF(D194=1,D200-B200,""))))</f>
        <v>4</v>
      </c>
      <c r="AH194" s="48" t="str">
        <f>IF(AK179&lt;1,"",IF(AK178&lt;2,"",IF(E194=1,E200-G200,IF(G194=1,G200-E200,""))))</f>
        <v/>
      </c>
      <c r="AI194" s="48">
        <f>IF(AK179&lt;1,"",IF(AK178&lt;3,"",IF(H194=1,H200-J200,IF(J194=1,J200-H200,""))))</f>
        <v>12</v>
      </c>
      <c r="AJ194" s="48" t="str">
        <f>IF(AK179&lt;1,"",IF(AK178&lt;4,"",IF(K194=1,K200-M200,IF(M194=1,M200-K200,""))))</f>
        <v/>
      </c>
      <c r="AK194" s="48" t="str">
        <f>IF(AK179&lt;1,"",IF(AK178&lt;5,"",IF(N194=1,N200-P200,IF(P194=1,P200-N200,""))))</f>
        <v/>
      </c>
      <c r="AL194" s="48" t="str">
        <f>IF(AK179&lt;1,"",IF(AK178&lt;6,"",IF(Q194=1,Q200-S200,IF(S194=1,S200-Q200,""))))</f>
        <v/>
      </c>
      <c r="AM194" s="48" t="str">
        <f>IF(AK179&lt;1,"",IF(AK178&lt;7,"",IF(T194=1,T200-V200,IF(V194=1,V200-T200,""))))</f>
        <v/>
      </c>
      <c r="AN194" s="48" t="str">
        <f>IF(AK179&lt;1,"",IF(AK178&lt;8,"",IF(W194=1,W200-Y200,IF(Y194=1,Y200-W200,""))))</f>
        <v/>
      </c>
      <c r="AO194" s="48" t="str">
        <f>IF(AK179&lt;1,"",IF(AK178&lt;9,"",IF(Z194=1,Z200-AB200,IF(AB194=1,AB200-Z200,""))))</f>
        <v/>
      </c>
      <c r="AP194" s="48" t="str">
        <f>IF(AK179&lt;1,"",IF(AK178&lt;10,"",IF(AC194=1,AC200-AE200,IF(AE194=1,AE200-AC200,""))))</f>
        <v/>
      </c>
      <c r="AQ194" s="44">
        <f>SUM(AG194:AP194)</f>
        <v>16</v>
      </c>
    </row>
    <row r="195" spans="1:43" ht="15" x14ac:dyDescent="0.2">
      <c r="A195" s="4" t="s">
        <v>79</v>
      </c>
      <c r="B195" s="49">
        <v>25</v>
      </c>
      <c r="C195" s="50" t="s">
        <v>80</v>
      </c>
      <c r="D195" s="51">
        <v>12</v>
      </c>
      <c r="E195" s="49">
        <v>20</v>
      </c>
      <c r="F195" s="50" t="str">
        <f>IF(AK178&gt;1,"/","")</f>
        <v>/</v>
      </c>
      <c r="G195" s="51">
        <v>19</v>
      </c>
      <c r="H195" s="49">
        <v>25</v>
      </c>
      <c r="I195" s="50" t="str">
        <f>IF(AK178&gt;2,"/","")</f>
        <v>/</v>
      </c>
      <c r="J195" s="51">
        <v>17</v>
      </c>
      <c r="K195" s="49"/>
      <c r="L195" s="50" t="str">
        <f>IF(AK178&gt;3,"/","")</f>
        <v/>
      </c>
      <c r="M195" s="51"/>
      <c r="N195" s="49"/>
      <c r="O195" s="50" t="str">
        <f>IF(AK178&gt;4,"/","")</f>
        <v/>
      </c>
      <c r="P195" s="51"/>
      <c r="Q195" s="49"/>
      <c r="R195" s="50" t="str">
        <f>IF(AK178&gt;5,"/","")</f>
        <v/>
      </c>
      <c r="S195" s="51"/>
      <c r="T195" s="49"/>
      <c r="U195" s="50" t="str">
        <f>IF(AK178&gt;6,"/","")</f>
        <v/>
      </c>
      <c r="V195" s="51"/>
      <c r="W195" s="49"/>
      <c r="X195" s="50" t="str">
        <f>IF(AK178&gt;7,"/","")</f>
        <v/>
      </c>
      <c r="Y195" s="51"/>
      <c r="Z195" s="49"/>
      <c r="AA195" s="50" t="str">
        <f>IF(AK178&gt;8,"/","")</f>
        <v/>
      </c>
      <c r="AB195" s="51"/>
      <c r="AC195" s="49"/>
      <c r="AD195" s="50" t="str">
        <f>IF(AK178&gt;9,"/","")</f>
        <v/>
      </c>
      <c r="AE195" s="51"/>
      <c r="AF195" s="42" t="str">
        <f>IF(AK179&gt;1,"Team 2","")</f>
        <v>Team 2</v>
      </c>
      <c r="AG195" s="48" t="str">
        <f>IF(AK179&lt;2,"",IF(AK178&lt;1,"",IF(B194=2,B200-D200,IF(D194=2,D200-B200,""))))</f>
        <v/>
      </c>
      <c r="AH195" s="48">
        <f>IF(AK179&lt;2,"",IF(AK178&lt;2,"",IF(E194=2,E200-G200,IF(G194=2,G200-E200,""))))</f>
        <v>0</v>
      </c>
      <c r="AI195" s="48">
        <f>IF(AK179&lt;2,"",IF(AK178&lt;3,"",IF(H194=2,H200-J200,IF(J194=2,J200-H200,""))))</f>
        <v>-12</v>
      </c>
      <c r="AJ195" s="48" t="str">
        <f>IF(AK179&lt;2,"",IF(AK178&lt;4,"",IF(K194=2,K200-M200,IF(M194=2,M200-K200,""))))</f>
        <v/>
      </c>
      <c r="AK195" s="48" t="str">
        <f>IF(AK179&lt;2,"",IF(AK178&lt;5,"",IF(N194=2,N200-P200,IF(P194=2,P200-N200,""))))</f>
        <v/>
      </c>
      <c r="AL195" s="48" t="str">
        <f>IF(AK179&lt;2,"",IF(AK178&lt;6,"",IF(Q194=2,Q200-S200,IF(S194=2,S200-Q200,""))))</f>
        <v/>
      </c>
      <c r="AM195" s="48" t="str">
        <f>IF(AK179&lt;2,"",IF(AK178&lt;7,"",IF(T194=2,T200-V200,IF(V194=2,V200-T200,""))))</f>
        <v/>
      </c>
      <c r="AN195" s="48" t="str">
        <f>IF(AK179&lt;2,"",IF(AK178&lt;8,"",IF(W194=2,W200-Y200,IF(Y194=2,Y200-W200,""))))</f>
        <v/>
      </c>
      <c r="AO195" s="48" t="str">
        <f>IF(AK179&lt;2,"",IF(AK178&lt;9,"",IF(Z194=2,Z200-AB200,IF(AB194=2,AB200-Z200,""))))</f>
        <v/>
      </c>
      <c r="AP195" s="48" t="str">
        <f>IF(AK179&lt;2,"",IF(AK178&lt;10,"",IF(AC194=2,AC200-AE200,IF(AE194=2,AE200-AC200,""))))</f>
        <v/>
      </c>
      <c r="AQ195" s="44">
        <f>SUM(AG195:AP195)</f>
        <v>-12</v>
      </c>
    </row>
    <row r="196" spans="1:43" ht="15" x14ac:dyDescent="0.2">
      <c r="A196" s="3" t="str">
        <f>IF(AK177&gt;1,"Game 2","")</f>
        <v>Game 2</v>
      </c>
      <c r="B196" s="49">
        <v>19</v>
      </c>
      <c r="C196" s="50" t="s">
        <v>80</v>
      </c>
      <c r="D196" s="51">
        <v>28</v>
      </c>
      <c r="E196" s="49">
        <v>21</v>
      </c>
      <c r="F196" s="50" t="str">
        <f>IF(AK178&gt;1,IF(AK177&gt;1,"/",""),"")</f>
        <v>/</v>
      </c>
      <c r="G196" s="51">
        <v>22</v>
      </c>
      <c r="H196" s="49">
        <v>23</v>
      </c>
      <c r="I196" s="50" t="str">
        <f>IF(AK178&gt;2,IF(AK177&gt;1,"/",""),"")</f>
        <v>/</v>
      </c>
      <c r="J196" s="51">
        <v>19</v>
      </c>
      <c r="K196" s="49"/>
      <c r="L196" s="50" t="str">
        <f>IF(AK178&gt;3,IF(AK177&gt;1,"/",""),"")</f>
        <v/>
      </c>
      <c r="M196" s="51"/>
      <c r="N196" s="49"/>
      <c r="O196" s="50" t="str">
        <f>IF(AK178&gt;4,IF(AK177&gt;1,"/",""),"")</f>
        <v/>
      </c>
      <c r="P196" s="51"/>
      <c r="Q196" s="49"/>
      <c r="R196" s="50" t="str">
        <f>IF(AK178&gt;5,IF(AK177&gt;1,"/",""),"")</f>
        <v/>
      </c>
      <c r="S196" s="51"/>
      <c r="T196" s="49"/>
      <c r="U196" s="50" t="str">
        <f>IF(AK178&gt;6,IF(AK177&gt;1,"/",""),"")</f>
        <v/>
      </c>
      <c r="V196" s="51"/>
      <c r="W196" s="49"/>
      <c r="X196" s="50" t="str">
        <f>IF(AK178&gt;7,IF(AK177&gt;1,"/",""),"")</f>
        <v/>
      </c>
      <c r="Y196" s="51"/>
      <c r="Z196" s="49"/>
      <c r="AA196" s="50" t="str">
        <f>IF(AK178&gt;8,IF(AK177&gt;1,"/",""),"")</f>
        <v/>
      </c>
      <c r="AB196" s="51"/>
      <c r="AC196" s="49"/>
      <c r="AD196" s="50" t="str">
        <f>IF(AK178&gt;9,IF(AK177&gt;1,"/",""),"")</f>
        <v/>
      </c>
      <c r="AE196" s="51"/>
      <c r="AF196" s="42" t="str">
        <f>IF(AK179&gt;2,"Team 3","")</f>
        <v>Team 3</v>
      </c>
      <c r="AG196" s="48">
        <f>IF(AK179&lt;3,"",IF(AK178&lt;1,"",IF(B194=3,B200-D200,IF(D194=3,D200-B200,""))))</f>
        <v>-4</v>
      </c>
      <c r="AH196" s="48">
        <f>IF(AK179&lt;3,"",IF(AK178&lt;2,"",IF(E194=3,E200-G200,IF(G194=3,G200-E200,""))))</f>
        <v>0</v>
      </c>
      <c r="AI196" s="48" t="str">
        <f>IF(AK179&lt;3,"",IF(AK178&lt;3,"",IF(H194=3,H200-J200,IF(J194=3,J200-H200,""))))</f>
        <v/>
      </c>
      <c r="AJ196" s="48" t="str">
        <f>IF(AK179&lt;3,"",IF(AK178&lt;4,"",IF(K194=3,K200-M200,IF(M194=3,M200-K200,""))))</f>
        <v/>
      </c>
      <c r="AK196" s="48" t="str">
        <f>IF(AK179&lt;3,"",IF(AK178&lt;5,"",IF(N194=3,N200-P200,IF(P194=3,P200-N200,""))))</f>
        <v/>
      </c>
      <c r="AL196" s="48" t="str">
        <f>IF(AK179&lt;3,"",IF(AK178&lt;6,"",IF(Q194=3,Q200-S200,IF(S194=3,S200-Q200,""))))</f>
        <v/>
      </c>
      <c r="AM196" s="48" t="str">
        <f>IF(AK179&lt;3,"",IF(AK178&lt;7,"",IF(T194=3,T200-V200,IF(V194=3,V200-T200,""))))</f>
        <v/>
      </c>
      <c r="AN196" s="48" t="str">
        <f>IF(AK179&lt;3,"",IF(AK178&lt;8,"",IF(W194=3,W200-Y200,IF(Y194=3,Y200-W200,""))))</f>
        <v/>
      </c>
      <c r="AO196" s="48" t="str">
        <f>IF(AK179&lt;3,"",IF(AK178&lt;9,"",IF(Z194=3,Z200-AB200,IF(AB194=3,AB200-Z200,""))))</f>
        <v/>
      </c>
      <c r="AP196" s="48" t="str">
        <f>IF(AK179&lt;3,"",IF(AK178&lt;9,"",IF(AC194=3,AC200-AE200,IF(AE194=3,AE200-AC200,""))))</f>
        <v/>
      </c>
      <c r="AQ196" s="44">
        <f>SUM(AG196:AP196)</f>
        <v>-4</v>
      </c>
    </row>
    <row r="197" spans="1:43" ht="15" x14ac:dyDescent="0.2">
      <c r="A197" s="3" t="str">
        <f>IF(AK177&gt;2,"Game 3","")</f>
        <v/>
      </c>
      <c r="B197" s="49"/>
      <c r="C197" s="50" t="s">
        <v>80</v>
      </c>
      <c r="D197" s="51"/>
      <c r="E197" s="49"/>
      <c r="F197" s="50" t="str">
        <f>IF(AK178&gt;1,IF(AK177&gt;2,"/",""),"")</f>
        <v/>
      </c>
      <c r="G197" s="51"/>
      <c r="H197" s="49"/>
      <c r="I197" s="50" t="str">
        <f>IF(AK178&gt;2,IF(AK177&gt;2,"/",""),"")</f>
        <v/>
      </c>
      <c r="J197" s="51"/>
      <c r="K197" s="49"/>
      <c r="L197" s="50" t="str">
        <f>IF(AK178&gt;3,IF(AK177&gt;2,"/",""),"")</f>
        <v/>
      </c>
      <c r="M197" s="51"/>
      <c r="N197" s="49"/>
      <c r="O197" s="50" t="str">
        <f>IF(AK178&gt;4,IF(AK177&gt;2,"/",""),"")</f>
        <v/>
      </c>
      <c r="P197" s="51"/>
      <c r="Q197" s="49"/>
      <c r="R197" s="50" t="str">
        <f>IF(AK178&gt;5,IF(AK177&gt;2,"/",""),"")</f>
        <v/>
      </c>
      <c r="S197" s="51"/>
      <c r="T197" s="49"/>
      <c r="U197" s="50" t="str">
        <f>IF(AK178&gt;6,IF(AK177&gt;2,"/",""),"")</f>
        <v/>
      </c>
      <c r="V197" s="51"/>
      <c r="W197" s="49"/>
      <c r="X197" s="50" t="str">
        <f>IF(AK178&gt;7,IF(AK177&gt;2,"/",""),"")</f>
        <v/>
      </c>
      <c r="Y197" s="51"/>
      <c r="Z197" s="49"/>
      <c r="AA197" s="50" t="str">
        <f>IF(AK178&gt;8,IF(AK177&gt;2,"/",""),"")</f>
        <v/>
      </c>
      <c r="AB197" s="51"/>
      <c r="AC197" s="49"/>
      <c r="AD197" s="50" t="str">
        <f>IF(AK178&gt;9,IF(AK177&gt;2,"/",""),"")</f>
        <v/>
      </c>
      <c r="AE197" s="51"/>
      <c r="AF197" s="42" t="str">
        <f>IF(AK179&gt;3,"Team 4","")</f>
        <v/>
      </c>
      <c r="AG197" s="48" t="str">
        <f>IF(AK179&lt;4,"",IF(AK178&lt;1,"",IF(B194=4,B200-D200,IF(D194=4,D200-B200,""))))</f>
        <v/>
      </c>
      <c r="AH197" s="48" t="str">
        <f>IF(AK179&lt;4,"",IF(AK178&lt;2,"",IF(E194=4,E200-G200,IF(G194=4,G200-E200,""))))</f>
        <v/>
      </c>
      <c r="AI197" s="48" t="str">
        <f>IF(AK179&lt;4,"",IF(AK178&lt;3,"",IF(H194=4,H200-J200,IF(J194=4,J200-H200,""))))</f>
        <v/>
      </c>
      <c r="AJ197" s="48" t="str">
        <f>IF(AK179&lt;4,"",IF(AK178&lt;4,"",IF(K194=4,K200-M200,IF(M194=4,M200-K200,""))))</f>
        <v/>
      </c>
      <c r="AK197" s="48" t="str">
        <f>IF(AK179&lt;4,"",IF(AK178&lt;5,"",IF(N194=4,N200-P200,IF(P194=4,P200-N200,""))))</f>
        <v/>
      </c>
      <c r="AL197" s="48" t="str">
        <f>IF(AK179&lt;4,"",IF(AK178&lt;6,"",IF(Q194=4,Q200-S200,IF(S194=4,S200-Q200,""))))</f>
        <v/>
      </c>
      <c r="AM197" s="48" t="str">
        <f>IF(AK179&lt;4,"",IF(AK178&lt;7,"",IF(T194=4,T200-V200,IF(V194=4,V200-T200,""))))</f>
        <v/>
      </c>
      <c r="AN197" s="48" t="str">
        <f>IF(AK179&lt;4,"",IF(AK178&lt;8,"",IF(W194=4,W200-Y200,IF(Y194=4,Y200-W200,""))))</f>
        <v/>
      </c>
      <c r="AO197" s="48" t="str">
        <f>IF(AK179&lt;4,"",IF(AK178&lt;9,"",IF(Z194=4,Z200-AB200,IF(AB194=4,AB200-Z200,""))))</f>
        <v/>
      </c>
      <c r="AP197" s="48" t="str">
        <f>IF(AK179&lt;4,"",IF(AK178&lt;10,"",IF(AC194=4,AC200-AE200,IF(AE194=4,AE200-AC200,""))))</f>
        <v/>
      </c>
      <c r="AQ197" s="44">
        <f>SUM(AG197:AP197)</f>
        <v>0</v>
      </c>
    </row>
    <row r="198" spans="1:43" ht="15" x14ac:dyDescent="0.2">
      <c r="A198" s="3" t="str">
        <f>IF(AK177&gt;3,"Game 4","")</f>
        <v/>
      </c>
      <c r="B198" s="49"/>
      <c r="C198" s="50" t="s">
        <v>80</v>
      </c>
      <c r="D198" s="51"/>
      <c r="E198" s="49"/>
      <c r="F198" s="50" t="str">
        <f>IF(AK178&gt;1,IF(AK177&gt;3,"/",""),"")</f>
        <v/>
      </c>
      <c r="G198" s="51"/>
      <c r="H198" s="49"/>
      <c r="I198" s="50" t="str">
        <f>IF(AK178&gt;2,IF(AK177&gt;3,"/",""),"")</f>
        <v/>
      </c>
      <c r="J198" s="51"/>
      <c r="K198" s="49"/>
      <c r="L198" s="50" t="str">
        <f>IF(AK178&gt;3,IF(AK177&gt;3,"/",""),"")</f>
        <v/>
      </c>
      <c r="M198" s="51"/>
      <c r="N198" s="49"/>
      <c r="O198" s="50" t="str">
        <f>IF(AK178&gt;4,IF(AK177&gt;3,"/",""),"")</f>
        <v/>
      </c>
      <c r="P198" s="51"/>
      <c r="Q198" s="49"/>
      <c r="R198" s="50" t="str">
        <f>IF(AK178&gt;5,IF(AK177&gt;3,"/",""),"")</f>
        <v/>
      </c>
      <c r="S198" s="51"/>
      <c r="T198" s="49"/>
      <c r="U198" s="50" t="str">
        <f>IF(AK178&gt;6,IF(AK177&gt;3,"/",""),"")</f>
        <v/>
      </c>
      <c r="V198" s="51"/>
      <c r="W198" s="49"/>
      <c r="X198" s="50" t="str">
        <f>IF(AK178&gt;7,IF(AK177&gt;3,"/",""),"")</f>
        <v/>
      </c>
      <c r="Y198" s="51"/>
      <c r="Z198" s="49"/>
      <c r="AA198" s="50" t="str">
        <f>IF(AK178&gt;8,IF(AK177&gt;3,"/",""),"")</f>
        <v/>
      </c>
      <c r="AB198" s="51"/>
      <c r="AC198" s="49"/>
      <c r="AD198" s="50" t="str">
        <f>IF(AK178&gt;9,IF(AK177&gt;3,"/",""),"")</f>
        <v/>
      </c>
      <c r="AE198" s="51"/>
      <c r="AF198" s="42" t="str">
        <f>IF(AK179&gt;4,"Team 5","")</f>
        <v/>
      </c>
      <c r="AG198" s="52" t="str">
        <f>IF(AK179&lt;5,"",IF(AK178&lt;1,"",IF(B194=5,B200-D200,IF(D194=5,D200-B200,""))))</f>
        <v/>
      </c>
      <c r="AH198" s="48" t="str">
        <f>IF(AK179&lt;5,"",IF(AK178&lt;2,"",IF(E194=5,E200-G200,IF(G194=5,G200-E200,""))))</f>
        <v/>
      </c>
      <c r="AI198" s="48" t="str">
        <f>IF(AK179&lt;5,"",IF(AK178&lt;3,"",IF(H194=5,H200-J200,IF(J194=5,J200-H200,""))))</f>
        <v/>
      </c>
      <c r="AJ198" s="48" t="str">
        <f>IF(AK179&lt;5,"",IF(AK178&lt;4,"",IF(K194=5,K200-M200,IF(M194=5,M200-K200,""))))</f>
        <v/>
      </c>
      <c r="AK198" s="48" t="str">
        <f>IF(AK179&lt;5,"",IF(AK178&lt;5,"",IF(N194=5,N200-P200,IF(P194=5,P200-N200,""))))</f>
        <v/>
      </c>
      <c r="AL198" s="48" t="str">
        <f>IF(AK179&lt;5,"",IF(AK178&lt;6,"",IF(Q194=5,Q200-S200,IF(S194=5,S200-Q200,""))))</f>
        <v/>
      </c>
      <c r="AM198" s="48" t="str">
        <f>IF(AK179&lt;5,"",IF(AK178&lt;7,"",IF(T194=5,T200-V200,IF(V194=5,V200-T200,""))))</f>
        <v/>
      </c>
      <c r="AN198" s="48" t="str">
        <f>IF(AK179&lt;5,"",IF(AK178&lt;8,"",IF(W194=5,W200-Y200,IF(Y194=5,Y200-W200,""))))</f>
        <v/>
      </c>
      <c r="AO198" s="48" t="str">
        <f>IF(AK179&lt;5,"",IF(AK178&lt;9,"",IF(Z194=5,Z200-AB200,IF(AB194=5,AB200-Z200,""))))</f>
        <v/>
      </c>
      <c r="AP198" s="48" t="str">
        <f>IF(AK179&lt;5,"",IF(AK178&lt;10,"",IF(AC194=5,AC200-AE200,IF(AE194=5,AE200-AC200,""))))</f>
        <v/>
      </c>
      <c r="AQ198" s="44">
        <f>SUM(AG198:AP198)</f>
        <v>0</v>
      </c>
    </row>
    <row r="199" spans="1:43" ht="28.5" customHeight="1" x14ac:dyDescent="0.2">
      <c r="A199" s="3" t="str">
        <f>IF(AK177&gt;4,"Game 5","")</f>
        <v/>
      </c>
      <c r="B199" s="49"/>
      <c r="C199" s="50" t="s">
        <v>80</v>
      </c>
      <c r="D199" s="51"/>
      <c r="E199" s="49"/>
      <c r="F199" s="50" t="str">
        <f>IF(AK178&gt;1,IF(AK177&gt;4,"/",""),"")</f>
        <v/>
      </c>
      <c r="G199" s="51"/>
      <c r="H199" s="49"/>
      <c r="I199" s="50" t="str">
        <f>IF(AK178&gt;2,IF(AK177&gt;4,"/",""),"")</f>
        <v/>
      </c>
      <c r="J199" s="51"/>
      <c r="K199" s="49"/>
      <c r="L199" s="50" t="str">
        <f>IF(AK178&gt;3,IF(AK177&gt;4,"/",""),"")</f>
        <v/>
      </c>
      <c r="M199" s="51"/>
      <c r="N199" s="49"/>
      <c r="O199" s="50" t="str">
        <f>IF(AK178&gt;4,IF(AK177&gt;4,"/",""),"")</f>
        <v/>
      </c>
      <c r="P199" s="51"/>
      <c r="Q199" s="49"/>
      <c r="R199" s="50" t="str">
        <f>IF(AK178&gt;5,IF(AK177&gt;4,"/",""),"")</f>
        <v/>
      </c>
      <c r="S199" s="51"/>
      <c r="T199" s="49"/>
      <c r="U199" s="50" t="str">
        <f>IF(AK178&gt;6,IF(AK177&gt;4,"/",""),"")</f>
        <v/>
      </c>
      <c r="V199" s="51"/>
      <c r="W199" s="49"/>
      <c r="X199" s="50" t="str">
        <f>IF(AK178&gt;7,IF(AK177&gt;4,"/",""),"")</f>
        <v/>
      </c>
      <c r="Y199" s="51"/>
      <c r="Z199" s="49"/>
      <c r="AA199" s="50" t="str">
        <f>IF(AK178&gt;8,IF(AK177&gt;4,"/",""),"")</f>
        <v/>
      </c>
      <c r="AB199" s="51"/>
      <c r="AC199" s="49"/>
      <c r="AD199" s="50" t="str">
        <f>IF(AK178&gt;9,IF(AK177&gt;4,"/",""),"")</f>
        <v/>
      </c>
      <c r="AE199" s="51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</row>
    <row r="200" spans="1:43" hidden="1" x14ac:dyDescent="0.2">
      <c r="A200" s="53"/>
      <c r="B200" s="53">
        <f>IF($AK177=5,SUM(B195:B199),IF($AK177=4,SUM(B195:B198),IF($AK177=3,SUM(B195:B197),IF($AK177=2,SUM(B195:B196),B195))))</f>
        <v>44</v>
      </c>
      <c r="C200" s="53"/>
      <c r="D200" s="53">
        <f>IF($AK177=5,SUM(D195:D199),IF($AK177=4,SUM(D195:D198),IF($AK177=3,SUM(D195:D197),IF($AK177=2,SUM(D195:D196),D195))))</f>
        <v>40</v>
      </c>
      <c r="E200" s="53">
        <f>IF($AK177=5,SUM(E195:E199),IF($AK177=4,SUM(E195:E198),IF($AK177=3,SUM(E195:E197),IF($AK177=2,SUM(E195:E196),E195))))</f>
        <v>41</v>
      </c>
      <c r="F200" s="53"/>
      <c r="G200" s="53">
        <f>IF($AK177=5,SUM(G195:G199),IF($AK177=4,SUM(G195:G198),IF($AK177=3,SUM(G195:G197),IF($AK177=2,SUM(G195:G196),G195))))</f>
        <v>41</v>
      </c>
      <c r="H200" s="53">
        <f>IF($AK177=5,SUM(H195:H199),IF($AK177=4,SUM(H195:H198),IF($AK177=3,SUM(H195:H197),IF($AK177=2,SUM(H195:H196),H195))))</f>
        <v>48</v>
      </c>
      <c r="I200" s="53"/>
      <c r="J200" s="53">
        <f>IF($AK177=5,SUM(J195:J199),IF($AK177=4,SUM(J195:J198),IF($AK177=3,SUM(J195:J197),IF($AK177=2,SUM(J195:J196),J195))))</f>
        <v>36</v>
      </c>
      <c r="K200" s="53">
        <f>IF($AK177=5,SUM(K195:K199),IF($AK177=4,SUM(K195:K198),IF($AK177=3,SUM(K195:K197),IF($AK177=2,SUM(K195:K196),K195))))</f>
        <v>0</v>
      </c>
      <c r="L200" s="53"/>
      <c r="M200" s="53">
        <f>IF($AK177=5,SUM(M195:M199),IF($AK177=4,SUM(M195:M198),IF($AK177=3,SUM(M195:M197),IF($AK177=2,SUM(M195:M196),M195))))</f>
        <v>0</v>
      </c>
      <c r="N200" s="53">
        <f>IF($AK177=5,SUM(N195:N199),IF($AK177=4,SUM(N195:N198),IF($AK177=3,SUM(N195:N197),IF($AK177=2,SUM(N195:N196),N195))))</f>
        <v>0</v>
      </c>
      <c r="O200" s="53"/>
      <c r="P200" s="53">
        <f>IF($AK177=5,SUM(P195:P199),IF($AK177=4,SUM(P195:P198),IF($AK177=3,SUM(P195:P197),IF($AK177=2,SUM(P195:P196),P195))))</f>
        <v>0</v>
      </c>
      <c r="Q200" s="53">
        <f>IF($AK177=5,SUM(Q195:Q199),IF($AK177=4,SUM(Q195:Q198),IF($AK177=3,SUM(Q195:Q197),IF($AK177=2,SUM(Q195:Q196),Q195))))</f>
        <v>0</v>
      </c>
      <c r="R200" s="53"/>
      <c r="S200" s="53">
        <f>IF($AK177=5,SUM(S195:S199),IF($AK177=4,SUM(S195:S198),IF($AK177=3,SUM(S195:S197),IF($AK177=2,SUM(S195:S196),S195))))</f>
        <v>0</v>
      </c>
      <c r="T200" s="53">
        <f>IF($AK177=5,SUM(T195:T199),IF($AK177=4,SUM(T195:T198),IF($AK177=3,SUM(T195:T197),IF($AK177=2,SUM(T195:T196),T195))))</f>
        <v>0</v>
      </c>
      <c r="U200" s="53"/>
      <c r="V200" s="53">
        <f>IF($AK177=5,SUM(V195:V199),IF($AK177=4,SUM(V195:V198),IF($AK177=3,SUM(V195:V197),IF($AK177=2,SUM(V195:V196),V195))))</f>
        <v>0</v>
      </c>
      <c r="W200" s="53">
        <f>IF($AK177=5,SUM(W195:W199),IF($AK177=4,SUM(W195:W198),IF($AK177=3,SUM(W195:W197),IF($AK177=2,SUM(W195:W196),W195))))</f>
        <v>0</v>
      </c>
      <c r="X200" s="53"/>
      <c r="Y200" s="53">
        <f>IF($AK177=5,SUM(Y195:Y199),IF($AK177=4,SUM(Y195:Y198),IF($AK177=3,SUM(Y195:Y197),IF($AK177=2,SUM(Y195:Y196),Y195))))</f>
        <v>0</v>
      </c>
      <c r="Z200" s="53">
        <f>IF($AK177=5,SUM(Z195:Z199),IF($AK177=4,SUM(Z195:Z198),IF($AK177=3,SUM(Z195:Z197),IF($AK177=2,SUM(Z195:Z196),Z195))))</f>
        <v>0</v>
      </c>
      <c r="AA200" s="53"/>
      <c r="AB200" s="53">
        <f>IF($AK177=5,SUM(AB195:AB199),IF($AK177=4,SUM(AB195:AB198),IF($AK177=3,SUM(AB195:AB197),IF($AK177=2,SUM(AB195:AB196),AB195))))</f>
        <v>0</v>
      </c>
      <c r="AC200" s="53">
        <f>IF($AK177=5,SUM(AC195:AC199),IF($AK177=4,SUM(AC195:AC198),IF($AK177=3,SUM(AC195:AC197),IF($AK177=2,SUM(AC195:AC196),AC195))))</f>
        <v>0</v>
      </c>
      <c r="AD200" s="53"/>
      <c r="AE200" s="53">
        <f>IF($AK177=5,SUM(AE195:AE199),IF($AK177=4,SUM(AE195:AE198),IF($AK177=3,SUM(AE195:AE197),IF($AK177=2,SUM(AE195:AE196),AE195))))</f>
        <v>0</v>
      </c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</row>
    <row r="201" spans="1:43" s="55" customFormat="1" ht="12.75" hidden="1" customHeight="1" x14ac:dyDescent="0.2">
      <c r="A201" s="55" t="s">
        <v>81</v>
      </c>
      <c r="B201" s="56">
        <f>IF(AND(B195&gt;D195,$AK178&gt;0,ISNUMBER(B195),ISNUMBER(D195)),1,0)</f>
        <v>1</v>
      </c>
      <c r="C201" s="56"/>
      <c r="D201" s="57">
        <f>IF(AND(D195&gt;B195,$AK178&gt;0,ISNUMBER(B195),ISNUMBER(D195)),1,0)</f>
        <v>0</v>
      </c>
      <c r="E201" s="56">
        <f>IF(AND(E195&gt;G195,$AK178&gt;1,ISNUMBER(E195),ISNUMBER(G195)),1,0)</f>
        <v>1</v>
      </c>
      <c r="F201" s="56"/>
      <c r="G201" s="57">
        <f>IF(AND(G195&gt;E195,$AK178&gt;1,ISNUMBER(E195),ISNUMBER(G195)),1,0)</f>
        <v>0</v>
      </c>
      <c r="H201" s="56">
        <f>IF(AND(H195&gt;J195,$AK178&gt;2,ISNUMBER(H195),ISNUMBER(J195)),1,0)</f>
        <v>1</v>
      </c>
      <c r="I201" s="56"/>
      <c r="J201" s="57">
        <f>IF(AND(J195&gt;H195,$AK178&gt;2,ISNUMBER(H195),ISNUMBER(J195)),1,0)</f>
        <v>0</v>
      </c>
      <c r="K201" s="56">
        <f>IF(AND(K195&gt;M195,$AK178&gt;3,ISNUMBER(K195),ISNUMBER(M195)),1,0)</f>
        <v>0</v>
      </c>
      <c r="L201" s="56"/>
      <c r="M201" s="57">
        <f>IF(AND(M195&gt;K195,$AK178&gt;3,ISNUMBER(K195),ISNUMBER(M195)),1,0)</f>
        <v>0</v>
      </c>
      <c r="N201" s="56">
        <f>IF(AND(N195&gt;P195,$AK178&gt;4,ISNUMBER(N195),ISNUMBER(P195)),1,0)</f>
        <v>0</v>
      </c>
      <c r="O201" s="56"/>
      <c r="P201" s="57">
        <f>IF(AND(P195&gt;N195,$AK178&gt;4,ISNUMBER(N195),ISNUMBER(P195)),1,0)</f>
        <v>0</v>
      </c>
      <c r="Q201" s="56">
        <f>IF(AND(Q195&gt;S195,$AK178&gt;5,ISNUMBER(Q195),ISNUMBER(S195)),1,0)</f>
        <v>0</v>
      </c>
      <c r="R201" s="56"/>
      <c r="S201" s="57">
        <f>IF(AND(S195&gt;Q195,$AK178&gt;5,ISNUMBER(Q195),ISNUMBER(S195)),1,0)</f>
        <v>0</v>
      </c>
      <c r="T201" s="56">
        <f>IF(AND(T195&gt;V195,$AK178&gt;6,ISNUMBER(T195),ISNUMBER(V195)),1,0)</f>
        <v>0</v>
      </c>
      <c r="U201" s="56"/>
      <c r="V201" s="57">
        <f>IF(AND(V195&gt;T195,$AK178&gt;6,ISNUMBER(T195),ISNUMBER(V195)),1,0)</f>
        <v>0</v>
      </c>
      <c r="W201" s="56">
        <f>IF(AND(W195&gt;Y195,$AK178&gt;7,ISNUMBER(W195),ISNUMBER(Y195)),1,0)</f>
        <v>0</v>
      </c>
      <c r="X201" s="56"/>
      <c r="Y201" s="57">
        <f>IF(AND(Y195&gt;W195,$AK178&gt;7,ISNUMBER(W195),ISNUMBER(Y195)),1,0)</f>
        <v>0</v>
      </c>
      <c r="Z201" s="56">
        <f>IF(AND(Z195&gt;AB195,$AK178&gt;8,ISNUMBER(Z195),ISNUMBER(AB195)),1,0)</f>
        <v>0</v>
      </c>
      <c r="AA201" s="56"/>
      <c r="AB201" s="57">
        <f>IF(AND(AB195&gt;Z195,$AK178&gt;8,ISNUMBER(Z195),ISNUMBER(AB195)),1,0)</f>
        <v>0</v>
      </c>
      <c r="AC201" s="56">
        <f>IF(AND(AC195&gt;AE195,$AK178&gt;9,ISNUMBER(AC195),ISNUMBER(AE195)),1,0)</f>
        <v>0</v>
      </c>
      <c r="AD201" s="56"/>
      <c r="AE201" s="57">
        <f>IF(AND(AE195&gt;AC195,$AK178&gt;9,ISNUMBER(AC195),ISNUMBER(AE195)),1,0)</f>
        <v>0</v>
      </c>
    </row>
    <row r="202" spans="1:43" s="55" customFormat="1" ht="12.75" hidden="1" customHeight="1" x14ac:dyDescent="0.2">
      <c r="A202" s="55" t="s">
        <v>82</v>
      </c>
      <c r="B202" s="56">
        <f>IF(AND(B196&gt;D196,$AK178&gt;0,$AK177&gt;1,ISNUMBER(B196),ISNUMBER(D196)),1,0)</f>
        <v>0</v>
      </c>
      <c r="C202" s="56"/>
      <c r="D202" s="57">
        <f>IF(AND(D196&gt;B196,$AK178&gt;0,$AK177&gt;1,ISNUMBER(B196),ISNUMBER(D196)),1,0)</f>
        <v>1</v>
      </c>
      <c r="E202" s="56">
        <f>IF(AND(E196&gt;G196,$AK178&gt;1,$AK177&gt;1,ISNUMBER(E196),ISNUMBER(G196)),1,0)</f>
        <v>0</v>
      </c>
      <c r="F202" s="56"/>
      <c r="G202" s="57">
        <f>IF(AND(G196&gt;E196,$AK178&gt;1,$AK177&gt;1,ISNUMBER(E196),ISNUMBER(G196)),1,0)</f>
        <v>1</v>
      </c>
      <c r="H202" s="56">
        <f>IF(AND(H196&gt;J196,$AK178&gt;2,$AK177&gt;1,ISNUMBER(H196),ISNUMBER(J196)),1,0)</f>
        <v>1</v>
      </c>
      <c r="I202" s="56"/>
      <c r="J202" s="57">
        <f>IF(AND(J196&gt;H196,$AK178&gt;2,$AK177&gt;1,ISNUMBER(H196),ISNUMBER(J196)),1,0)</f>
        <v>0</v>
      </c>
      <c r="K202" s="56">
        <f>IF(AND(K196&gt;M196,$AK178&gt;3,$AK177&gt;1,ISNUMBER(K196),ISNUMBER(M196)),1,0)</f>
        <v>0</v>
      </c>
      <c r="L202" s="56"/>
      <c r="M202" s="57">
        <f>IF(AND(M196&gt;K196,$AK178&gt;3,$AK177&gt;1,ISNUMBER(K196),ISNUMBER(M196)),1,0)</f>
        <v>0</v>
      </c>
      <c r="N202" s="56">
        <f>IF(AND(N196&gt;P196,$AK178&gt;4,$AK177&gt;1,ISNUMBER(N196),ISNUMBER(P196)),1,0)</f>
        <v>0</v>
      </c>
      <c r="O202" s="56"/>
      <c r="P202" s="57">
        <f>IF(AND(P196&gt;N196,$AK178&gt;4,$AK177&gt;1,ISNUMBER(N196),ISNUMBER(P196)),1,0)</f>
        <v>0</v>
      </c>
      <c r="Q202" s="56">
        <f>IF(AND(Q196&gt;S196,$AK178&gt;5,$AK177&gt;1,ISNUMBER(Q196),ISNUMBER(S196)),1,0)</f>
        <v>0</v>
      </c>
      <c r="R202" s="56"/>
      <c r="S202" s="57">
        <f>IF(AND(S196&gt;Q196,$AK178&gt;5,$AK177&gt;1,ISNUMBER(Q196),ISNUMBER(S196)),1,0)</f>
        <v>0</v>
      </c>
      <c r="T202" s="56">
        <f>IF(AND(T196&gt;V196,$AK178&gt;6,$AK177&gt;1,ISNUMBER(T196),ISNUMBER(V196)),1,0)</f>
        <v>0</v>
      </c>
      <c r="U202" s="56"/>
      <c r="V202" s="57">
        <f>IF(AND(V196&gt;T196,$AK178&gt;6,$AK177&gt;1,ISNUMBER(T196),ISNUMBER(V196)),1,0)</f>
        <v>0</v>
      </c>
      <c r="W202" s="56">
        <f>IF(AND(W196&gt;Y196,$AK178&gt;7,$AK177&gt;1,ISNUMBER(W196),ISNUMBER(Y196)),1,0)</f>
        <v>0</v>
      </c>
      <c r="X202" s="56"/>
      <c r="Y202" s="57">
        <f>IF(AND(Y196&gt;W196,$AK178&gt;7,$AK177&gt;1,ISNUMBER(W196),ISNUMBER(Y196)),1,0)</f>
        <v>0</v>
      </c>
      <c r="Z202" s="56">
        <f>IF(AND(Z196&gt;AB196,$AK178&gt;8,$AK177&gt;1,ISNUMBER(Z196),ISNUMBER(AB196)),1,0)</f>
        <v>0</v>
      </c>
      <c r="AA202" s="56"/>
      <c r="AB202" s="57">
        <f>IF(AND(AB196&gt;Z196,$AK178&gt;8,$AK177&gt;1,ISNUMBER(Z196),ISNUMBER(AB196)),1,0)</f>
        <v>0</v>
      </c>
      <c r="AC202" s="56">
        <f>IF(AND(AC196&gt;AE196,$AK178&gt;9,$AK177&gt;1,ISNUMBER(AC196),ISNUMBER(AE196)),1,0)</f>
        <v>0</v>
      </c>
      <c r="AD202" s="56"/>
      <c r="AE202" s="57">
        <f>IF(AND(AE196&gt;AC196,$AK178&gt;9,$AK177&gt;1,ISNUMBER(AC196),ISNUMBER(AE196)),1,0)</f>
        <v>0</v>
      </c>
    </row>
    <row r="203" spans="1:43" s="55" customFormat="1" ht="12.75" hidden="1" customHeight="1" x14ac:dyDescent="0.2">
      <c r="A203" s="55" t="s">
        <v>83</v>
      </c>
      <c r="B203" s="56">
        <f>IF(AND(B197&gt;D197,$AK178&gt;0,$AK177&gt;2,ISNUMBER(B197),ISNUMBER(D197)),1,0)</f>
        <v>0</v>
      </c>
      <c r="C203" s="56"/>
      <c r="D203" s="57">
        <f>IF(AND(D197&gt;B197,$AK178&gt;0,$AK177&gt;2,ISNUMBER(B197),ISNUMBER(D197)),1,0)</f>
        <v>0</v>
      </c>
      <c r="E203" s="56">
        <f>IF(AND(E197&gt;G197,$AK178&gt;1,$AK177&gt;2,ISNUMBER(E197),ISNUMBER(G197)),1,0)</f>
        <v>0</v>
      </c>
      <c r="F203" s="56"/>
      <c r="G203" s="57">
        <f>IF(AND(G197&gt;E197,$AK178&gt;1,$AK177&gt;2,ISNUMBER(E197),ISNUMBER(G197)),1,0)</f>
        <v>0</v>
      </c>
      <c r="H203" s="56">
        <f>IF(AND(H197&gt;J197,$AK178&gt;2,$AK177&gt;2,ISNUMBER(H197),ISNUMBER(J197)),1,0)</f>
        <v>0</v>
      </c>
      <c r="I203" s="56"/>
      <c r="J203" s="57">
        <f>IF(AND(J197&gt;H197,$AK178&gt;2,$AK177&gt;2,ISNUMBER(H197),ISNUMBER(J197)),1,0)</f>
        <v>0</v>
      </c>
      <c r="K203" s="56">
        <f>IF(AND(K197&gt;M197,$AK178&gt;3,$AK177&gt;2,ISNUMBER(K197),ISNUMBER(M197)),1,0)</f>
        <v>0</v>
      </c>
      <c r="L203" s="56"/>
      <c r="M203" s="57">
        <f>IF(AND(M197&gt;K197,$AK178&gt;3,$AK177&gt;2,ISNUMBER(K197),ISNUMBER(M197)),1,0)</f>
        <v>0</v>
      </c>
      <c r="N203" s="56">
        <f>IF(AND(N197&gt;P197,$AK178&gt;4,$AK177&gt;2,ISNUMBER(N197),ISNUMBER(P197)),1,0)</f>
        <v>0</v>
      </c>
      <c r="O203" s="56"/>
      <c r="P203" s="57">
        <f>IF(AND(P197&gt;N197,$AK178&gt;4,$AK177&gt;2,ISNUMBER(N197),ISNUMBER(P197)),1,0)</f>
        <v>0</v>
      </c>
      <c r="Q203" s="56">
        <f>IF(AND(Q197&gt;S197,$AK178&gt;5,$AK177&gt;2,ISNUMBER(Q197),ISNUMBER(S197)),1,0)</f>
        <v>0</v>
      </c>
      <c r="R203" s="56"/>
      <c r="S203" s="57">
        <f>IF(AND(S197&gt;Q197,$AK178&gt;5,$AK177&gt;2,ISNUMBER(Q197),ISNUMBER(S197)),1,0)</f>
        <v>0</v>
      </c>
      <c r="T203" s="56">
        <f>IF(AND(T197&gt;V197,$AK178&gt;6,$AK177&gt;2,ISNUMBER(T197),ISNUMBER(V197)),1,0)</f>
        <v>0</v>
      </c>
      <c r="U203" s="56"/>
      <c r="V203" s="57">
        <f>IF(AND(V197&gt;T197,$AK178&gt;6,$AK177&gt;2,ISNUMBER(T197),ISNUMBER(V197)),1,0)</f>
        <v>0</v>
      </c>
      <c r="W203" s="56">
        <f>IF(AND(W197&gt;Y197,$AK178&gt;7,$AK177&gt;2,ISNUMBER(W197),ISNUMBER(Y197)),1,0)</f>
        <v>0</v>
      </c>
      <c r="X203" s="56"/>
      <c r="Y203" s="57">
        <f>IF(AND(Y197&gt;W197,$AK178&gt;7,$AK177&gt;2,ISNUMBER(W197),ISNUMBER(Y197)),1,0)</f>
        <v>0</v>
      </c>
      <c r="Z203" s="56">
        <f>IF(AND(Z197&gt;AB197,$AK178&gt;8,$AK177&gt;2,ISNUMBER(Z197),ISNUMBER(AB197)),1,0)</f>
        <v>0</v>
      </c>
      <c r="AA203" s="56"/>
      <c r="AB203" s="57">
        <f>IF(AND(AB197&gt;Z197,$AK178&gt;8,$AK177&gt;2,ISNUMBER(Z197),ISNUMBER(AB197)),1,0)</f>
        <v>0</v>
      </c>
      <c r="AC203" s="56">
        <f>IF(AND(AC197&gt;AE197,$AK178&gt;9,$AK177&gt;2,ISNUMBER(AC197),ISNUMBER(AE197)),1,0)</f>
        <v>0</v>
      </c>
      <c r="AD203" s="56"/>
      <c r="AE203" s="57">
        <f>IF(AND(AE197&gt;AC197,$AK178&gt;9,$AK177&gt;2,ISNUMBER(AC197),ISNUMBER(AE197)),1,0)</f>
        <v>0</v>
      </c>
    </row>
    <row r="204" spans="1:43" s="55" customFormat="1" ht="12.75" hidden="1" customHeight="1" x14ac:dyDescent="0.2">
      <c r="A204" s="55" t="s">
        <v>84</v>
      </c>
      <c r="B204" s="56">
        <f>IF(AND(B198&gt;D198,$AK178&gt;0,$AK177&gt;3,ISNUMBER(B198),ISNUMBER(D198)),1,0)</f>
        <v>0</v>
      </c>
      <c r="C204" s="56"/>
      <c r="D204" s="57">
        <f>IF(AND(D198&gt;B198,$AK178&gt;0,$AK177&gt;3,ISNUMBER(B198),ISNUMBER(D198)),1,0)</f>
        <v>0</v>
      </c>
      <c r="E204" s="56">
        <f>IF(AND(E198&gt;G198,$AK178&gt;1,$AK177&gt;3,ISNUMBER(E198),ISNUMBER(G198)),1,0)</f>
        <v>0</v>
      </c>
      <c r="F204" s="56"/>
      <c r="G204" s="57">
        <f>IF(AND(G198&gt;E198,$AK178&gt;1,$AK177&gt;3,ISNUMBER(E198),ISNUMBER(G198)),1,0)</f>
        <v>0</v>
      </c>
      <c r="H204" s="56">
        <f>IF(AND(H198&gt;J198,$AK178&gt;2,$AK177&gt;3,ISNUMBER(H198),ISNUMBER(J198)),1,0)</f>
        <v>0</v>
      </c>
      <c r="I204" s="56"/>
      <c r="J204" s="57">
        <f>IF(AND(J198&gt;H198,$AK178&gt;2,$AK177&gt;3,ISNUMBER(H198),ISNUMBER(J198)),1,0)</f>
        <v>0</v>
      </c>
      <c r="K204" s="56">
        <f>IF(AND(K198&gt;M198,$AK178&gt;3,$AK177&gt;3,ISNUMBER(K198),ISNUMBER(M198)),1,0)</f>
        <v>0</v>
      </c>
      <c r="L204" s="56"/>
      <c r="M204" s="57">
        <f>IF(AND(M198&gt;K198,$AK178&gt;3,$AK177&gt;3,ISNUMBER(K198),ISNUMBER(M198)),1,0)</f>
        <v>0</v>
      </c>
      <c r="N204" s="56">
        <f>IF(AND(N198&gt;P198,$AK178&gt;4,$AK177&gt;3,ISNUMBER(N198),ISNUMBER(P198)),1,0)</f>
        <v>0</v>
      </c>
      <c r="O204" s="56"/>
      <c r="P204" s="57">
        <f>IF(AND(P198&gt;N198,$AK178&gt;4,$AK177&gt;3,ISNUMBER(N198),ISNUMBER(P198)),1,0)</f>
        <v>0</v>
      </c>
      <c r="Q204" s="56">
        <f>IF(AND(Q198&gt;S198,$AK178&gt;5,$AK177&gt;3,ISNUMBER(Q198),ISNUMBER(S198)),1,0)</f>
        <v>0</v>
      </c>
      <c r="R204" s="56"/>
      <c r="S204" s="57">
        <f>IF(AND(S198&gt;Q198,$AK178&gt;5,$AK177&gt;3,ISNUMBER(Q198),ISNUMBER(S198)),1,0)</f>
        <v>0</v>
      </c>
      <c r="T204" s="56">
        <f>IF(AND(T198&gt;V198,$AK178&gt;6,$AK177&gt;3,ISNUMBER(T198),ISNUMBER(V198)),1,0)</f>
        <v>0</v>
      </c>
      <c r="U204" s="56"/>
      <c r="V204" s="57">
        <f>IF(AND(V198&gt;T198,$AK178&gt;6,$AK177&gt;3,ISNUMBER(T198),ISNUMBER(V198)),1,0)</f>
        <v>0</v>
      </c>
      <c r="W204" s="56">
        <f>IF(AND(W198&gt;Y198,$AK178&gt;7,$AK177&gt;3,ISNUMBER(W198),ISNUMBER(Y198)),1,0)</f>
        <v>0</v>
      </c>
      <c r="X204" s="56"/>
      <c r="Y204" s="57">
        <f>IF(AND(Y198&gt;W198,$AK178&gt;7,$AK177&gt;3,ISNUMBER(W198),ISNUMBER(Y198)),1,0)</f>
        <v>0</v>
      </c>
      <c r="Z204" s="56">
        <f>IF(AND(Z198&gt;AB198,$AK178&gt;8,$AK177&gt;3,ISNUMBER(Z198),ISNUMBER(AB198)),1,0)</f>
        <v>0</v>
      </c>
      <c r="AA204" s="56"/>
      <c r="AB204" s="57">
        <f>IF(AND(AB198&gt;Z198,$AK178&gt;8,$AK177&gt;3,ISNUMBER(Z198),ISNUMBER(AB198)),1,0)</f>
        <v>0</v>
      </c>
      <c r="AC204" s="56">
        <f>IF(AND(AC198&gt;AE198,$AK178&gt;9,$AK177&gt;3,ISNUMBER(AC198),ISNUMBER(AE198)),1,0)</f>
        <v>0</v>
      </c>
      <c r="AD204" s="56"/>
      <c r="AE204" s="57">
        <f>IF(AND(AE198&gt;AC198,$AK178&gt;9,$AK177&gt;3,ISNUMBER(AC198),ISNUMBER(AE198)),1,0)</f>
        <v>0</v>
      </c>
    </row>
    <row r="205" spans="1:43" s="55" customFormat="1" ht="12.75" hidden="1" customHeight="1" x14ac:dyDescent="0.2">
      <c r="A205" s="55" t="s">
        <v>85</v>
      </c>
      <c r="B205" s="56">
        <f>IF(AND(B199&gt;D199,$AK178&gt;0,$AK177&gt;4,ISNUMBER(B199),ISNUMBER(D199)),1,0)</f>
        <v>0</v>
      </c>
      <c r="C205" s="56"/>
      <c r="D205" s="57">
        <f>IF(AND(D199&gt;B199,$AK178&gt;0,$AK177&gt;4,ISNUMBER(B199),ISNUMBER(D199)),1,0)</f>
        <v>0</v>
      </c>
      <c r="E205" s="56">
        <f>IF(AND(E199&gt;G199,$AK178&gt;1,$AK177&gt;4,ISNUMBER(E199),ISNUMBER(G199)),1,0)</f>
        <v>0</v>
      </c>
      <c r="F205" s="56"/>
      <c r="G205" s="57">
        <f>IF(AND(G199&gt;E199,$AK178&gt;1,$AK177&gt;4,ISNUMBER(E199),ISNUMBER(G199)),1,0)</f>
        <v>0</v>
      </c>
      <c r="H205" s="56">
        <f>IF(AND(H199&gt;J199,$AK178&gt;2,$AK177&gt;4,ISNUMBER(H199),ISNUMBER(J199)),1,0)</f>
        <v>0</v>
      </c>
      <c r="I205" s="56"/>
      <c r="J205" s="57">
        <f>IF(AND(J199&gt;H199,$AK178&gt;2,$AK177&gt;4,ISNUMBER(H199),ISNUMBER(J199)),1,0)</f>
        <v>0</v>
      </c>
      <c r="K205" s="56">
        <f>IF(AND(K199&gt;M199,$AK178&gt;3,$AK177&gt;4,ISNUMBER(K199),ISNUMBER(M199)),1,0)</f>
        <v>0</v>
      </c>
      <c r="L205" s="56"/>
      <c r="M205" s="57">
        <f>IF(AND(M199&gt;K199,$AK178&gt;3,$AK177&gt;4,ISNUMBER(K199),ISNUMBER(M199)),1,0)</f>
        <v>0</v>
      </c>
      <c r="N205" s="56">
        <f>IF(AND(N199&gt;P199,$AK178&gt;4,$AK177&gt;4,ISNUMBER(N199),ISNUMBER(P199)),1,0)</f>
        <v>0</v>
      </c>
      <c r="O205" s="56"/>
      <c r="P205" s="57">
        <f>IF(AND(P199&gt;N199,$AK178&gt;4,$AK177&gt;4,ISNUMBER(N199),ISNUMBER(P199)),1,0)</f>
        <v>0</v>
      </c>
      <c r="Q205" s="56">
        <f>IF(AND(Q199&gt;S199,$AK178&gt;5,$AK177&gt;4,ISNUMBER(Q199),ISNUMBER(S199)),1,0)</f>
        <v>0</v>
      </c>
      <c r="R205" s="56"/>
      <c r="S205" s="57">
        <f>IF(AND(S199&gt;Q199,$AK178&gt;5,$AK177&gt;4,ISNUMBER(Q199),ISNUMBER(S199)),1,0)</f>
        <v>0</v>
      </c>
      <c r="T205" s="56">
        <f>IF(AND(T199&gt;V199,$AK178&gt;6,$AK177&gt;4,ISNUMBER(T199),ISNUMBER(V199)),1,0)</f>
        <v>0</v>
      </c>
      <c r="U205" s="56"/>
      <c r="V205" s="57">
        <f>IF(AND(V199&gt;T199,$AK178&gt;6,$AK177&gt;4,ISNUMBER(T199),ISNUMBER(V199)),1,0)</f>
        <v>0</v>
      </c>
      <c r="W205" s="56">
        <f>IF(AND(W199&gt;Y199,$AK178&gt;7,$AK177&gt;4,ISNUMBER(W199),ISNUMBER(Y199)),1,0)</f>
        <v>0</v>
      </c>
      <c r="X205" s="56"/>
      <c r="Y205" s="57">
        <f>IF(AND(Y199&gt;W199,$AK178&gt;7,$AK177&gt;4,ISNUMBER(W199),ISNUMBER(Y199)),1,0)</f>
        <v>0</v>
      </c>
      <c r="Z205" s="56">
        <f>IF(AND(Z199&gt;AB199,$AK178&gt;8,$AK177&gt;4,ISNUMBER(Z199),ISNUMBER(AB199)),1,0)</f>
        <v>0</v>
      </c>
      <c r="AA205" s="56"/>
      <c r="AB205" s="57">
        <f>IF(AND(AB199&gt;Z199,$AK178&gt;8,$AK177&gt;4,ISNUMBER(Z199),ISNUMBER(AB199)),1,0)</f>
        <v>0</v>
      </c>
      <c r="AC205" s="56">
        <f>IF(AND(AC199&gt;AE199,$AK178&gt;9,$AK177&gt;4,ISNUMBER(AC199),ISNUMBER(AE199)),1,0)</f>
        <v>0</v>
      </c>
      <c r="AD205" s="56"/>
      <c r="AE205" s="57">
        <f>IF(AND(AE199&gt;AC199,$AK178&gt;9,$AK177&gt;4,ISNUMBER(AC199),ISNUMBER(AE199)),1,0)</f>
        <v>0</v>
      </c>
    </row>
    <row r="206" spans="1:43" s="55" customFormat="1" ht="38.25" hidden="1" customHeight="1" x14ac:dyDescent="0.2">
      <c r="A206" s="59" t="s">
        <v>86</v>
      </c>
      <c r="B206" s="55">
        <f>SUM(B201:B205)</f>
        <v>1</v>
      </c>
      <c r="D206" s="60">
        <f>SUM(D201:D205)</f>
        <v>1</v>
      </c>
      <c r="E206" s="55">
        <f>SUM(E201:E205)</f>
        <v>1</v>
      </c>
      <c r="G206" s="60">
        <f>SUM(G201:G205)</f>
        <v>1</v>
      </c>
      <c r="H206" s="55">
        <f>SUM(H201:H205)</f>
        <v>2</v>
      </c>
      <c r="J206" s="60">
        <f>SUM(J201:J205)</f>
        <v>0</v>
      </c>
      <c r="K206" s="55">
        <f>SUM(K201:K205)</f>
        <v>0</v>
      </c>
      <c r="M206" s="60">
        <f>SUM(M201:M205)</f>
        <v>0</v>
      </c>
      <c r="N206" s="55">
        <f>SUM(N201:N205)</f>
        <v>0</v>
      </c>
      <c r="P206" s="60">
        <f>SUM(P201:P205)</f>
        <v>0</v>
      </c>
      <c r="Q206" s="55">
        <f>SUM(Q201:Q205)</f>
        <v>0</v>
      </c>
      <c r="S206" s="60">
        <f>SUM(S201:S205)</f>
        <v>0</v>
      </c>
      <c r="T206" s="55">
        <f>SUM(T201:T205)</f>
        <v>0</v>
      </c>
      <c r="V206" s="60">
        <f>SUM(V201:V205)</f>
        <v>0</v>
      </c>
      <c r="W206" s="55">
        <f>SUM(W201:W205)</f>
        <v>0</v>
      </c>
      <c r="Y206" s="60">
        <f>SUM(Y201:Y205)</f>
        <v>0</v>
      </c>
      <c r="Z206" s="55">
        <f>SUM(Z201:Z205)</f>
        <v>0</v>
      </c>
      <c r="AB206" s="60">
        <f>SUM(AB201:AB205)</f>
        <v>0</v>
      </c>
      <c r="AC206" s="55">
        <f>SUM(AC201:AC205)</f>
        <v>0</v>
      </c>
      <c r="AE206" s="60">
        <f>SUM(AE201:AE205)</f>
        <v>0</v>
      </c>
    </row>
    <row r="207" spans="1:43" s="55" customFormat="1" ht="25.5" hidden="1" customHeight="1" x14ac:dyDescent="0.2">
      <c r="A207" s="59" t="s">
        <v>87</v>
      </c>
      <c r="B207" s="55">
        <f>IF(B206&gt;D206,IF(C241=AK177,1,IF(C241=AK177-1,1,0)),0)</f>
        <v>0</v>
      </c>
      <c r="C207" s="55">
        <f>B207+D207</f>
        <v>0</v>
      </c>
      <c r="D207" s="60">
        <f>IF(D206&gt;B206,IF(C241=AK177,1,IF(C241=AK177-1,1,0)),0)</f>
        <v>0</v>
      </c>
      <c r="E207" s="55">
        <f>IF(E206&gt;G206,IF(F241=AK177,1,IF(F241=AK177-1,1,0)),0)</f>
        <v>0</v>
      </c>
      <c r="F207" s="55">
        <f>E207+G207</f>
        <v>0</v>
      </c>
      <c r="G207" s="60">
        <f>IF(G206&gt;E206,IF(F241=AK177,1,IF(F241=AK177-1,1,0)),0)</f>
        <v>0</v>
      </c>
      <c r="H207" s="55">
        <f>IF(H206&gt;J206,IF(I241=AK177,1,IF(I241=AK177-1,1,0)),0)</f>
        <v>1</v>
      </c>
      <c r="I207" s="55">
        <f>H207+J207</f>
        <v>1</v>
      </c>
      <c r="J207" s="60">
        <f>IF(J206&gt;H206,IF(I241=AK177,1,IF(I241=AK177-1,1,0)),0)</f>
        <v>0</v>
      </c>
      <c r="K207" s="55">
        <f>IF(K206&gt;M206,IF(L241=AK177,1,IF(L241=AK177-1,1,0)),0)</f>
        <v>0</v>
      </c>
      <c r="L207" s="55">
        <f>K207+M207</f>
        <v>0</v>
      </c>
      <c r="M207" s="60">
        <f>IF(M206&gt;K206,IF(L241=AK177,1,IF(L241=AK177-1,1,0)),0)</f>
        <v>0</v>
      </c>
      <c r="N207" s="55">
        <f>IF(N206&gt;P206,IF(O241=AK177,1,IF(O241=AK177-1,1,0)),0)</f>
        <v>0</v>
      </c>
      <c r="O207" s="55">
        <f>N207+P207</f>
        <v>0</v>
      </c>
      <c r="P207" s="60">
        <f>IF(P206&gt;N206,IF(O241=AK177,1,IF(O241=AK177-1,1,0)),0)</f>
        <v>0</v>
      </c>
      <c r="Q207" s="55">
        <f>IF(Q206&gt;S206,IF(R241=AK177,1,IF(R241=AK177-1,1,0)),0)</f>
        <v>0</v>
      </c>
      <c r="R207" s="55">
        <f>Q207+S207</f>
        <v>0</v>
      </c>
      <c r="S207" s="60">
        <f>IF(S206&gt;Q206,IF(R241=AK177,1,IF(R241=AK177-1,1,0)),0)</f>
        <v>0</v>
      </c>
      <c r="T207" s="55">
        <f>IF(T206&gt;V206,IF(U241=AK177,1,IF(U241=AK177-1,1,0)),0)</f>
        <v>0</v>
      </c>
      <c r="U207" s="55">
        <f>T207+V207</f>
        <v>0</v>
      </c>
      <c r="V207" s="60">
        <f>IF(V206&gt;T206,IF(U241=AK177,1,IF(U241=AK177-1,1,0)),0)</f>
        <v>0</v>
      </c>
      <c r="W207" s="55">
        <f>IF(W206&gt;Y206,IF(X241=AK177,1,IF(X241=AK177-1,1,0)),0)</f>
        <v>0</v>
      </c>
      <c r="X207" s="55">
        <f>W207+Y207</f>
        <v>0</v>
      </c>
      <c r="Y207" s="60">
        <f>IF(Y206&gt;W206,IF(X241=AK177,1,IF(X241=AK177-1,1,0)),0)</f>
        <v>0</v>
      </c>
      <c r="Z207" s="55">
        <f>IF(Z206&gt;AB206,IF(AA241=AK177,1,IF(AA241=AK177-1,1,0)),0)</f>
        <v>0</v>
      </c>
      <c r="AA207" s="55">
        <f>Z207+AB207</f>
        <v>0</v>
      </c>
      <c r="AB207" s="60">
        <f>IF(AB206&gt;Z206,IF(AA241=AK177,1,IF(AA241=AK177-1,1,0)),0)</f>
        <v>0</v>
      </c>
      <c r="AC207" s="55">
        <f>IF(AC206&gt;AE206,IF(AD241=AK177,1,IF(AD241=AK177-1,1,0)),0)</f>
        <v>0</v>
      </c>
      <c r="AD207" s="55">
        <f>AC207+AE207</f>
        <v>0</v>
      </c>
      <c r="AE207" s="60">
        <f>IF(AE206&gt;AC206,IF(AD241=AK177,1,IF(AD241=AK177-1,1,0)),0)</f>
        <v>0</v>
      </c>
    </row>
    <row r="208" spans="1:43" s="55" customFormat="1" ht="25.5" hidden="1" customHeight="1" x14ac:dyDescent="0.2">
      <c r="A208" s="59"/>
      <c r="D208" s="60"/>
      <c r="G208" s="60"/>
      <c r="J208" s="60"/>
      <c r="M208" s="60"/>
      <c r="P208" s="60"/>
      <c r="S208" s="60"/>
      <c r="V208" s="60"/>
      <c r="Y208" s="60"/>
      <c r="AB208" s="60"/>
      <c r="AE208" s="60"/>
    </row>
    <row r="209" spans="1:33" s="55" customFormat="1" ht="12.75" hidden="1" customHeight="1" x14ac:dyDescent="0.2">
      <c r="A209" s="55" t="s">
        <v>88</v>
      </c>
      <c r="B209" s="55">
        <f>IF(B201=1,B195,0)</f>
        <v>25</v>
      </c>
      <c r="D209" s="60">
        <f t="shared" ref="D209:E213" si="20">IF(D201=1,D195,0)</f>
        <v>0</v>
      </c>
      <c r="E209" s="55">
        <f t="shared" si="20"/>
        <v>20</v>
      </c>
      <c r="G209" s="60">
        <f t="shared" ref="G209:H213" si="21">IF(G201=1,G195,0)</f>
        <v>0</v>
      </c>
      <c r="H209" s="55">
        <f t="shared" si="21"/>
        <v>25</v>
      </c>
      <c r="J209" s="60">
        <f t="shared" ref="J209:K213" si="22">IF(J201=1,J195,0)</f>
        <v>0</v>
      </c>
      <c r="K209" s="55">
        <f t="shared" si="22"/>
        <v>0</v>
      </c>
      <c r="M209" s="60">
        <f t="shared" ref="M209:N213" si="23">IF(M201=1,M195,0)</f>
        <v>0</v>
      </c>
      <c r="N209" s="55">
        <f t="shared" si="23"/>
        <v>0</v>
      </c>
      <c r="P209" s="60">
        <f t="shared" ref="P209:Q213" si="24">IF(P201=1,P195,0)</f>
        <v>0</v>
      </c>
      <c r="Q209" s="55">
        <f t="shared" si="24"/>
        <v>0</v>
      </c>
      <c r="S209" s="60">
        <f t="shared" ref="S209:T213" si="25">IF(S201=1,S195,0)</f>
        <v>0</v>
      </c>
      <c r="T209" s="55">
        <f t="shared" si="25"/>
        <v>0</v>
      </c>
      <c r="V209" s="60">
        <f t="shared" ref="V209:W213" si="26">IF(V201=1,V195,0)</f>
        <v>0</v>
      </c>
      <c r="W209" s="55">
        <f t="shared" si="26"/>
        <v>0</v>
      </c>
      <c r="Y209" s="60">
        <f t="shared" ref="Y209:Z213" si="27">IF(Y201=1,Y195,0)</f>
        <v>0</v>
      </c>
      <c r="Z209" s="55">
        <f t="shared" si="27"/>
        <v>0</v>
      </c>
      <c r="AB209" s="60">
        <f t="shared" ref="AB209:AC213" si="28">IF(AB201=1,AB195,0)</f>
        <v>0</v>
      </c>
      <c r="AC209" s="55">
        <f t="shared" si="28"/>
        <v>0</v>
      </c>
      <c r="AE209" s="60">
        <f>IF(AE201=1,AE195,0)</f>
        <v>0</v>
      </c>
    </row>
    <row r="210" spans="1:33" s="55" customFormat="1" ht="12.75" hidden="1" customHeight="1" x14ac:dyDescent="0.2">
      <c r="A210" s="55" t="s">
        <v>89</v>
      </c>
      <c r="B210" s="55">
        <f>IF(B202=1,B196,0)</f>
        <v>0</v>
      </c>
      <c r="D210" s="60">
        <f t="shared" si="20"/>
        <v>28</v>
      </c>
      <c r="E210" s="55">
        <f t="shared" si="20"/>
        <v>0</v>
      </c>
      <c r="G210" s="60">
        <f t="shared" si="21"/>
        <v>22</v>
      </c>
      <c r="H210" s="55">
        <f t="shared" si="21"/>
        <v>23</v>
      </c>
      <c r="J210" s="60">
        <f t="shared" si="22"/>
        <v>0</v>
      </c>
      <c r="K210" s="55">
        <f t="shared" si="22"/>
        <v>0</v>
      </c>
      <c r="M210" s="60">
        <f t="shared" si="23"/>
        <v>0</v>
      </c>
      <c r="N210" s="55">
        <f t="shared" si="23"/>
        <v>0</v>
      </c>
      <c r="P210" s="60">
        <f t="shared" si="24"/>
        <v>0</v>
      </c>
      <c r="Q210" s="55">
        <f t="shared" si="24"/>
        <v>0</v>
      </c>
      <c r="S210" s="60">
        <f t="shared" si="25"/>
        <v>0</v>
      </c>
      <c r="T210" s="55">
        <f t="shared" si="25"/>
        <v>0</v>
      </c>
      <c r="V210" s="60">
        <f t="shared" si="26"/>
        <v>0</v>
      </c>
      <c r="W210" s="55">
        <f t="shared" si="26"/>
        <v>0</v>
      </c>
      <c r="Y210" s="60">
        <f t="shared" si="27"/>
        <v>0</v>
      </c>
      <c r="Z210" s="55">
        <f t="shared" si="27"/>
        <v>0</v>
      </c>
      <c r="AB210" s="60">
        <f t="shared" si="28"/>
        <v>0</v>
      </c>
      <c r="AC210" s="55">
        <f t="shared" si="28"/>
        <v>0</v>
      </c>
      <c r="AE210" s="60">
        <f>IF(AE202=1,AE196,0)</f>
        <v>0</v>
      </c>
    </row>
    <row r="211" spans="1:33" s="55" customFormat="1" ht="12.75" hidden="1" customHeight="1" x14ac:dyDescent="0.2">
      <c r="A211" s="55" t="s">
        <v>90</v>
      </c>
      <c r="B211" s="55">
        <f>IF(B203=1,B197,0)</f>
        <v>0</v>
      </c>
      <c r="D211" s="60">
        <f t="shared" si="20"/>
        <v>0</v>
      </c>
      <c r="E211" s="55">
        <f t="shared" si="20"/>
        <v>0</v>
      </c>
      <c r="G211" s="60">
        <f t="shared" si="21"/>
        <v>0</v>
      </c>
      <c r="H211" s="55">
        <f t="shared" si="21"/>
        <v>0</v>
      </c>
      <c r="J211" s="60">
        <f t="shared" si="22"/>
        <v>0</v>
      </c>
      <c r="K211" s="55">
        <f t="shared" si="22"/>
        <v>0</v>
      </c>
      <c r="M211" s="60">
        <f t="shared" si="23"/>
        <v>0</v>
      </c>
      <c r="N211" s="55">
        <f t="shared" si="23"/>
        <v>0</v>
      </c>
      <c r="P211" s="60">
        <f t="shared" si="24"/>
        <v>0</v>
      </c>
      <c r="Q211" s="55">
        <f t="shared" si="24"/>
        <v>0</v>
      </c>
      <c r="S211" s="60">
        <f t="shared" si="25"/>
        <v>0</v>
      </c>
      <c r="T211" s="55">
        <f t="shared" si="25"/>
        <v>0</v>
      </c>
      <c r="V211" s="60">
        <f t="shared" si="26"/>
        <v>0</v>
      </c>
      <c r="W211" s="55">
        <f t="shared" si="26"/>
        <v>0</v>
      </c>
      <c r="Y211" s="60">
        <f t="shared" si="27"/>
        <v>0</v>
      </c>
      <c r="Z211" s="55">
        <f t="shared" si="27"/>
        <v>0</v>
      </c>
      <c r="AB211" s="60">
        <f t="shared" si="28"/>
        <v>0</v>
      </c>
      <c r="AC211" s="55">
        <f t="shared" si="28"/>
        <v>0</v>
      </c>
      <c r="AE211" s="60">
        <f>IF(AE203=1,AE197,0)</f>
        <v>0</v>
      </c>
    </row>
    <row r="212" spans="1:33" s="55" customFormat="1" ht="12.75" hidden="1" customHeight="1" x14ac:dyDescent="0.2">
      <c r="A212" s="55" t="s">
        <v>91</v>
      </c>
      <c r="B212" s="55">
        <f>IF(B204=1,B198,0)</f>
        <v>0</v>
      </c>
      <c r="D212" s="60">
        <f t="shared" si="20"/>
        <v>0</v>
      </c>
      <c r="E212" s="55">
        <f t="shared" si="20"/>
        <v>0</v>
      </c>
      <c r="G212" s="60">
        <f t="shared" si="21"/>
        <v>0</v>
      </c>
      <c r="H212" s="55">
        <f t="shared" si="21"/>
        <v>0</v>
      </c>
      <c r="J212" s="60">
        <f t="shared" si="22"/>
        <v>0</v>
      </c>
      <c r="K212" s="55">
        <f t="shared" si="22"/>
        <v>0</v>
      </c>
      <c r="M212" s="60">
        <f t="shared" si="23"/>
        <v>0</v>
      </c>
      <c r="N212" s="55">
        <f t="shared" si="23"/>
        <v>0</v>
      </c>
      <c r="P212" s="60">
        <f t="shared" si="24"/>
        <v>0</v>
      </c>
      <c r="Q212" s="55">
        <f t="shared" si="24"/>
        <v>0</v>
      </c>
      <c r="S212" s="60">
        <f t="shared" si="25"/>
        <v>0</v>
      </c>
      <c r="T212" s="55">
        <f t="shared" si="25"/>
        <v>0</v>
      </c>
      <c r="V212" s="60">
        <f t="shared" si="26"/>
        <v>0</v>
      </c>
      <c r="W212" s="55">
        <f t="shared" si="26"/>
        <v>0</v>
      </c>
      <c r="Y212" s="60">
        <f t="shared" si="27"/>
        <v>0</v>
      </c>
      <c r="Z212" s="55">
        <f t="shared" si="27"/>
        <v>0</v>
      </c>
      <c r="AB212" s="60">
        <f t="shared" si="28"/>
        <v>0</v>
      </c>
      <c r="AC212" s="55">
        <f t="shared" si="28"/>
        <v>0</v>
      </c>
      <c r="AE212" s="60">
        <f>IF(AE204=1,AE198,0)</f>
        <v>0</v>
      </c>
    </row>
    <row r="213" spans="1:33" s="55" customFormat="1" ht="12.75" hidden="1" customHeight="1" x14ac:dyDescent="0.2">
      <c r="A213" s="55" t="s">
        <v>92</v>
      </c>
      <c r="B213" s="55">
        <f>IF(B205=1,B199,0)</f>
        <v>0</v>
      </c>
      <c r="D213" s="60">
        <f t="shared" si="20"/>
        <v>0</v>
      </c>
      <c r="E213" s="55">
        <f t="shared" si="20"/>
        <v>0</v>
      </c>
      <c r="G213" s="60">
        <f t="shared" si="21"/>
        <v>0</v>
      </c>
      <c r="H213" s="55">
        <f t="shared" si="21"/>
        <v>0</v>
      </c>
      <c r="J213" s="60">
        <f t="shared" si="22"/>
        <v>0</v>
      </c>
      <c r="K213" s="55">
        <f t="shared" si="22"/>
        <v>0</v>
      </c>
      <c r="M213" s="60">
        <f t="shared" si="23"/>
        <v>0</v>
      </c>
      <c r="N213" s="55">
        <f t="shared" si="23"/>
        <v>0</v>
      </c>
      <c r="P213" s="60">
        <f t="shared" si="24"/>
        <v>0</v>
      </c>
      <c r="Q213" s="55">
        <f t="shared" si="24"/>
        <v>0</v>
      </c>
      <c r="S213" s="60">
        <f t="shared" si="25"/>
        <v>0</v>
      </c>
      <c r="T213" s="55">
        <f t="shared" si="25"/>
        <v>0</v>
      </c>
      <c r="V213" s="60">
        <f t="shared" si="26"/>
        <v>0</v>
      </c>
      <c r="W213" s="55">
        <f t="shared" si="26"/>
        <v>0</v>
      </c>
      <c r="Y213" s="60">
        <f t="shared" si="27"/>
        <v>0</v>
      </c>
      <c r="Z213" s="55">
        <f t="shared" si="27"/>
        <v>0</v>
      </c>
      <c r="AB213" s="60">
        <f t="shared" si="28"/>
        <v>0</v>
      </c>
      <c r="AC213" s="55">
        <f t="shared" si="28"/>
        <v>0</v>
      </c>
      <c r="AE213" s="60">
        <f>IF(AE205=1,AE199,0)</f>
        <v>0</v>
      </c>
    </row>
    <row r="214" spans="1:33" s="55" customFormat="1" ht="38.25" hidden="1" customHeight="1" x14ac:dyDescent="0.2">
      <c r="A214" s="59" t="s">
        <v>93</v>
      </c>
      <c r="B214" s="55">
        <f>SUM(B209:D213)</f>
        <v>53</v>
      </c>
      <c r="D214" s="60"/>
      <c r="E214" s="55">
        <f>SUM(E209:G213)</f>
        <v>42</v>
      </c>
      <c r="G214" s="60"/>
      <c r="H214" s="55">
        <f>SUM(H209:J213)</f>
        <v>48</v>
      </c>
      <c r="J214" s="60"/>
      <c r="K214" s="55">
        <f>SUM(K209:M213)</f>
        <v>0</v>
      </c>
      <c r="M214" s="60"/>
      <c r="N214" s="55">
        <f>SUM(N209:P213)</f>
        <v>0</v>
      </c>
      <c r="P214" s="60"/>
      <c r="Q214" s="55">
        <f>SUM(Q209:S213)</f>
        <v>0</v>
      </c>
      <c r="S214" s="60"/>
      <c r="T214" s="55">
        <f>SUM(T209:V213)</f>
        <v>0</v>
      </c>
      <c r="V214" s="60"/>
      <c r="W214" s="55">
        <f>SUM(W209:Y213)</f>
        <v>0</v>
      </c>
      <c r="Y214" s="60"/>
      <c r="Z214" s="55">
        <f>SUM(Z209:AB213)</f>
        <v>0</v>
      </c>
      <c r="AB214" s="60"/>
      <c r="AC214" s="55">
        <f>SUM(AC209:AE213)</f>
        <v>0</v>
      </c>
      <c r="AE214" s="60"/>
    </row>
    <row r="215" spans="1:33" s="55" customFormat="1" ht="38.25" hidden="1" customHeight="1" x14ac:dyDescent="0.2">
      <c r="A215" s="55" t="s">
        <v>94</v>
      </c>
      <c r="D215" s="60"/>
      <c r="G215" s="60"/>
      <c r="J215" s="60"/>
      <c r="M215" s="60"/>
      <c r="P215" s="60"/>
      <c r="S215" s="60"/>
      <c r="V215" s="60"/>
      <c r="Y215" s="60"/>
      <c r="AB215" s="60"/>
      <c r="AE215" s="60"/>
      <c r="AF215" s="59" t="s">
        <v>95</v>
      </c>
      <c r="AG215" s="55" t="s">
        <v>96</v>
      </c>
    </row>
    <row r="216" spans="1:33" s="55" customFormat="1" ht="12.75" hidden="1" customHeight="1" x14ac:dyDescent="0.2">
      <c r="A216" s="55" t="s">
        <v>97</v>
      </c>
      <c r="B216" s="55">
        <f>IF(B194=1,IF(B207=1,1,0),0)</f>
        <v>0</v>
      </c>
      <c r="D216" s="60">
        <f>IF(D194=1,IF(D207=1,1,0),0)</f>
        <v>0</v>
      </c>
      <c r="E216" s="55">
        <f>IF(E194=1,IF(E207=1,1,0),0)</f>
        <v>0</v>
      </c>
      <c r="G216" s="60">
        <f>IF(G194=1,IF(G207=1,1,0),0)</f>
        <v>0</v>
      </c>
      <c r="H216" s="55">
        <f>IF(H194=1,IF(H207=1,1,0),0)</f>
        <v>1</v>
      </c>
      <c r="J216" s="60">
        <f>IF(J194=1,IF(J207=1,1,0),0)</f>
        <v>0</v>
      </c>
      <c r="K216" s="55">
        <f>IF(K194=1,IF(K207=1,1,0),0)</f>
        <v>0</v>
      </c>
      <c r="M216" s="60">
        <f>IF(M194=1,IF(M207=1,1,0),0)</f>
        <v>0</v>
      </c>
      <c r="N216" s="55">
        <f>IF(N194=1,IF(N207=1,1,0),0)</f>
        <v>0</v>
      </c>
      <c r="P216" s="60">
        <f>IF(P194=1,IF(P207=1,1,0),0)</f>
        <v>0</v>
      </c>
      <c r="Q216" s="55">
        <f>IF(Q194=1,IF(Q207=1,1,0),0)</f>
        <v>0</v>
      </c>
      <c r="S216" s="60">
        <f>IF(S194=1,IF(S207=1,1,0),0)</f>
        <v>0</v>
      </c>
      <c r="T216" s="55">
        <f>IF(T194=1,IF(T207=1,1,0),0)</f>
        <v>0</v>
      </c>
      <c r="V216" s="60">
        <f>IF(V194=1,IF(V207=1,1,0),0)</f>
        <v>0</v>
      </c>
      <c r="W216" s="55">
        <f>IF(W194=1,IF(W207=1,1,0),0)</f>
        <v>0</v>
      </c>
      <c r="Y216" s="60">
        <f>IF(Y194=1,IF(Y207=1,1,0),0)</f>
        <v>0</v>
      </c>
      <c r="Z216" s="55">
        <f>IF(Z194=1,IF(Z207=1,1,0),0)</f>
        <v>0</v>
      </c>
      <c r="AB216" s="60">
        <f>IF(AB194=1,IF(AB207=1,1,0),0)</f>
        <v>0</v>
      </c>
      <c r="AC216" s="55">
        <f>IF(AC194=1,IF(AC207=1,1,0),0)</f>
        <v>0</v>
      </c>
      <c r="AE216" s="60">
        <f>IF(AE194=1,IF(AE207=1,1,0),0)</f>
        <v>0</v>
      </c>
      <c r="AF216" s="55">
        <f>SUM(B216:AE216)</f>
        <v>1</v>
      </c>
      <c r="AG216" s="55">
        <f>AF222-AF216</f>
        <v>0</v>
      </c>
    </row>
    <row r="217" spans="1:33" s="55" customFormat="1" ht="12.75" hidden="1" customHeight="1" x14ac:dyDescent="0.2">
      <c r="A217" s="55" t="s">
        <v>98</v>
      </c>
      <c r="B217" s="55">
        <f>IF(B194=2,IF(B207=1,1,0),0)</f>
        <v>0</v>
      </c>
      <c r="D217" s="60">
        <f>IF(D194=2,IF(D207=1,1,0),0)</f>
        <v>0</v>
      </c>
      <c r="E217" s="55">
        <f>IF(E194=2,IF(E207=1,1,0),0)</f>
        <v>0</v>
      </c>
      <c r="G217" s="60">
        <f>IF(G194=2,IF(G207=1,1,0),0)</f>
        <v>0</v>
      </c>
      <c r="H217" s="55">
        <f>IF(H194=2,IF(H207=1,1,0),0)</f>
        <v>0</v>
      </c>
      <c r="J217" s="60">
        <f>IF(J194=2,IF(J207=1,1,0),0)</f>
        <v>0</v>
      </c>
      <c r="K217" s="55">
        <f>IF(K194=2,IF(K207=1,1,0),0)</f>
        <v>0</v>
      </c>
      <c r="M217" s="60">
        <f>IF(M194=2,IF(M207=1,1,0),0)</f>
        <v>0</v>
      </c>
      <c r="N217" s="55">
        <f>IF(N194=2,IF(N207=1,1,0),0)</f>
        <v>0</v>
      </c>
      <c r="P217" s="60">
        <f>IF(P194=2,IF(P207=1,1,0),0)</f>
        <v>0</v>
      </c>
      <c r="Q217" s="55">
        <f>IF(Q194=2,IF(Q207=1,1,0),0)</f>
        <v>0</v>
      </c>
      <c r="S217" s="60">
        <f>IF(S194=2,IF(S207=1,1,0),0)</f>
        <v>0</v>
      </c>
      <c r="T217" s="55">
        <f>IF(T194=2,IF(T207=1,1,0),0)</f>
        <v>0</v>
      </c>
      <c r="V217" s="60">
        <f>IF(V194=2,IF(V207=1,1,0),0)</f>
        <v>0</v>
      </c>
      <c r="W217" s="55">
        <f>IF(W194=2,IF(W207=1,1,0),0)</f>
        <v>0</v>
      </c>
      <c r="Y217" s="60">
        <f>IF(Y194=2,IF(Y207=1,1,0),0)</f>
        <v>0</v>
      </c>
      <c r="Z217" s="55">
        <f>IF(Z194=2,IF(Z207=1,1,0),0)</f>
        <v>0</v>
      </c>
      <c r="AB217" s="60">
        <f>IF(AB194=2,IF(AB207=1,1,0),0)</f>
        <v>0</v>
      </c>
      <c r="AC217" s="55">
        <f>IF(AC194=2,IF(AC207=1,1,0),0)</f>
        <v>0</v>
      </c>
      <c r="AE217" s="60">
        <f>IF(AE194=2,IF(AE207=1,1,0),0)</f>
        <v>0</v>
      </c>
      <c r="AF217" s="55">
        <f>SUM(B217:AE217)</f>
        <v>0</v>
      </c>
      <c r="AG217" s="55">
        <f>AF223-AF217</f>
        <v>1</v>
      </c>
    </row>
    <row r="218" spans="1:33" s="55" customFormat="1" ht="12.75" hidden="1" customHeight="1" x14ac:dyDescent="0.2">
      <c r="A218" s="55" t="s">
        <v>99</v>
      </c>
      <c r="B218" s="55">
        <f>IF(B194=3,IF(B207=1,1,0),0)</f>
        <v>0</v>
      </c>
      <c r="D218" s="60">
        <f>IF(D194=3,IF(D207=1,1,0),0)</f>
        <v>0</v>
      </c>
      <c r="E218" s="55">
        <f>IF(E194=3,IF(E207=1,1,0),0)</f>
        <v>0</v>
      </c>
      <c r="G218" s="60">
        <f>IF(G194=3,IF(G207=1,1,0),0)</f>
        <v>0</v>
      </c>
      <c r="H218" s="55">
        <f>IF(H194=3,IF(H207=1,1,0),0)</f>
        <v>0</v>
      </c>
      <c r="J218" s="60">
        <f>IF(J194=3,IF(J207=1,1,0),0)</f>
        <v>0</v>
      </c>
      <c r="K218" s="55">
        <f>IF(K194=3,IF(K207=1,1,0),0)</f>
        <v>0</v>
      </c>
      <c r="M218" s="60">
        <f>IF(M194=3,IF(M207=1,1,0),0)</f>
        <v>0</v>
      </c>
      <c r="N218" s="55">
        <f>IF(N194=3,IF(N207=1,1,0),0)</f>
        <v>0</v>
      </c>
      <c r="P218" s="60">
        <f>IF(P194=3,IF(P207=1,1,0),0)</f>
        <v>0</v>
      </c>
      <c r="Q218" s="55">
        <f>IF(Q194=3,IF(Q207=1,1,0),0)</f>
        <v>0</v>
      </c>
      <c r="S218" s="60">
        <f>IF(S194=3,IF(S207=1,1,0),0)</f>
        <v>0</v>
      </c>
      <c r="T218" s="55">
        <f>IF(T194=3,IF(T207=1,1,0),0)</f>
        <v>0</v>
      </c>
      <c r="V218" s="60">
        <f>IF(V194=3,IF(V207=1,1,0),0)</f>
        <v>0</v>
      </c>
      <c r="W218" s="55">
        <f>IF(W194=3,IF(W207=1,1,0),0)</f>
        <v>0</v>
      </c>
      <c r="Y218" s="60">
        <f>IF(Y194=3,IF(Y207=1,1,0),0)</f>
        <v>0</v>
      </c>
      <c r="Z218" s="55">
        <f>IF(Z194=3,IF(Z207=1,1,0),0)</f>
        <v>0</v>
      </c>
      <c r="AB218" s="60">
        <f>IF(AB194=3,IF(AB207=1,1,0),0)</f>
        <v>0</v>
      </c>
      <c r="AC218" s="55">
        <f>IF(AC194=3,IF(AC207=1,1,0),0)</f>
        <v>0</v>
      </c>
      <c r="AE218" s="60">
        <f>IF(AE194=3,IF(AE207=1,1,0),0)</f>
        <v>0</v>
      </c>
      <c r="AF218" s="55">
        <f>SUM(B218:AE218)</f>
        <v>0</v>
      </c>
      <c r="AG218" s="55">
        <f>AF224-AF218</f>
        <v>0</v>
      </c>
    </row>
    <row r="219" spans="1:33" s="55" customFormat="1" ht="12.75" hidden="1" customHeight="1" x14ac:dyDescent="0.2">
      <c r="A219" s="55" t="s">
        <v>100</v>
      </c>
      <c r="B219" s="55">
        <f>IF(B194=4,IF(B207=1,1,0),0)</f>
        <v>0</v>
      </c>
      <c r="D219" s="60">
        <f>IF(D194=4,IF(D207=1,1,0),0)</f>
        <v>0</v>
      </c>
      <c r="E219" s="55">
        <f>IF(E194=4,IF(E207=1,1,0),0)</f>
        <v>0</v>
      </c>
      <c r="G219" s="60">
        <f>IF(G194=4,IF(G207=1,1,0),0)</f>
        <v>0</v>
      </c>
      <c r="H219" s="55">
        <f>IF(H194=4,IF(H207=1,1,0),0)</f>
        <v>0</v>
      </c>
      <c r="J219" s="60">
        <f>IF(J194=4,IF(J207=1,1,0),0)</f>
        <v>0</v>
      </c>
      <c r="K219" s="55">
        <f>IF(K194=4,IF(K207=1,1,0),0)</f>
        <v>0</v>
      </c>
      <c r="M219" s="60">
        <f>IF(M194=4,IF(M207=1,1,0),0)</f>
        <v>0</v>
      </c>
      <c r="N219" s="55">
        <f>IF(N194=4,IF(N207=1,1,0),0)</f>
        <v>0</v>
      </c>
      <c r="P219" s="60">
        <f>IF(P194=4,IF(P207=1,1,0),0)</f>
        <v>0</v>
      </c>
      <c r="Q219" s="55">
        <f>IF(Q194=4,IF(Q207=1,1,0),0)</f>
        <v>0</v>
      </c>
      <c r="S219" s="60">
        <f>IF(S194=4,IF(S207=1,1,0),0)</f>
        <v>0</v>
      </c>
      <c r="T219" s="55">
        <f>IF(T194=4,IF(T207=1,1,0),0)</f>
        <v>0</v>
      </c>
      <c r="V219" s="60">
        <f>IF(V194=4,IF(V207=1,1,0),0)</f>
        <v>0</v>
      </c>
      <c r="W219" s="55">
        <f>IF(W194=4,IF(W207=1,1,0),0)</f>
        <v>0</v>
      </c>
      <c r="Y219" s="60">
        <f>IF(Y194=4,IF(Y207=1,1,0),0)</f>
        <v>0</v>
      </c>
      <c r="Z219" s="55">
        <f>IF(Z194=4,IF(Z207=1,1,0),0)</f>
        <v>0</v>
      </c>
      <c r="AB219" s="60">
        <f>IF(AB194=4,IF(AB207=1,1,0),0)</f>
        <v>0</v>
      </c>
      <c r="AC219" s="55">
        <f>IF(AC194=4,IF(AC207=1,1,0),0)</f>
        <v>0</v>
      </c>
      <c r="AE219" s="60">
        <f>IF(AE194=4,IF(AE207=1,1,0),0)</f>
        <v>0</v>
      </c>
      <c r="AF219" s="55">
        <f>SUM(B219:AE219)</f>
        <v>0</v>
      </c>
      <c r="AG219" s="55">
        <f>AF225-AF219</f>
        <v>0</v>
      </c>
    </row>
    <row r="220" spans="1:33" s="55" customFormat="1" ht="12.75" hidden="1" customHeight="1" x14ac:dyDescent="0.2">
      <c r="A220" s="55" t="s">
        <v>101</v>
      </c>
      <c r="B220" s="55">
        <f>IF(B194=5,IF(B207=1,1,0),0)</f>
        <v>0</v>
      </c>
      <c r="D220" s="60">
        <f>IF(D194=5,IF(D207=1,1,0),0)</f>
        <v>0</v>
      </c>
      <c r="E220" s="55">
        <f>IF(E194=5,IF(E207=1,1,0),0)</f>
        <v>0</v>
      </c>
      <c r="G220" s="60">
        <f>IF(G194=5,IF(G207=1,1,0),0)</f>
        <v>0</v>
      </c>
      <c r="H220" s="55">
        <f>IF(H194=5,IF(H207=1,1,0),0)</f>
        <v>0</v>
      </c>
      <c r="J220" s="60">
        <f>IF(J194=5,IF(J207=1,1,0),0)</f>
        <v>0</v>
      </c>
      <c r="K220" s="55">
        <f>IF(K194=5,IF(K207=1,1,0),0)</f>
        <v>0</v>
      </c>
      <c r="M220" s="60">
        <f>IF(M194=5,IF(M207=1,1,0),0)</f>
        <v>0</v>
      </c>
      <c r="N220" s="55">
        <f>IF(N194=5,IF(N207=1,1,0),0)</f>
        <v>0</v>
      </c>
      <c r="P220" s="60">
        <f>IF(P194=5,IF(P207=1,1,0),0)</f>
        <v>0</v>
      </c>
      <c r="Q220" s="55">
        <f>IF(Q194=5,IF(Q207=1,1,0),0)</f>
        <v>0</v>
      </c>
      <c r="S220" s="60">
        <f>IF(S194=5,IF(S207=1,1,0),0)</f>
        <v>0</v>
      </c>
      <c r="T220" s="55">
        <f>IF(T194=5,IF(T207=1,1,0),0)</f>
        <v>0</v>
      </c>
      <c r="V220" s="60">
        <f>IF(V194=5,IF(V207=1,1,0),0)</f>
        <v>0</v>
      </c>
      <c r="W220" s="55">
        <f>IF(W194=5,IF(W207=1,1,0),0)</f>
        <v>0</v>
      </c>
      <c r="Y220" s="60">
        <f>IF(Y194=5,IF(Y207=1,1,0),0)</f>
        <v>0</v>
      </c>
      <c r="Z220" s="55">
        <f>IF(Z194=5,IF(Z207=1,1,0),0)</f>
        <v>0</v>
      </c>
      <c r="AB220" s="60">
        <f>IF(AB194=5,IF(AB207=1,1,0),0)</f>
        <v>0</v>
      </c>
      <c r="AC220" s="55">
        <f>IF(AC194=5,IF(AC207=1,1,0),0)</f>
        <v>0</v>
      </c>
      <c r="AE220" s="60">
        <f>IF(AE194=5,IF(AE207=1,1,0),0)</f>
        <v>0</v>
      </c>
      <c r="AF220" s="55">
        <f>SUM(B220:AE220)</f>
        <v>0</v>
      </c>
      <c r="AG220" s="55">
        <f>AF226-AF220</f>
        <v>0</v>
      </c>
    </row>
    <row r="221" spans="1:33" s="55" customFormat="1" ht="38.25" hidden="1" customHeight="1" x14ac:dyDescent="0.2">
      <c r="A221" s="59"/>
      <c r="D221" s="60"/>
      <c r="G221" s="60"/>
      <c r="J221" s="60"/>
      <c r="M221" s="60"/>
      <c r="P221" s="60"/>
      <c r="S221" s="60"/>
      <c r="V221" s="60"/>
      <c r="Y221" s="60"/>
      <c r="AB221" s="60"/>
      <c r="AE221" s="60"/>
      <c r="AF221" s="59" t="s">
        <v>102</v>
      </c>
    </row>
    <row r="222" spans="1:33" s="55" customFormat="1" ht="12.75" hidden="1" customHeight="1" x14ac:dyDescent="0.2">
      <c r="A222" s="55" t="s">
        <v>103</v>
      </c>
      <c r="B222" s="55">
        <f>IF(B194=1,IF(C207=1,1,0),0)</f>
        <v>0</v>
      </c>
      <c r="D222" s="60">
        <f>IF(D194=1,IF(C207=1,1,0),0)</f>
        <v>0</v>
      </c>
      <c r="E222" s="55">
        <f>IF(E194=1,IF(F207=1,1,0),0)</f>
        <v>0</v>
      </c>
      <c r="G222" s="60">
        <f>IF(G194=1,IF(F207=1,1,0),0)</f>
        <v>0</v>
      </c>
      <c r="H222" s="55">
        <f>IF(H194=1,IF(I207=1,1,0),0)</f>
        <v>1</v>
      </c>
      <c r="J222" s="60">
        <f>IF(J194=1,IF(I207=1,1,0),0)</f>
        <v>0</v>
      </c>
      <c r="K222" s="55">
        <f>IF(K194=1,IF(L207=1,1,0),0)</f>
        <v>0</v>
      </c>
      <c r="M222" s="60">
        <f>IF(M194=1,IF(L207=1,1,0),0)</f>
        <v>0</v>
      </c>
      <c r="N222" s="55">
        <f>IF(N194=1,IF(O207=1,1,0),0)</f>
        <v>0</v>
      </c>
      <c r="P222" s="60">
        <f>IF(P194=1,IF(O207=1,1,0),0)</f>
        <v>0</v>
      </c>
      <c r="Q222" s="55">
        <f>IF(Q194=1,IF(R207=1,1,0),0)</f>
        <v>0</v>
      </c>
      <c r="S222" s="60">
        <f>IF(S194=1,IF(R207=1,1,0),0)</f>
        <v>0</v>
      </c>
      <c r="T222" s="55">
        <f>IF(T194=1,IF(U207=1,1,0),0)</f>
        <v>0</v>
      </c>
      <c r="V222" s="60">
        <f>IF(V194=1,IF(U207=1,1,0),0)</f>
        <v>0</v>
      </c>
      <c r="W222" s="55">
        <f>IF(W194=1,IF(X207=1,1,0),0)</f>
        <v>0</v>
      </c>
      <c r="Y222" s="60">
        <f>IF(Y194=1,IF(X207=1,1,0),0)</f>
        <v>0</v>
      </c>
      <c r="Z222" s="55">
        <f>IF(Z194=1,IF(AA207=1,1,0),0)</f>
        <v>0</v>
      </c>
      <c r="AB222" s="60">
        <f>IF(AB194=1,IF(AA207=1,1,0),0)</f>
        <v>0</v>
      </c>
      <c r="AC222" s="55">
        <f>IF(AC194=1,IF(AD207=1,1,0),0)</f>
        <v>0</v>
      </c>
      <c r="AE222" s="60">
        <f>IF(AE194=1,IF(AD207=1,1,0),0)</f>
        <v>0</v>
      </c>
      <c r="AF222" s="55">
        <f>SUM(B222:AE222)</f>
        <v>1</v>
      </c>
    </row>
    <row r="223" spans="1:33" s="55" customFormat="1" ht="12.75" hidden="1" customHeight="1" x14ac:dyDescent="0.2">
      <c r="A223" s="55" t="s">
        <v>104</v>
      </c>
      <c r="B223" s="55">
        <f>IF(B194=2,IF(C207=1,1,0),0)</f>
        <v>0</v>
      </c>
      <c r="D223" s="60">
        <f>IF(D194=2,IF(C207=1,1,0),0)</f>
        <v>0</v>
      </c>
      <c r="E223" s="55">
        <f>IF(E194=2,IF(F207=1,1,0),0)</f>
        <v>0</v>
      </c>
      <c r="G223" s="60">
        <f>IF(G194=2,IF(F207=1,1,0),0)</f>
        <v>0</v>
      </c>
      <c r="H223" s="55">
        <f>IF(H194=2,IF(I207=1,1,0),0)</f>
        <v>0</v>
      </c>
      <c r="J223" s="60">
        <f>IF(J194=2,IF(I207=1,1,0),0)</f>
        <v>1</v>
      </c>
      <c r="K223" s="55">
        <f>IF(K194=2,IF(L207=1,1,0),0)</f>
        <v>0</v>
      </c>
      <c r="M223" s="60">
        <f>IF(M194=2,IF(L207=1,1,0),0)</f>
        <v>0</v>
      </c>
      <c r="N223" s="55">
        <f>IF(N194=2,IF(O207=1,1,0),0)</f>
        <v>0</v>
      </c>
      <c r="P223" s="60">
        <f>IF(P194=2,IF(O207=1,1,0),0)</f>
        <v>0</v>
      </c>
      <c r="Q223" s="55">
        <f>IF(Q194=2,IF(R207=1,1,0),0)</f>
        <v>0</v>
      </c>
      <c r="S223" s="60">
        <f>IF(S194=2,IF(R207=1,1,0),0)</f>
        <v>0</v>
      </c>
      <c r="T223" s="55">
        <f>IF(T194=2,IF(U207=1,1,0),0)</f>
        <v>0</v>
      </c>
      <c r="V223" s="60">
        <f>IF(V194=2,IF(U207=1,1,0),0)</f>
        <v>0</v>
      </c>
      <c r="W223" s="55">
        <f>IF(W194=2,IF(X207=1,1,0),0)</f>
        <v>0</v>
      </c>
      <c r="Y223" s="60">
        <f>IF(Y194=2,IF(X207=1,1,0),0)</f>
        <v>0</v>
      </c>
      <c r="Z223" s="55">
        <f>IF(Z194=2,IF(AA207=1,1,0),0)</f>
        <v>0</v>
      </c>
      <c r="AB223" s="60">
        <f>IF(AB194=2,IF(AA207=1,1,0),0)</f>
        <v>0</v>
      </c>
      <c r="AC223" s="55">
        <f>IF(AC194=2,IF(AD207=1,1,0),0)</f>
        <v>0</v>
      </c>
      <c r="AE223" s="60">
        <f>IF(AE194=2,IF(AD207=1,1,0),0)</f>
        <v>0</v>
      </c>
      <c r="AF223" s="55">
        <f>SUM(B223:AE223)</f>
        <v>1</v>
      </c>
    </row>
    <row r="224" spans="1:33" s="55" customFormat="1" ht="12.75" hidden="1" customHeight="1" x14ac:dyDescent="0.2">
      <c r="A224" s="55" t="s">
        <v>105</v>
      </c>
      <c r="B224" s="55">
        <f>IF(B194=3,IF(C207=1,1,0),0)</f>
        <v>0</v>
      </c>
      <c r="D224" s="60">
        <f>IF(D194=3,IF(C207=1,1,0),0)</f>
        <v>0</v>
      </c>
      <c r="E224" s="55">
        <f>IF(E194=3,IF(F207=1,1,0),0)</f>
        <v>0</v>
      </c>
      <c r="G224" s="60">
        <f>IF(G194=3,IF(F207=1,1,0),0)</f>
        <v>0</v>
      </c>
      <c r="H224" s="55">
        <f>IF(H194=3,IF(I207=1,1,0),0)</f>
        <v>0</v>
      </c>
      <c r="J224" s="60">
        <f>IF(J194=3,IF(I207=1,1,0),0)</f>
        <v>0</v>
      </c>
      <c r="K224" s="55">
        <f>IF(K194=3,IF(L207=1,1,0),0)</f>
        <v>0</v>
      </c>
      <c r="M224" s="60">
        <f>IF(M194=3,IF(L207=1,1,0),0)</f>
        <v>0</v>
      </c>
      <c r="N224" s="55">
        <f>IF(N194=3,IF(O207=1,1,0),0)</f>
        <v>0</v>
      </c>
      <c r="P224" s="60">
        <f>IF(P194=3,IF(O207=1,1,0),0)</f>
        <v>0</v>
      </c>
      <c r="Q224" s="55">
        <f>IF(Q194=3,IF(R207=1,1,0),0)</f>
        <v>0</v>
      </c>
      <c r="S224" s="60">
        <f>IF(S194=3,IF(R207=1,1,0),0)</f>
        <v>0</v>
      </c>
      <c r="T224" s="55">
        <f>IF(T194=3,IF(U207=1,1,0),0)</f>
        <v>0</v>
      </c>
      <c r="V224" s="60">
        <f>IF(V194=3,IF(U207=1,1,0),0)</f>
        <v>0</v>
      </c>
      <c r="W224" s="55">
        <f>IF(W194=3,IF(X207=1,1,0),0)</f>
        <v>0</v>
      </c>
      <c r="Y224" s="60">
        <f>IF(Y194=3,IF(X207=1,1,0),0)</f>
        <v>0</v>
      </c>
      <c r="Z224" s="55">
        <f>IF(Z194=3,IF(AA207=1,1,0),0)</f>
        <v>0</v>
      </c>
      <c r="AB224" s="60">
        <f>IF(AB194=3,IF(AA207=1,1,0),0)</f>
        <v>0</v>
      </c>
      <c r="AC224" s="55">
        <f>IF(AC194=3,IF(AD207=1,1,0),0)</f>
        <v>0</v>
      </c>
      <c r="AE224" s="60">
        <f>IF(AE194=3,IF(AD207=1,1,0),0)</f>
        <v>0</v>
      </c>
      <c r="AF224" s="55">
        <f>SUM(B224:AE224)</f>
        <v>0</v>
      </c>
    </row>
    <row r="225" spans="1:37" s="55" customFormat="1" ht="12.75" hidden="1" customHeight="1" x14ac:dyDescent="0.2">
      <c r="A225" s="55" t="s">
        <v>106</v>
      </c>
      <c r="B225" s="55">
        <f>IF(B194=4,IF(C207=1,1,0),0)</f>
        <v>0</v>
      </c>
      <c r="D225" s="60">
        <f>IF(D194=4,IF(C207=1,1,0),0)</f>
        <v>0</v>
      </c>
      <c r="E225" s="55">
        <f>IF(E194=4,IF(F207=1,1,0),0)</f>
        <v>0</v>
      </c>
      <c r="G225" s="60">
        <f>IF(G194=4,IF(F207=1,1,0),0)</f>
        <v>0</v>
      </c>
      <c r="H225" s="55">
        <f>IF(H194=4,IF(I207=1,1,0),0)</f>
        <v>0</v>
      </c>
      <c r="J225" s="60">
        <f>IF(J194=4,IF(I207=1,1,0),0)</f>
        <v>0</v>
      </c>
      <c r="K225" s="55">
        <f>IF(K194=4,IF(L207=1,1,0),0)</f>
        <v>0</v>
      </c>
      <c r="M225" s="60">
        <f>IF(M194=4,IF(L207=1,1,0),0)</f>
        <v>0</v>
      </c>
      <c r="N225" s="55">
        <f>IF(N194=4,IF(O207=1,1,0),0)</f>
        <v>0</v>
      </c>
      <c r="P225" s="60">
        <f>IF(P194=4,IF(O207=1,1,0),0)</f>
        <v>0</v>
      </c>
      <c r="Q225" s="55">
        <f>IF(Q194=4,IF(R207=1,1,0),0)</f>
        <v>0</v>
      </c>
      <c r="S225" s="60">
        <f>IF(S194=4,IF(R207=1,1,0),0)</f>
        <v>0</v>
      </c>
      <c r="T225" s="55">
        <f>IF(T194=4,IF(U207=1,1,0),0)</f>
        <v>0</v>
      </c>
      <c r="V225" s="60">
        <f>IF(V194=4,IF(U207=1,1,0),0)</f>
        <v>0</v>
      </c>
      <c r="W225" s="55">
        <f>IF(W194=4,IF(X207=1,1,0),0)</f>
        <v>0</v>
      </c>
      <c r="Y225" s="60">
        <f>IF(Y194=4,IF(X207=1,1,0),0)</f>
        <v>0</v>
      </c>
      <c r="Z225" s="55">
        <f>IF(Z194=4,IF(AA207=1,1,0),0)</f>
        <v>0</v>
      </c>
      <c r="AB225" s="60">
        <f>IF(AB194=4,IF(AA207=1,1,0),0)</f>
        <v>0</v>
      </c>
      <c r="AC225" s="55">
        <f>IF(AC194=4,IF(AD207=1,1,0),0)</f>
        <v>0</v>
      </c>
      <c r="AE225" s="60">
        <f>IF(AE194=4,IF(AD207=1,1,0),0)</f>
        <v>0</v>
      </c>
      <c r="AF225" s="55">
        <f>SUM(B225:AE225)</f>
        <v>0</v>
      </c>
    </row>
    <row r="226" spans="1:37" s="55" customFormat="1" ht="12.75" hidden="1" customHeight="1" x14ac:dyDescent="0.2">
      <c r="A226" s="55" t="s">
        <v>107</v>
      </c>
      <c r="B226" s="55">
        <f>IF(B194=5,IF(C207=1,1,0),0)</f>
        <v>0</v>
      </c>
      <c r="D226" s="60">
        <f>IF(D194=5,IF(C207=1,1,0),0)</f>
        <v>0</v>
      </c>
      <c r="E226" s="55">
        <f>IF(E194=5,IF(F207=1,1,0),0)</f>
        <v>0</v>
      </c>
      <c r="G226" s="60">
        <f>IF(G194=5,IF(F207=1,1,0),0)</f>
        <v>0</v>
      </c>
      <c r="H226" s="55">
        <f>IF(H194=5,IF(I207=1,1,0),0)</f>
        <v>0</v>
      </c>
      <c r="J226" s="60">
        <f>IF(J194=5,IF(I207=1,1,0),0)</f>
        <v>0</v>
      </c>
      <c r="K226" s="55">
        <f>IF(K194=5,IF(L207=1,1,0),0)</f>
        <v>0</v>
      </c>
      <c r="M226" s="60">
        <f>IF(M194=5,IF(L207=1,1,0),0)</f>
        <v>0</v>
      </c>
      <c r="N226" s="55">
        <f>IF(N194=5,IF(O207=1,1,0),0)</f>
        <v>0</v>
      </c>
      <c r="P226" s="60">
        <f>IF(P194=5,IF(O207=1,1,0),0)</f>
        <v>0</v>
      </c>
      <c r="Q226" s="55">
        <f>IF(Q194=5,IF(R207=1,1,0),0)</f>
        <v>0</v>
      </c>
      <c r="S226" s="60">
        <f>IF(S194=5,IF(R207=1,1,0),0)</f>
        <v>0</v>
      </c>
      <c r="T226" s="55">
        <f>IF(T194=5,IF(U207=1,1,0),0)</f>
        <v>0</v>
      </c>
      <c r="V226" s="60">
        <f>IF(V194=5,IF(U207=1,1,0),0)</f>
        <v>0</v>
      </c>
      <c r="W226" s="55">
        <f>IF(W194=5,IF(X207=1,1,0),0)</f>
        <v>0</v>
      </c>
      <c r="Y226" s="60">
        <f>IF(Y194=5,IF(X207=1,1,0),0)</f>
        <v>0</v>
      </c>
      <c r="Z226" s="55">
        <f>IF(Z194=5,IF(AA207=1,1,0),0)</f>
        <v>0</v>
      </c>
      <c r="AB226" s="60">
        <f>IF(AB194=5,IF(AA207=1,1,0),0)</f>
        <v>0</v>
      </c>
      <c r="AC226" s="55">
        <f>IF(AC194=5,IF(AD207=1,1,0),0)</f>
        <v>0</v>
      </c>
      <c r="AE226" s="60">
        <f>IF(AE194=5,IF(AD207=1,1,0),0)</f>
        <v>0</v>
      </c>
      <c r="AF226" s="55">
        <f>SUM(B226:AE226)</f>
        <v>0</v>
      </c>
    </row>
    <row r="227" spans="1:37" s="55" customFormat="1" ht="38.25" hidden="1" customHeight="1" x14ac:dyDescent="0.2">
      <c r="A227" s="59"/>
      <c r="D227" s="60"/>
      <c r="G227" s="60"/>
      <c r="J227" s="60"/>
      <c r="M227" s="60"/>
      <c r="P227" s="60"/>
      <c r="S227" s="60"/>
      <c r="V227" s="60"/>
      <c r="Y227" s="60"/>
      <c r="AB227" s="60"/>
      <c r="AE227" s="60"/>
      <c r="AF227" s="59" t="s">
        <v>108</v>
      </c>
      <c r="AG227" s="328"/>
      <c r="AH227" s="328"/>
      <c r="AI227" s="328"/>
      <c r="AJ227" s="328"/>
      <c r="AK227" s="328"/>
    </row>
    <row r="228" spans="1:37" s="55" customFormat="1" ht="12.75" hidden="1" customHeight="1" x14ac:dyDescent="0.2">
      <c r="A228" s="55" t="s">
        <v>103</v>
      </c>
      <c r="B228" s="55">
        <f>IF(B194=1,B214,0)</f>
        <v>53</v>
      </c>
      <c r="D228" s="60">
        <f>IF(D194=1,B214,0)</f>
        <v>0</v>
      </c>
      <c r="E228" s="55">
        <f>IF(E194=1,E214,0)</f>
        <v>0</v>
      </c>
      <c r="G228" s="60">
        <f>IF(G194=1,E214,0)</f>
        <v>0</v>
      </c>
      <c r="H228" s="55">
        <f>IF(H194=1,H214,0)</f>
        <v>48</v>
      </c>
      <c r="J228" s="60">
        <f>IF(J194=1,H214,0)</f>
        <v>0</v>
      </c>
      <c r="K228" s="55">
        <f>IF(K194=1,K214,0)</f>
        <v>0</v>
      </c>
      <c r="M228" s="60">
        <f>IF(M194=1,K214,0)</f>
        <v>0</v>
      </c>
      <c r="N228" s="55">
        <f>IF(N194=1,N214,0)</f>
        <v>0</v>
      </c>
      <c r="P228" s="60">
        <f>IF(P194=1,N214,0)</f>
        <v>0</v>
      </c>
      <c r="Q228" s="55">
        <f>IF(Q194=1,Q214,0)</f>
        <v>0</v>
      </c>
      <c r="S228" s="60">
        <f>IF(S194=1,Q214,0)</f>
        <v>0</v>
      </c>
      <c r="T228" s="55">
        <f>IF(T194=1,T214,0)</f>
        <v>0</v>
      </c>
      <c r="V228" s="60">
        <f>IF(V194=1,T214,0)</f>
        <v>0</v>
      </c>
      <c r="W228" s="55">
        <f>IF(W194=1,W214,0)</f>
        <v>0</v>
      </c>
      <c r="Y228" s="60">
        <f>IF(Y194=1,W214,0)</f>
        <v>0</v>
      </c>
      <c r="Z228" s="55">
        <f>IF(Z194=1,Z214,0)</f>
        <v>0</v>
      </c>
      <c r="AB228" s="60">
        <f>IF(AB194=1,Z214,0)</f>
        <v>0</v>
      </c>
      <c r="AC228" s="55">
        <f>IF(AC194=1,AC214,0)</f>
        <v>0</v>
      </c>
      <c r="AE228" s="60">
        <f>IF(AE194=1,AC214,0)</f>
        <v>0</v>
      </c>
      <c r="AF228" s="55">
        <f>SUM(B228:AE228)</f>
        <v>101</v>
      </c>
    </row>
    <row r="229" spans="1:37" s="55" customFormat="1" ht="12.75" hidden="1" customHeight="1" x14ac:dyDescent="0.2">
      <c r="A229" s="55" t="s">
        <v>104</v>
      </c>
      <c r="B229" s="55">
        <f>IF(B194=2,B214,0)</f>
        <v>0</v>
      </c>
      <c r="D229" s="60">
        <f>IF(D194=2,B214,0)</f>
        <v>0</v>
      </c>
      <c r="E229" s="55">
        <f>IF(E194=2,E214,0)</f>
        <v>42</v>
      </c>
      <c r="G229" s="60">
        <f>IF(G194=2,E214,0)</f>
        <v>0</v>
      </c>
      <c r="H229" s="55">
        <f>IF(H194=2,H214,0)</f>
        <v>0</v>
      </c>
      <c r="J229" s="60">
        <f>IF(J194=2,H214,0)</f>
        <v>48</v>
      </c>
      <c r="K229" s="55">
        <f>IF(K194=2,K214,0)</f>
        <v>0</v>
      </c>
      <c r="M229" s="60">
        <f>IF(M194=2,K214,0)</f>
        <v>0</v>
      </c>
      <c r="N229" s="55">
        <f>IF(N194=2,N214,0)</f>
        <v>0</v>
      </c>
      <c r="P229" s="60">
        <f>IF(P194=2,N214,0)</f>
        <v>0</v>
      </c>
      <c r="Q229" s="55">
        <f>IF(Q194=2,Q214,0)</f>
        <v>0</v>
      </c>
      <c r="S229" s="60">
        <f>IF(S194=2,Q214,0)</f>
        <v>0</v>
      </c>
      <c r="T229" s="55">
        <f>IF(T194=2,T214,0)</f>
        <v>0</v>
      </c>
      <c r="V229" s="60">
        <f>IF(V194=2,T214,0)</f>
        <v>0</v>
      </c>
      <c r="W229" s="55">
        <f>IF(W194=2,W214,0)</f>
        <v>0</v>
      </c>
      <c r="Y229" s="60">
        <f>IF(Y194=2,W214,0)</f>
        <v>0</v>
      </c>
      <c r="Z229" s="55">
        <f>IF(Z194=2,Z214,0)</f>
        <v>0</v>
      </c>
      <c r="AB229" s="60">
        <f>IF(AB194=2,Z214,0)</f>
        <v>0</v>
      </c>
      <c r="AC229" s="55">
        <f>IF(AC194=2,AC214,0)</f>
        <v>0</v>
      </c>
      <c r="AE229" s="60">
        <f>IF(AE194=2,AC214,0)</f>
        <v>0</v>
      </c>
      <c r="AF229" s="55">
        <f>SUM(B229:AE229)</f>
        <v>90</v>
      </c>
    </row>
    <row r="230" spans="1:37" s="55" customFormat="1" ht="12.75" hidden="1" customHeight="1" x14ac:dyDescent="0.2">
      <c r="A230" s="55" t="s">
        <v>105</v>
      </c>
      <c r="B230" s="55">
        <f>IF(B194=3,B214,0)</f>
        <v>0</v>
      </c>
      <c r="D230" s="60">
        <f>IF(D194=3,B214,0)</f>
        <v>53</v>
      </c>
      <c r="E230" s="55">
        <f>IF(E194=3,E214,0)</f>
        <v>0</v>
      </c>
      <c r="G230" s="60">
        <f>IF(G194=3,E214,0)</f>
        <v>42</v>
      </c>
      <c r="H230" s="55">
        <f>IF(H194=3,H214,0)</f>
        <v>0</v>
      </c>
      <c r="J230" s="60">
        <f>IF(J194=3,H214,0)</f>
        <v>0</v>
      </c>
      <c r="K230" s="55">
        <f>IF(K194=3,K214,0)</f>
        <v>0</v>
      </c>
      <c r="M230" s="60">
        <f>IF(M194=3,K214,0)</f>
        <v>0</v>
      </c>
      <c r="N230" s="55">
        <f>IF(N194=3,N214,0)</f>
        <v>0</v>
      </c>
      <c r="P230" s="60">
        <f>IF(P194=3,N214,0)</f>
        <v>0</v>
      </c>
      <c r="Q230" s="55">
        <f>IF(Q194=3,Q214,0)</f>
        <v>0</v>
      </c>
      <c r="S230" s="60">
        <f>IF(S194=3,Q214,0)</f>
        <v>0</v>
      </c>
      <c r="T230" s="55">
        <f>IF(T194=3,T214,0)</f>
        <v>0</v>
      </c>
      <c r="V230" s="60">
        <f>IF(V194=3,T214,0)</f>
        <v>0</v>
      </c>
      <c r="W230" s="55">
        <f>IF(W194=3,W214,0)</f>
        <v>0</v>
      </c>
      <c r="Y230" s="60">
        <f>IF(Y194=3,W214,0)</f>
        <v>0</v>
      </c>
      <c r="Z230" s="55">
        <f>IF(Z194=3,Z214,0)</f>
        <v>0</v>
      </c>
      <c r="AB230" s="60">
        <f>IF(AB194=3,Z214,0)</f>
        <v>0</v>
      </c>
      <c r="AC230" s="55">
        <f>IF(AC194=3,AC214,0)</f>
        <v>0</v>
      </c>
      <c r="AE230" s="60">
        <f>IF(AE194=3,AC214,0)</f>
        <v>0</v>
      </c>
      <c r="AF230" s="55">
        <f>SUM(B230:AE230)</f>
        <v>95</v>
      </c>
    </row>
    <row r="231" spans="1:37" s="55" customFormat="1" ht="12.75" hidden="1" customHeight="1" x14ac:dyDescent="0.2">
      <c r="A231" s="55" t="s">
        <v>106</v>
      </c>
      <c r="B231" s="55">
        <f>IF(B194=4,B214,0)</f>
        <v>0</v>
      </c>
      <c r="D231" s="60">
        <f>IF(D194=4,B214,0)</f>
        <v>0</v>
      </c>
      <c r="E231" s="55">
        <f>IF(E194=4,E214,0)</f>
        <v>0</v>
      </c>
      <c r="G231" s="60">
        <f>IF(G194=4,E214,0)</f>
        <v>0</v>
      </c>
      <c r="H231" s="55">
        <f>IF(H194=4,H214,0)</f>
        <v>0</v>
      </c>
      <c r="J231" s="60">
        <f>IF(J194=4,H214,0)</f>
        <v>0</v>
      </c>
      <c r="K231" s="55">
        <f>IF(K194=4,K214,0)</f>
        <v>0</v>
      </c>
      <c r="M231" s="60">
        <f>IF(M194=4,K214,0)</f>
        <v>0</v>
      </c>
      <c r="N231" s="55">
        <f>IF(N194=4,N214,0)</f>
        <v>0</v>
      </c>
      <c r="P231" s="60">
        <f>IF(P194=4,N214,0)</f>
        <v>0</v>
      </c>
      <c r="Q231" s="55">
        <f>IF(Q194=4,Q214,0)</f>
        <v>0</v>
      </c>
      <c r="S231" s="60">
        <f>IF(S194=4,Q214,0)</f>
        <v>0</v>
      </c>
      <c r="T231" s="55">
        <f>IF(T194=4,T214,0)</f>
        <v>0</v>
      </c>
      <c r="V231" s="60">
        <f>IF(V194=4,T214,0)</f>
        <v>0</v>
      </c>
      <c r="W231" s="55">
        <f>IF(W194=4,W214,0)</f>
        <v>0</v>
      </c>
      <c r="Y231" s="60">
        <f>IF(Y194=4,W214,0)</f>
        <v>0</v>
      </c>
      <c r="Z231" s="55">
        <f>IF(Z194=4,Z214,0)</f>
        <v>0</v>
      </c>
      <c r="AB231" s="60">
        <f>IF(AB194=4,Z214,0)</f>
        <v>0</v>
      </c>
      <c r="AC231" s="55">
        <f>IF(AC194=4,AC214,0)</f>
        <v>0</v>
      </c>
      <c r="AE231" s="60">
        <f>IF(AE194=4,AC214,0)</f>
        <v>0</v>
      </c>
      <c r="AF231" s="55">
        <f>SUM(B231:AE231)</f>
        <v>0</v>
      </c>
    </row>
    <row r="232" spans="1:37" s="55" customFormat="1" ht="12.75" hidden="1" customHeight="1" x14ac:dyDescent="0.2">
      <c r="A232" s="55" t="s">
        <v>107</v>
      </c>
      <c r="B232" s="55">
        <f>IF(B194=5,B214,0)</f>
        <v>0</v>
      </c>
      <c r="D232" s="60">
        <f>IF(D194=5,B214,0)</f>
        <v>0</v>
      </c>
      <c r="E232" s="55">
        <f>IF(E194=5,E214,0)</f>
        <v>0</v>
      </c>
      <c r="G232" s="60">
        <f>IF(G194=5,E214,0)</f>
        <v>0</v>
      </c>
      <c r="H232" s="55">
        <f>IF(H194=5,H214,0)</f>
        <v>0</v>
      </c>
      <c r="J232" s="60">
        <f>IF(J194=5,H214,0)</f>
        <v>0</v>
      </c>
      <c r="K232" s="55">
        <f>IF(K194=5,K214,0)</f>
        <v>0</v>
      </c>
      <c r="M232" s="60">
        <f>IF(M194=5,K214,0)</f>
        <v>0</v>
      </c>
      <c r="N232" s="55">
        <f>IF(N194=5,N214,0)</f>
        <v>0</v>
      </c>
      <c r="P232" s="60">
        <f>IF(P194=5,N214,0)</f>
        <v>0</v>
      </c>
      <c r="Q232" s="55">
        <f>IF(Q194=5,Q214,0)</f>
        <v>0</v>
      </c>
      <c r="S232" s="60">
        <f>IF(S194=5,Q214,0)</f>
        <v>0</v>
      </c>
      <c r="T232" s="55">
        <f>IF(T194=5,T214,0)</f>
        <v>0</v>
      </c>
      <c r="V232" s="60">
        <f>IF(V194=5,T214,0)</f>
        <v>0</v>
      </c>
      <c r="W232" s="55">
        <f>IF(W194=5,W214,0)</f>
        <v>0</v>
      </c>
      <c r="Y232" s="60">
        <f>IF(Y194=5,W214,0)</f>
        <v>0</v>
      </c>
      <c r="Z232" s="55">
        <f>IF(Z194=5,Z214,0)</f>
        <v>0</v>
      </c>
      <c r="AB232" s="60">
        <f>IF(AB194=5,Z214,0)</f>
        <v>0</v>
      </c>
      <c r="AC232" s="55">
        <f>IF(AC194=5,AC214,0)</f>
        <v>0</v>
      </c>
      <c r="AE232" s="60">
        <f>IF(AE194=5,AC214,0)</f>
        <v>0</v>
      </c>
      <c r="AF232" s="55">
        <f>SUM(B232:AE232)</f>
        <v>0</v>
      </c>
    </row>
    <row r="233" spans="1:37" s="55" customFormat="1" ht="38.25" hidden="1" customHeight="1" x14ac:dyDescent="0.2">
      <c r="A233" s="55" t="s">
        <v>109</v>
      </c>
      <c r="D233" s="60"/>
      <c r="G233" s="60"/>
      <c r="J233" s="60"/>
      <c r="M233" s="60"/>
      <c r="P233" s="60"/>
      <c r="S233" s="60"/>
      <c r="V233" s="60"/>
      <c r="Y233" s="60"/>
      <c r="AB233" s="60"/>
      <c r="AE233" s="60"/>
      <c r="AF233" s="59" t="s">
        <v>110</v>
      </c>
      <c r="AG233" s="55" t="s">
        <v>111</v>
      </c>
    </row>
    <row r="234" spans="1:37" s="55" customFormat="1" ht="12.75" hidden="1" customHeight="1" x14ac:dyDescent="0.2">
      <c r="A234" s="55" t="s">
        <v>97</v>
      </c>
      <c r="B234" s="55">
        <f>IF(B194=1,SUMIF(B201:B205,"&gt;0"),0)</f>
        <v>1</v>
      </c>
      <c r="D234" s="60">
        <f>IF(D194=1,SUMIF(D201:D205,"&gt;0"),0)</f>
        <v>0</v>
      </c>
      <c r="E234" s="55">
        <f>IF(E194=1,SUMIF(E201:E205,"&gt;0"),0)</f>
        <v>0</v>
      </c>
      <c r="G234" s="60">
        <f>IF(G194=1,SUMIF(G201:G205,"&gt;0"),0)</f>
        <v>0</v>
      </c>
      <c r="H234" s="55">
        <f>IF(H194=1,SUMIF(H201:H205,"&gt;0"),0)</f>
        <v>2</v>
      </c>
      <c r="J234" s="60">
        <f>IF(J194=1,SUMIF(J201:J205,"&gt;0"),0)</f>
        <v>0</v>
      </c>
      <c r="K234" s="55">
        <f>IF(K194=1,SUMIF(K201:K205,"&gt;0"),0)</f>
        <v>0</v>
      </c>
      <c r="M234" s="60">
        <f>IF(M194=1,SUMIF(M201:M205,"&gt;0"),0)</f>
        <v>0</v>
      </c>
      <c r="N234" s="55">
        <f>IF(N194=1,SUMIF(N201:N205,"&gt;0"),0)</f>
        <v>0</v>
      </c>
      <c r="P234" s="60">
        <f>IF(P194=1,SUMIF(P201:P205,"&gt;0"),0)</f>
        <v>0</v>
      </c>
      <c r="Q234" s="55">
        <f>IF(Q194=1,SUMIF(Q201:Q205,"&gt;0"),0)</f>
        <v>0</v>
      </c>
      <c r="S234" s="60">
        <f>IF(S194=1,SUMIF(S201:S205,"&gt;0"),0)</f>
        <v>0</v>
      </c>
      <c r="T234" s="55">
        <f>IF(T194=1,SUMIF(T201:T205,"&gt;0"),0)</f>
        <v>0</v>
      </c>
      <c r="V234" s="60">
        <f>IF(V194=1,SUMIF(V201:V205,"&gt;0"),0)</f>
        <v>0</v>
      </c>
      <c r="W234" s="55">
        <f>IF(W194=1,SUMIF(W201:W205,"&gt;0"),0)</f>
        <v>0</v>
      </c>
      <c r="Y234" s="60">
        <f>IF(Y194=1,SUMIF(Y201:Y205,"&gt;0"),0)</f>
        <v>0</v>
      </c>
      <c r="Z234" s="55">
        <f>IF(Z194=1,SUMIF(Z201:Z205,"&gt;0"),0)</f>
        <v>0</v>
      </c>
      <c r="AB234" s="60">
        <f>IF(AB194=1,SUMIF(AB201:AB205,"&gt;0"),0)</f>
        <v>0</v>
      </c>
      <c r="AC234" s="55">
        <f>IF(AC194=1,SUMIF(AC201:AC205,"&gt;0"),0)</f>
        <v>0</v>
      </c>
      <c r="AE234" s="60">
        <f>IF(AE194=1,SUMIF(AE201:AE205,"&gt;0"),0)</f>
        <v>0</v>
      </c>
      <c r="AF234" s="55">
        <f>SUM(B234:AE234)</f>
        <v>3</v>
      </c>
      <c r="AG234" s="55">
        <f>AF242-AF234</f>
        <v>1</v>
      </c>
    </row>
    <row r="235" spans="1:37" s="55" customFormat="1" ht="12.75" hidden="1" customHeight="1" x14ac:dyDescent="0.2">
      <c r="A235" s="55" t="s">
        <v>98</v>
      </c>
      <c r="B235" s="55">
        <f>IF(B194=2,SUMIF(B201:B205,"&gt;0"),0)</f>
        <v>0</v>
      </c>
      <c r="D235" s="60">
        <f>IF(D194=2,SUMIF(D201:D205,"&gt;0"),0)</f>
        <v>0</v>
      </c>
      <c r="E235" s="55">
        <f>IF(E194=2,SUMIF(E201:E205,"&gt;0"),0)</f>
        <v>1</v>
      </c>
      <c r="G235" s="60">
        <f>IF(G194=2,SUMIF(G201:G205,"&gt;0"),0)</f>
        <v>0</v>
      </c>
      <c r="H235" s="55">
        <f>IF(H194=2,SUMIF(H201:H205,"&gt;0"),0)</f>
        <v>0</v>
      </c>
      <c r="J235" s="60">
        <f>IF(J194=2,SUMIF(J201:J205,"&gt;0"),0)</f>
        <v>0</v>
      </c>
      <c r="K235" s="55">
        <f>IF(K194=2,SUMIF(K201:K205,"&gt;0"),0)</f>
        <v>0</v>
      </c>
      <c r="M235" s="60">
        <f>IF(M194=2,SUMIF(M201:M205,"&gt;0"),0)</f>
        <v>0</v>
      </c>
      <c r="N235" s="55">
        <f>IF(N194=2,SUMIF(N201:N205,"&gt;0"),0)</f>
        <v>0</v>
      </c>
      <c r="P235" s="60">
        <f>IF(P194=2,SUMIF(P201:P205,"&gt;0"),0)</f>
        <v>0</v>
      </c>
      <c r="Q235" s="55">
        <f>IF(Q194=2,SUMIF(Q201:Q205,"&gt;0"),0)</f>
        <v>0</v>
      </c>
      <c r="S235" s="60">
        <f>IF(S194=2,SUMIF(S201:S205,"&gt;0"),0)</f>
        <v>0</v>
      </c>
      <c r="T235" s="55">
        <f>IF(T194=2,SUMIF(T201:T205,"&gt;0"),0)</f>
        <v>0</v>
      </c>
      <c r="V235" s="60">
        <f>IF(V194=2,SUMIF(V201:V205,"&gt;0"),0)</f>
        <v>0</v>
      </c>
      <c r="W235" s="55">
        <f>IF(W194=2,SUMIF(W201:W205,"&gt;0"),0)</f>
        <v>0</v>
      </c>
      <c r="Y235" s="60">
        <f>IF(Y194=2,SUMIF(Y201:Y205,"&gt;0"),0)</f>
        <v>0</v>
      </c>
      <c r="Z235" s="55">
        <f>IF(Z194=2,SUMIF(Z201:Z205,"&gt;0"),0)</f>
        <v>0</v>
      </c>
      <c r="AB235" s="60">
        <f>IF(AB194=2,SUMIF(AB201:AB205,"&gt;0"),0)</f>
        <v>0</v>
      </c>
      <c r="AC235" s="55">
        <f>IF(AC194=2,SUMIF(AC201:AC205,"&gt;0"),0)</f>
        <v>0</v>
      </c>
      <c r="AE235" s="60">
        <f>IF(AE194=2,SUMIF(AE201:AE205,"&gt;0"),0)</f>
        <v>0</v>
      </c>
      <c r="AF235" s="55">
        <f>SUM(B235:AE235)</f>
        <v>1</v>
      </c>
      <c r="AG235" s="55">
        <f>AF243-AF235</f>
        <v>3</v>
      </c>
    </row>
    <row r="236" spans="1:37" s="55" customFormat="1" ht="12.75" hidden="1" customHeight="1" x14ac:dyDescent="0.2">
      <c r="A236" s="55" t="s">
        <v>99</v>
      </c>
      <c r="B236" s="55">
        <f>IF(B194=3,SUMIF(B201:B205,"&gt;0"),0)</f>
        <v>0</v>
      </c>
      <c r="D236" s="60">
        <f>IF(D194=3,SUMIF(D201:D205,"&gt;0"),0)</f>
        <v>1</v>
      </c>
      <c r="E236" s="55">
        <f>IF(E194=3,SUMIF(E201:E205,"&gt;0"),0)</f>
        <v>0</v>
      </c>
      <c r="G236" s="60">
        <f>IF(G194=3,SUMIF(G201:G205,"&gt;0"),0)</f>
        <v>1</v>
      </c>
      <c r="H236" s="55">
        <f>IF(H194=3,SUMIF(H201:H205,"&gt;0"),0)</f>
        <v>0</v>
      </c>
      <c r="J236" s="60">
        <f>IF(J194=3,SUMIF(J201:J205,"&gt;0"),0)</f>
        <v>0</v>
      </c>
      <c r="K236" s="55">
        <f>IF(K194=3,SUMIF(K201:K205,"&gt;0"),0)</f>
        <v>0</v>
      </c>
      <c r="M236" s="60">
        <f>IF(M194=3,SUMIF(M201:M205,"&gt;0"),0)</f>
        <v>0</v>
      </c>
      <c r="N236" s="55">
        <f>IF(N194=3,SUMIF(N201:N205,"&gt;0"),0)</f>
        <v>0</v>
      </c>
      <c r="P236" s="60">
        <f>IF(P194=3,SUMIF(P201:P205,"&gt;0"),0)</f>
        <v>0</v>
      </c>
      <c r="Q236" s="55">
        <f>IF(Q194=3,SUMIF(Q201:Q205,"&gt;0"),0)</f>
        <v>0</v>
      </c>
      <c r="S236" s="60">
        <f>IF(S194=3,SUMIF(S201:S205,"&gt;0"),0)</f>
        <v>0</v>
      </c>
      <c r="T236" s="55">
        <f>IF(T194=3,SUMIF(T201:T205,"&gt;0"),0)</f>
        <v>0</v>
      </c>
      <c r="V236" s="60">
        <f>IF(V194=3,SUMIF(V201:V205,"&gt;0"),0)</f>
        <v>0</v>
      </c>
      <c r="W236" s="55">
        <f>IF(W194=3,SUMIF(W201:W205,"&gt;0"),0)</f>
        <v>0</v>
      </c>
      <c r="Y236" s="60">
        <f>IF(Y194=3,SUMIF(Y201:Y205,"&gt;0"),0)</f>
        <v>0</v>
      </c>
      <c r="Z236" s="55">
        <f>IF(Z194=3,SUMIF(Z201:Z205,"&gt;0"),0)</f>
        <v>0</v>
      </c>
      <c r="AB236" s="60">
        <f>IF(AB194=3,SUMIF(AB201:AB205,"&gt;0"),0)</f>
        <v>0</v>
      </c>
      <c r="AC236" s="55">
        <f>IF(AC194=3,SUMIF(AC201:AC205,"&gt;0"),0)</f>
        <v>0</v>
      </c>
      <c r="AE236" s="60">
        <f>IF(AE194=3,SUMIF(AE201:AE205,"&gt;0"),0)</f>
        <v>0</v>
      </c>
      <c r="AF236" s="55">
        <f>SUM(B236:AE236)</f>
        <v>2</v>
      </c>
      <c r="AG236" s="55">
        <f>AF244-AF236</f>
        <v>2</v>
      </c>
    </row>
    <row r="237" spans="1:37" s="55" customFormat="1" ht="12.75" hidden="1" customHeight="1" x14ac:dyDescent="0.2">
      <c r="A237" s="55" t="s">
        <v>100</v>
      </c>
      <c r="B237" s="55">
        <f>IF(B194=4,SUMIF(B201:B205,"&gt;0"),0)</f>
        <v>0</v>
      </c>
      <c r="D237" s="60">
        <f>IF(D194=4,SUMIF(D201:D205,"&gt;0"),0)</f>
        <v>0</v>
      </c>
      <c r="E237" s="55">
        <f>IF(E194=4,SUMIF(E201:E205,"&gt;0"),0)</f>
        <v>0</v>
      </c>
      <c r="G237" s="60">
        <f>IF(G194=4,SUMIF(G201:G205,"&gt;0"),0)</f>
        <v>0</v>
      </c>
      <c r="H237" s="55">
        <f>IF(H194=4,SUMIF(H201:H205,"&gt;0"),0)</f>
        <v>0</v>
      </c>
      <c r="J237" s="60">
        <f>IF(J194=4,SUMIF(J201:J205,"&gt;0"),0)</f>
        <v>0</v>
      </c>
      <c r="K237" s="55">
        <f>IF(K194=4,SUMIF(K201:K205,"&gt;0"),0)</f>
        <v>0</v>
      </c>
      <c r="M237" s="60">
        <f>IF(M194=4,SUMIF(M201:M205,"&gt;0"),0)</f>
        <v>0</v>
      </c>
      <c r="N237" s="55">
        <f>IF(N194=4,SUMIF(N201:N205,"&gt;0"),0)</f>
        <v>0</v>
      </c>
      <c r="P237" s="60">
        <f>IF(P194=4,SUMIF(P201:P205,"&gt;0"),0)</f>
        <v>0</v>
      </c>
      <c r="Q237" s="55">
        <f>IF(Q194=4,SUMIF(Q201:Q205,"&gt;0"),0)</f>
        <v>0</v>
      </c>
      <c r="S237" s="60">
        <f>IF(S194=4,SUMIF(S201:S205,"&gt;0"),0)</f>
        <v>0</v>
      </c>
      <c r="T237" s="55">
        <f>IF(T194=4,SUMIF(T201:T205,"&gt;0"),0)</f>
        <v>0</v>
      </c>
      <c r="V237" s="60">
        <f>IF(V194=4,SUMIF(V201:V205,"&gt;0"),0)</f>
        <v>0</v>
      </c>
      <c r="W237" s="55">
        <f>IF(W194=4,SUMIF(W201:W205,"&gt;0"),0)</f>
        <v>0</v>
      </c>
      <c r="Y237" s="60">
        <f>IF(Y194=4,SUMIF(Y201:Y205,"&gt;0"),0)</f>
        <v>0</v>
      </c>
      <c r="Z237" s="55">
        <f>IF(Z194=4,SUMIF(Z201:Z205,"&gt;0"),0)</f>
        <v>0</v>
      </c>
      <c r="AB237" s="60">
        <f>IF(AB194=4,SUMIF(AB201:AB205,"&gt;0"),0)</f>
        <v>0</v>
      </c>
      <c r="AC237" s="55">
        <f>IF(AC194=4,SUMIF(AC201:AC205,"&gt;0"),0)</f>
        <v>0</v>
      </c>
      <c r="AE237" s="60">
        <f>IF(AE194=4,SUMIF(AE201:AE205,"&gt;0"),0)</f>
        <v>0</v>
      </c>
      <c r="AF237" s="55">
        <f>SUM(B237:AE237)</f>
        <v>0</v>
      </c>
      <c r="AG237" s="55">
        <f>AF245-AF237</f>
        <v>0</v>
      </c>
    </row>
    <row r="238" spans="1:37" s="55" customFormat="1" ht="12.75" hidden="1" customHeight="1" x14ac:dyDescent="0.2">
      <c r="A238" s="55" t="s">
        <v>101</v>
      </c>
      <c r="B238" s="55">
        <f>IF(B194=5,SUMIF(B201:B205,"&gt;0"),0)</f>
        <v>0</v>
      </c>
      <c r="D238" s="60">
        <f>IF(D194=5,SUMIF(D201:D205,"&gt;0"),0)</f>
        <v>0</v>
      </c>
      <c r="E238" s="55">
        <f>IF(E194=5,SUMIF(E201:E205,"&gt;0"),0)</f>
        <v>0</v>
      </c>
      <c r="G238" s="60">
        <f>IF(G194=5,SUMIF(G201:G205,"&gt;0"),0)</f>
        <v>0</v>
      </c>
      <c r="H238" s="55">
        <f>IF(H194=5,SUMIF(H201:H205,"&gt;0"),0)</f>
        <v>0</v>
      </c>
      <c r="J238" s="60">
        <f>IF(J194=5,SUMIF(J201:J205,"&gt;0"),0)</f>
        <v>0</v>
      </c>
      <c r="K238" s="55">
        <f>IF(K194=5,SUMIF(K201:K205,"&gt;0"),0)</f>
        <v>0</v>
      </c>
      <c r="M238" s="60">
        <f>IF(M194=5,SUMIF(M201:M205,"&gt;0"),0)</f>
        <v>0</v>
      </c>
      <c r="N238" s="55">
        <f>IF(N194=5,SUMIF(N201:N205,"&gt;0"),0)</f>
        <v>0</v>
      </c>
      <c r="P238" s="60">
        <f>IF(P194=5,SUMIF(P201:P205,"&gt;0"),0)</f>
        <v>0</v>
      </c>
      <c r="Q238" s="55">
        <f>IF(Q194=5,SUMIF(Q201:Q205,"&gt;0"),0)</f>
        <v>0</v>
      </c>
      <c r="S238" s="60">
        <f>IF(S194=5,SUMIF(S201:S205,"&gt;0"),0)</f>
        <v>0</v>
      </c>
      <c r="T238" s="55">
        <f>IF(T194=5,SUMIF(T201:T205,"&gt;0"),0)</f>
        <v>0</v>
      </c>
      <c r="V238" s="60">
        <f>IF(V194=5,SUMIF(V201:V205,"&gt;0"),0)</f>
        <v>0</v>
      </c>
      <c r="W238" s="55">
        <f>IF(W194=5,SUMIF(W201:W205,"&gt;0"),0)</f>
        <v>0</v>
      </c>
      <c r="Y238" s="60">
        <f>IF(Y194=5,SUMIF(Y201:Y205,"&gt;0"),0)</f>
        <v>0</v>
      </c>
      <c r="Z238" s="55">
        <f>IF(Z194=5,SUMIF(Z201:Z205,"&gt;0"),0)</f>
        <v>0</v>
      </c>
      <c r="AB238" s="60">
        <f>IF(AB194=5,SUMIF(AB201:AB205,"&gt;0"),0)</f>
        <v>0</v>
      </c>
      <c r="AC238" s="55">
        <f>IF(AC194=5,SUMIF(AC201:AC205,"&gt;0"),0)</f>
        <v>0</v>
      </c>
      <c r="AE238" s="60">
        <f>IF(AE194=5,SUMIF(AE201:AE205,"&gt;0"),0)</f>
        <v>0</v>
      </c>
      <c r="AF238" s="55">
        <f>SUM(B238:AE238)</f>
        <v>0</v>
      </c>
      <c r="AG238" s="55">
        <f>AF246-AF238</f>
        <v>0</v>
      </c>
    </row>
    <row r="239" spans="1:37" s="55" customFormat="1" ht="12.75" hidden="1" customHeight="1" x14ac:dyDescent="0.2">
      <c r="D239" s="60"/>
      <c r="G239" s="60"/>
      <c r="J239" s="60"/>
      <c r="M239" s="60"/>
      <c r="P239" s="60"/>
      <c r="S239" s="60"/>
      <c r="V239" s="60"/>
      <c r="Y239" s="60"/>
      <c r="AB239" s="60"/>
      <c r="AE239" s="60"/>
    </row>
    <row r="240" spans="1:37" s="55" customFormat="1" ht="12.75" hidden="1" customHeight="1" x14ac:dyDescent="0.2">
      <c r="D240" s="60"/>
      <c r="G240" s="60"/>
      <c r="J240" s="60"/>
      <c r="M240" s="60"/>
      <c r="P240" s="60"/>
      <c r="S240" s="60"/>
      <c r="V240" s="60"/>
      <c r="Y240" s="60"/>
      <c r="AB240" s="60"/>
      <c r="AE240" s="60"/>
    </row>
    <row r="241" spans="1:49" s="55" customFormat="1" ht="51" hidden="1" customHeight="1" x14ac:dyDescent="0.2">
      <c r="A241" s="59" t="s">
        <v>112</v>
      </c>
      <c r="C241" s="55">
        <f>SUMIF(B234:D238,"&gt;0")</f>
        <v>2</v>
      </c>
      <c r="D241" s="60"/>
      <c r="F241" s="55">
        <f>SUMIF(E234:G238,"&gt;0")</f>
        <v>2</v>
      </c>
      <c r="G241" s="60"/>
      <c r="I241" s="55">
        <f>SUMIF(H234:J238,"&gt;0")</f>
        <v>2</v>
      </c>
      <c r="J241" s="60"/>
      <c r="L241" s="55">
        <f>SUMIF(K234:M238,"&gt;0")</f>
        <v>0</v>
      </c>
      <c r="M241" s="60"/>
      <c r="O241" s="55">
        <f>SUMIF(N234:P238,"&gt;0")</f>
        <v>0</v>
      </c>
      <c r="P241" s="60"/>
      <c r="R241" s="55">
        <f>SUMIF(Q234:S238,"&gt;0")</f>
        <v>0</v>
      </c>
      <c r="S241" s="60"/>
      <c r="U241" s="55">
        <f>SUMIF(T234:V238,"&gt;0")</f>
        <v>0</v>
      </c>
      <c r="V241" s="60"/>
      <c r="X241" s="55">
        <f>SUMIF(W234:Y238,"&gt;0")</f>
        <v>0</v>
      </c>
      <c r="Y241" s="60"/>
      <c r="AA241" s="55">
        <f>SUMIF(Z234:AB238,"&gt;0")</f>
        <v>0</v>
      </c>
      <c r="AB241" s="60"/>
      <c r="AD241" s="55">
        <f>SUMIF(AC234:AE238,"&gt;0")</f>
        <v>0</v>
      </c>
      <c r="AE241" s="60"/>
      <c r="AF241" s="59" t="s">
        <v>113</v>
      </c>
    </row>
    <row r="242" spans="1:49" s="55" customFormat="1" ht="12.75" hidden="1" customHeight="1" x14ac:dyDescent="0.2">
      <c r="A242" s="55" t="s">
        <v>103</v>
      </c>
      <c r="B242" s="55">
        <f>IF(B194=1,C241,0)</f>
        <v>2</v>
      </c>
      <c r="D242" s="60">
        <f>IF(D194=1,C241,0)</f>
        <v>0</v>
      </c>
      <c r="E242" s="55">
        <f>IF(E194=1,F241,0)</f>
        <v>0</v>
      </c>
      <c r="G242" s="60">
        <f>IF(G194=1,F241,0)</f>
        <v>0</v>
      </c>
      <c r="H242" s="55">
        <f>IF(H194=1,I241,0)</f>
        <v>2</v>
      </c>
      <c r="J242" s="60">
        <f>IF(J194=1,I241,0)</f>
        <v>0</v>
      </c>
      <c r="K242" s="55">
        <f>IF(K194=1,L241,0)</f>
        <v>0</v>
      </c>
      <c r="M242" s="60">
        <f>IF(M194=1,L241,0)</f>
        <v>0</v>
      </c>
      <c r="N242" s="55">
        <f>IF(N194=1,O241,0)</f>
        <v>0</v>
      </c>
      <c r="P242" s="60">
        <f>IF(P194=1,O241,0)</f>
        <v>0</v>
      </c>
      <c r="Q242" s="55">
        <f>IF(Q194=1,R241,0)</f>
        <v>0</v>
      </c>
      <c r="S242" s="60">
        <f>IF(S194=1,R241,0)</f>
        <v>0</v>
      </c>
      <c r="T242" s="55">
        <f>IF(T194=1,U241,0)</f>
        <v>0</v>
      </c>
      <c r="V242" s="60">
        <f>IF(V194=1,U241,0)</f>
        <v>0</v>
      </c>
      <c r="W242" s="55">
        <f>IF(W194=1,X241,0)</f>
        <v>0</v>
      </c>
      <c r="Y242" s="60">
        <f>IF(Y194=1,X241,0)</f>
        <v>0</v>
      </c>
      <c r="Z242" s="55">
        <f>IF(Z194=1,AA241,0)</f>
        <v>0</v>
      </c>
      <c r="AB242" s="60">
        <f>IF(AB194=1,AA241,0)</f>
        <v>0</v>
      </c>
      <c r="AC242" s="55">
        <f>IF(AC194=1,AD241,0)</f>
        <v>0</v>
      </c>
      <c r="AE242" s="60">
        <f>IF(AE194=1,AD241,0)</f>
        <v>0</v>
      </c>
      <c r="AF242" s="55">
        <f>SUM(B242:AE242)</f>
        <v>4</v>
      </c>
    </row>
    <row r="243" spans="1:49" s="55" customFormat="1" ht="12.75" hidden="1" customHeight="1" x14ac:dyDescent="0.2">
      <c r="A243" s="55" t="s">
        <v>104</v>
      </c>
      <c r="B243" s="55">
        <f>IF(B194=2,C241,0)</f>
        <v>0</v>
      </c>
      <c r="D243" s="60">
        <f>IF(D194=2,C241,0)</f>
        <v>0</v>
      </c>
      <c r="E243" s="55">
        <f>IF(E194=2,F241,0)</f>
        <v>2</v>
      </c>
      <c r="G243" s="60">
        <f>IF(G194=2,F241,0)</f>
        <v>0</v>
      </c>
      <c r="H243" s="55">
        <f>IF(H194=2,I241,0)</f>
        <v>0</v>
      </c>
      <c r="J243" s="60">
        <f>IF(J194=2,I241,0)</f>
        <v>2</v>
      </c>
      <c r="K243" s="55">
        <f>IF(K194=2,L241,0)</f>
        <v>0</v>
      </c>
      <c r="M243" s="60">
        <f>IF(M194=2,L241,0)</f>
        <v>0</v>
      </c>
      <c r="N243" s="55">
        <f>IF(N194=2,O241,0)</f>
        <v>0</v>
      </c>
      <c r="P243" s="60">
        <f>IF(P194=2,O241,0)</f>
        <v>0</v>
      </c>
      <c r="Q243" s="55">
        <f>IF(Q194=2,R241,0)</f>
        <v>0</v>
      </c>
      <c r="S243" s="60">
        <f>IF(S194=2,R241,0)</f>
        <v>0</v>
      </c>
      <c r="T243" s="55">
        <f>IF(T194=2,U241,0)</f>
        <v>0</v>
      </c>
      <c r="V243" s="60">
        <f>IF(V194=2,U241,0)</f>
        <v>0</v>
      </c>
      <c r="W243" s="55">
        <f>IF(W194=2,X241,0)</f>
        <v>0</v>
      </c>
      <c r="Y243" s="60">
        <f>IF(Y194=2,X241,0)</f>
        <v>0</v>
      </c>
      <c r="Z243" s="55">
        <f>IF(Z194=2,AA241,0)</f>
        <v>0</v>
      </c>
      <c r="AB243" s="60">
        <f>IF(AB194=2,AA241,0)</f>
        <v>0</v>
      </c>
      <c r="AC243" s="55">
        <f>IF(AC194=2,AD241,0)</f>
        <v>0</v>
      </c>
      <c r="AE243" s="60">
        <f>IF(AE194=2,AD241,0)</f>
        <v>0</v>
      </c>
      <c r="AF243" s="55">
        <f>SUM(B243:AE243)</f>
        <v>4</v>
      </c>
    </row>
    <row r="244" spans="1:49" s="55" customFormat="1" ht="12.75" hidden="1" customHeight="1" x14ac:dyDescent="0.2">
      <c r="A244" s="55" t="s">
        <v>105</v>
      </c>
      <c r="B244" s="55">
        <f>IF(B194=3,C241,0)</f>
        <v>0</v>
      </c>
      <c r="D244" s="60">
        <f>IF(D194=3,C241,0)</f>
        <v>2</v>
      </c>
      <c r="E244" s="55">
        <f>IF(E194=3,F241,0)</f>
        <v>0</v>
      </c>
      <c r="G244" s="60">
        <f>IF(G194=3,F241,0)</f>
        <v>2</v>
      </c>
      <c r="H244" s="55">
        <f>IF(H194=3,I241,0)</f>
        <v>0</v>
      </c>
      <c r="J244" s="60">
        <f>IF(J194=3,I241,0)</f>
        <v>0</v>
      </c>
      <c r="K244" s="55">
        <f>IF(K194=3,L241,0)</f>
        <v>0</v>
      </c>
      <c r="M244" s="60">
        <f>IF(M194=3,L241,0)</f>
        <v>0</v>
      </c>
      <c r="N244" s="55">
        <f>IF(N194=3,O241,0)</f>
        <v>0</v>
      </c>
      <c r="P244" s="60">
        <f>IF(P194=3,O241,0)</f>
        <v>0</v>
      </c>
      <c r="Q244" s="55">
        <f>IF(Q194=3,R241,0)</f>
        <v>0</v>
      </c>
      <c r="S244" s="60">
        <f>IF(S194=3,R241,0)</f>
        <v>0</v>
      </c>
      <c r="T244" s="55">
        <f>IF(T194=3,U241,0)</f>
        <v>0</v>
      </c>
      <c r="V244" s="60">
        <f>IF(V194=3,U241,0)</f>
        <v>0</v>
      </c>
      <c r="W244" s="55">
        <f>IF(W194=3,X241,0)</f>
        <v>0</v>
      </c>
      <c r="Y244" s="60">
        <f>IF(Y194=3,X241,0)</f>
        <v>0</v>
      </c>
      <c r="Z244" s="55">
        <f>IF(Z194=3,AA241,0)</f>
        <v>0</v>
      </c>
      <c r="AB244" s="60">
        <f>IF(AB194=3,AA241,0)</f>
        <v>0</v>
      </c>
      <c r="AC244" s="55">
        <f>IF(AC194=3,AD241,0)</f>
        <v>0</v>
      </c>
      <c r="AE244" s="60">
        <f>IF(AE194=3,AD241,0)</f>
        <v>0</v>
      </c>
      <c r="AF244" s="55">
        <f>SUM(B244:AE244)</f>
        <v>4</v>
      </c>
    </row>
    <row r="245" spans="1:49" s="55" customFormat="1" ht="12.75" hidden="1" customHeight="1" x14ac:dyDescent="0.2">
      <c r="A245" s="55" t="s">
        <v>106</v>
      </c>
      <c r="B245" s="55">
        <f>IF(B194=4,C241,0)</f>
        <v>0</v>
      </c>
      <c r="D245" s="60">
        <f>IF(D194=4,C241,0)</f>
        <v>0</v>
      </c>
      <c r="E245" s="55">
        <f>IF(E194=4,F241,0)</f>
        <v>0</v>
      </c>
      <c r="G245" s="60">
        <f>IF(G194=4,F241,0)</f>
        <v>0</v>
      </c>
      <c r="H245" s="55">
        <f>IF(H194=4,I241,0)</f>
        <v>0</v>
      </c>
      <c r="J245" s="60">
        <f>IF(J194=4,I241,0)</f>
        <v>0</v>
      </c>
      <c r="K245" s="55">
        <f>IF(K194=4,L241,0)</f>
        <v>0</v>
      </c>
      <c r="M245" s="60">
        <f>IF(M194=4,L241,0)</f>
        <v>0</v>
      </c>
      <c r="N245" s="55">
        <f>IF(N194=4,O241,0)</f>
        <v>0</v>
      </c>
      <c r="P245" s="60">
        <f>IF(P194=4,O241,0)</f>
        <v>0</v>
      </c>
      <c r="Q245" s="55">
        <f>IF(Q194=4,R241,0)</f>
        <v>0</v>
      </c>
      <c r="S245" s="60">
        <f>IF(S194=4,R241,0)</f>
        <v>0</v>
      </c>
      <c r="T245" s="55">
        <f>IF(T194=4,U241,0)</f>
        <v>0</v>
      </c>
      <c r="V245" s="60">
        <f>IF(V194=4,U241,0)</f>
        <v>0</v>
      </c>
      <c r="W245" s="55">
        <f>IF(W194=4,X241,0)</f>
        <v>0</v>
      </c>
      <c r="Y245" s="60">
        <f>IF(Y194=4,X241,0)</f>
        <v>0</v>
      </c>
      <c r="Z245" s="55">
        <f>IF(Z194=4,AA241,0)</f>
        <v>0</v>
      </c>
      <c r="AB245" s="60">
        <f>IF(AB194=4,AA241,0)</f>
        <v>0</v>
      </c>
      <c r="AC245" s="55">
        <f>IF(AC194=4,AD241,0)</f>
        <v>0</v>
      </c>
      <c r="AE245" s="60">
        <f>IF(AE194=4,AD241,0)</f>
        <v>0</v>
      </c>
      <c r="AF245" s="55">
        <f>SUM(B245:AE245)</f>
        <v>0</v>
      </c>
    </row>
    <row r="246" spans="1:49" s="55" customFormat="1" ht="12.75" hidden="1" customHeight="1" x14ac:dyDescent="0.2">
      <c r="A246" s="55" t="s">
        <v>107</v>
      </c>
      <c r="B246" s="55">
        <f>IF(B194=5,C241,0)</f>
        <v>0</v>
      </c>
      <c r="D246" s="60">
        <f>IF(D194=5,C241,0)</f>
        <v>0</v>
      </c>
      <c r="E246" s="55">
        <f>IF(E194=5,F241,0)</f>
        <v>0</v>
      </c>
      <c r="G246" s="60">
        <f>IF(G194=5,F241,0)</f>
        <v>0</v>
      </c>
      <c r="H246" s="55">
        <f>IF(H194=5,I241,0)</f>
        <v>0</v>
      </c>
      <c r="J246" s="60">
        <f>IF(J194=5,I241,0)</f>
        <v>0</v>
      </c>
      <c r="K246" s="55">
        <f>IF(K194=5,L241,0)</f>
        <v>0</v>
      </c>
      <c r="M246" s="60">
        <f>IF(M194=5,L241,0)</f>
        <v>0</v>
      </c>
      <c r="N246" s="55">
        <f>IF(N194=5,O241,0)</f>
        <v>0</v>
      </c>
      <c r="P246" s="60">
        <f>IF(P194=5,O241,0)</f>
        <v>0</v>
      </c>
      <c r="Q246" s="55">
        <f>IF(Q194=5,R241,0)</f>
        <v>0</v>
      </c>
      <c r="S246" s="60">
        <f>IF(S194=5,R241,0)</f>
        <v>0</v>
      </c>
      <c r="T246" s="55">
        <f>IF(T194=5,U241,0)</f>
        <v>0</v>
      </c>
      <c r="V246" s="60">
        <f>IF(V194=5,U241,0)</f>
        <v>0</v>
      </c>
      <c r="W246" s="55">
        <f>IF(W194=5,X241,0)</f>
        <v>0</v>
      </c>
      <c r="Y246" s="60">
        <f>IF(Y194=5,X241,0)</f>
        <v>0</v>
      </c>
      <c r="Z246" s="55">
        <f>IF(Z194=5,AA241,0)</f>
        <v>0</v>
      </c>
      <c r="AB246" s="60">
        <f>IF(AB194=5,AA241,0)</f>
        <v>0</v>
      </c>
      <c r="AC246" s="55">
        <f>IF(AC194=5,AD241,0)</f>
        <v>0</v>
      </c>
      <c r="AE246" s="60">
        <f>IF(AE194=5,AD241,0)</f>
        <v>0</v>
      </c>
      <c r="AF246" s="55">
        <f>SUM(B246:AE246)</f>
        <v>0</v>
      </c>
    </row>
    <row r="247" spans="1:49" hidden="1" x14ac:dyDescent="0.2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1"/>
      <c r="AO247" s="81"/>
      <c r="AP247" s="81"/>
      <c r="AQ247" s="81"/>
      <c r="AR247" s="63"/>
      <c r="AS247" s="63"/>
      <c r="AT247" s="130"/>
    </row>
    <row r="248" spans="1:49" s="63" customFormat="1" hidden="1" x14ac:dyDescent="0.2">
      <c r="A248" s="64"/>
      <c r="B248" s="64"/>
      <c r="C248" s="64" t="s">
        <v>114</v>
      </c>
      <c r="D248" s="64">
        <v>1</v>
      </c>
      <c r="E248" s="64"/>
      <c r="F248" s="64"/>
      <c r="G248" s="64">
        <v>2</v>
      </c>
      <c r="H248" s="64"/>
      <c r="I248" s="64"/>
      <c r="J248" s="64">
        <v>3</v>
      </c>
      <c r="K248" s="64"/>
      <c r="L248" s="64"/>
      <c r="M248" s="64">
        <v>4</v>
      </c>
      <c r="N248" s="64"/>
      <c r="O248" s="64"/>
      <c r="P248" s="64">
        <v>5</v>
      </c>
      <c r="Q248" s="64"/>
      <c r="R248" s="64"/>
      <c r="S248" s="64">
        <v>6</v>
      </c>
      <c r="T248" s="64"/>
      <c r="U248" s="64"/>
      <c r="V248" s="64">
        <v>7</v>
      </c>
      <c r="W248" s="64"/>
      <c r="X248" s="64"/>
      <c r="Y248" s="64">
        <v>8</v>
      </c>
      <c r="Z248" s="64"/>
      <c r="AA248" s="64"/>
      <c r="AB248" s="64">
        <v>9</v>
      </c>
      <c r="AC248" s="64"/>
      <c r="AD248" s="64"/>
      <c r="AE248" s="64">
        <v>10</v>
      </c>
      <c r="AF248" s="4"/>
      <c r="AG248" s="64"/>
      <c r="AI248" s="65"/>
      <c r="AJ248" s="4"/>
      <c r="AK248" s="4"/>
      <c r="AL248" s="4"/>
      <c r="AM248" s="4"/>
      <c r="AN248" s="4"/>
      <c r="AO248" s="4"/>
      <c r="AT248" s="65" t="s">
        <v>115</v>
      </c>
      <c r="AW248" s="66"/>
    </row>
    <row r="249" spans="1:49" s="63" customFormat="1" hidden="1" x14ac:dyDescent="0.2">
      <c r="A249" s="67">
        <v>1</v>
      </c>
      <c r="B249" s="67" t="str">
        <f>E178</f>
        <v>Foothills 12 Kim</v>
      </c>
      <c r="C249" s="67">
        <f>VLOOKUP(B249,AU$3:AW$33,3,FALSE)</f>
        <v>1212.2197750275632</v>
      </c>
      <c r="D249" s="67">
        <f>IF(B242,B257,IF(D242,D257,C249))</f>
        <v>1210.6693495053651</v>
      </c>
      <c r="E249" s="67"/>
      <c r="F249" s="67"/>
      <c r="G249" s="67">
        <f>IF(E242,E257,IF(G242,G257,D249))</f>
        <v>1210.6693495053651</v>
      </c>
      <c r="H249" s="67"/>
      <c r="I249" s="67"/>
      <c r="J249" s="67">
        <f>IF(H242,H257,IF(J242,J257,G249))</f>
        <v>1226.6382903110473</v>
      </c>
      <c r="K249" s="67"/>
      <c r="L249" s="67"/>
      <c r="M249" s="67">
        <f>IF(K242,K257,IF(M242,M257,J249))</f>
        <v>1226.6382903110473</v>
      </c>
      <c r="N249" s="67"/>
      <c r="O249" s="67"/>
      <c r="P249" s="67">
        <f>IF(N242,N257,IF(P242,P257,M249))</f>
        <v>1226.6382903110473</v>
      </c>
      <c r="Q249" s="67"/>
      <c r="R249" s="67"/>
      <c r="S249" s="67">
        <f>IF(Q242,Q257,IF(S242,S257,P249))</f>
        <v>1226.6382903110473</v>
      </c>
      <c r="T249" s="67"/>
      <c r="U249" s="67"/>
      <c r="V249" s="67">
        <f>IF(T242,T257,IF(V242,V257,S249))</f>
        <v>1226.6382903110473</v>
      </c>
      <c r="W249" s="67"/>
      <c r="X249" s="67"/>
      <c r="Y249" s="67">
        <f>IF(W242,W257,IF(Y242,Y257,V249))</f>
        <v>1226.6382903110473</v>
      </c>
      <c r="Z249" s="67"/>
      <c r="AA249" s="67"/>
      <c r="AB249" s="67">
        <f>IF(Z242,Z257,IF(AB242,AB257,Y249))</f>
        <v>1226.6382903110473</v>
      </c>
      <c r="AC249" s="67"/>
      <c r="AD249" s="67"/>
      <c r="AE249" s="67">
        <f>IF(AC242,AC257,IF(AE242,AE257,AB249))</f>
        <v>1226.6382903110473</v>
      </c>
      <c r="AF249" s="4"/>
      <c r="AG249" s="4"/>
      <c r="AJ249" s="4"/>
      <c r="AK249" s="4"/>
      <c r="AL249" s="4"/>
      <c r="AM249" s="4"/>
      <c r="AN249" s="4"/>
      <c r="AO249" s="4"/>
      <c r="AT249" s="63" t="str">
        <f>B249</f>
        <v>Foothills 12 Kim</v>
      </c>
      <c r="AU249" s="63">
        <f>AE249</f>
        <v>1226.6382903110473</v>
      </c>
      <c r="AW249" s="66"/>
    </row>
    <row r="250" spans="1:49" s="63" customFormat="1" hidden="1" x14ac:dyDescent="0.2">
      <c r="A250" s="67">
        <v>2</v>
      </c>
      <c r="B250" s="67" t="str">
        <f>E180</f>
        <v>SC Midlands KP Garnet</v>
      </c>
      <c r="C250" s="67">
        <f>VLOOKUP(B250,AU$3:AW$33,3,FALSE)</f>
        <v>1211.4389130921036</v>
      </c>
      <c r="D250" s="67">
        <f>IF(B243,B257,IF(D243,D257,C250))</f>
        <v>1211.4389130921036</v>
      </c>
      <c r="E250" s="67"/>
      <c r="F250" s="67"/>
      <c r="G250" s="67">
        <f>IF(E243,E257,IF(G243,G257,D250))</f>
        <v>1209.9949068229789</v>
      </c>
      <c r="H250" s="67"/>
      <c r="I250" s="67"/>
      <c r="J250" s="67">
        <f>IF(H243,H257,IF(J243,J257,G250))</f>
        <v>1194.0259660172967</v>
      </c>
      <c r="K250" s="67"/>
      <c r="L250" s="67"/>
      <c r="M250" s="67">
        <f>IF(K243,K257,IF(M243,M257,J250))</f>
        <v>1194.0259660172967</v>
      </c>
      <c r="N250" s="67"/>
      <c r="O250" s="67"/>
      <c r="P250" s="67">
        <f>IF(N243,N257,IF(P243,P257,M250))</f>
        <v>1194.0259660172967</v>
      </c>
      <c r="Q250" s="67"/>
      <c r="R250" s="67"/>
      <c r="S250" s="67">
        <f>IF(Q243,Q257,IF(S243,S257,P250))</f>
        <v>1194.0259660172967</v>
      </c>
      <c r="T250" s="67"/>
      <c r="U250" s="67"/>
      <c r="V250" s="67">
        <f>IF(T243,T257,IF(V243,V257,S250))</f>
        <v>1194.0259660172967</v>
      </c>
      <c r="W250" s="67"/>
      <c r="X250" s="67"/>
      <c r="Y250" s="67">
        <f>IF(W243,W257,IF(Y243,Y257,V250))</f>
        <v>1194.0259660172967</v>
      </c>
      <c r="Z250" s="67"/>
      <c r="AA250" s="67"/>
      <c r="AB250" s="67">
        <f>IF(Z243,Z257,IF(AB243,AB257,Y250))</f>
        <v>1194.0259660172967</v>
      </c>
      <c r="AC250" s="67"/>
      <c r="AD250" s="67"/>
      <c r="AE250" s="67">
        <f>IF(AC243,AC257,IF(AE243,AE257,AB250))</f>
        <v>1194.0259660172967</v>
      </c>
      <c r="AF250" s="4"/>
      <c r="AG250" s="4"/>
      <c r="AJ250" s="4"/>
      <c r="AL250" s="4"/>
      <c r="AM250" s="4"/>
      <c r="AN250" s="4"/>
      <c r="AO250" s="4"/>
      <c r="AT250" s="63" t="str">
        <f>B250</f>
        <v>SC Midlands KP Garnet</v>
      </c>
      <c r="AU250" s="63">
        <f>AE250</f>
        <v>1194.0259660172967</v>
      </c>
      <c r="AW250" s="66"/>
    </row>
    <row r="251" spans="1:49" s="63" customFormat="1" hidden="1" x14ac:dyDescent="0.2">
      <c r="A251" s="67">
        <v>3</v>
      </c>
      <c r="B251" s="67" t="str">
        <f>E182</f>
        <v>Kershaw Dev 12 Black</v>
      </c>
      <c r="C251" s="67">
        <f>VLOOKUP(B251,AU$3:AW$33,3,FALSE)</f>
        <v>1178.4467378847983</v>
      </c>
      <c r="D251" s="67">
        <f>IF(B244,B257,IF(D244,D257,C251))</f>
        <v>1179.9971634069964</v>
      </c>
      <c r="E251" s="67"/>
      <c r="F251" s="67"/>
      <c r="G251" s="67">
        <f>IF(E244,E257,IF(G244,G257,D251))</f>
        <v>1181.441169676121</v>
      </c>
      <c r="H251" s="67"/>
      <c r="I251" s="67"/>
      <c r="J251" s="67">
        <f>IF(H244,H257,IF(J244,J257,G251))</f>
        <v>1181.441169676121</v>
      </c>
      <c r="K251" s="67"/>
      <c r="L251" s="67"/>
      <c r="M251" s="67">
        <f>IF(K244,K257,IF(M244,M257,J251))</f>
        <v>1181.441169676121</v>
      </c>
      <c r="N251" s="67"/>
      <c r="O251" s="67"/>
      <c r="P251" s="67">
        <f>IF(N244,N257,IF(P244,P257,M251))</f>
        <v>1181.441169676121</v>
      </c>
      <c r="Q251" s="67"/>
      <c r="R251" s="67"/>
      <c r="S251" s="67">
        <f>IF(Q244,Q257,IF(S244,S257,P251))</f>
        <v>1181.441169676121</v>
      </c>
      <c r="T251" s="67"/>
      <c r="U251" s="67"/>
      <c r="V251" s="67">
        <f>IF(T244,T257,IF(V244,V257,S251))</f>
        <v>1181.441169676121</v>
      </c>
      <c r="W251" s="67"/>
      <c r="X251" s="67"/>
      <c r="Y251" s="67">
        <f>IF(W244,W257,IF(Y244,Y257,V251))</f>
        <v>1181.441169676121</v>
      </c>
      <c r="Z251" s="67"/>
      <c r="AA251" s="67"/>
      <c r="AB251" s="67">
        <f>IF(Z244,Z257,IF(AB244,AB257,Y251))</f>
        <v>1181.441169676121</v>
      </c>
      <c r="AC251" s="67"/>
      <c r="AD251" s="67"/>
      <c r="AE251" s="67">
        <f>IF(AC244,AC257,IF(AE244,AE257,AB251))</f>
        <v>1181.441169676121</v>
      </c>
      <c r="AF251" s="4"/>
      <c r="AG251" s="4"/>
      <c r="AJ251" s="4"/>
      <c r="AL251" s="4"/>
      <c r="AM251" s="4"/>
      <c r="AN251" s="4"/>
      <c r="AO251" s="4"/>
      <c r="AT251" s="63" t="str">
        <f>B251</f>
        <v>Kershaw Dev 12 Black</v>
      </c>
      <c r="AU251" s="63">
        <f>AE251</f>
        <v>1181.441169676121</v>
      </c>
      <c r="AW251" s="66"/>
    </row>
    <row r="252" spans="1:49" s="63" customFormat="1" hidden="1" x14ac:dyDescent="0.2">
      <c r="A252" s="67">
        <v>4</v>
      </c>
      <c r="B252" s="67" t="e">
        <f>E184</f>
        <v>#REF!</v>
      </c>
      <c r="C252" s="67" t="e">
        <f>VLOOKUP(B252,AU$3:AW$33,3,FALSE)</f>
        <v>#REF!</v>
      </c>
      <c r="D252" s="67" t="e">
        <f>IF(B245,B257,IF(D245,D257,C252))</f>
        <v>#REF!</v>
      </c>
      <c r="E252" s="67"/>
      <c r="F252" s="67"/>
      <c r="G252" s="67" t="e">
        <f>IF(E245,E257,IF(G245,G257,D252))</f>
        <v>#REF!</v>
      </c>
      <c r="H252" s="67"/>
      <c r="I252" s="67"/>
      <c r="J252" s="67" t="e">
        <f>IF(H245,H257,IF(J245,J257,G252))</f>
        <v>#REF!</v>
      </c>
      <c r="K252" s="67"/>
      <c r="L252" s="67"/>
      <c r="M252" s="67" t="e">
        <f>IF(K245,K257,IF(M245,M257,J252))</f>
        <v>#REF!</v>
      </c>
      <c r="N252" s="67"/>
      <c r="O252" s="67"/>
      <c r="P252" s="67" t="e">
        <f>IF(N245,N257,IF(P245,P257,M252))</f>
        <v>#REF!</v>
      </c>
      <c r="Q252" s="67"/>
      <c r="R252" s="67"/>
      <c r="S252" s="67" t="e">
        <f>IF(Q245,Q257,IF(S245,S257,P252))</f>
        <v>#REF!</v>
      </c>
      <c r="T252" s="67"/>
      <c r="U252" s="67"/>
      <c r="V252" s="67" t="e">
        <f>IF(T245,T257,IF(V245,V257,S252))</f>
        <v>#REF!</v>
      </c>
      <c r="W252" s="67"/>
      <c r="X252" s="67"/>
      <c r="Y252" s="67" t="e">
        <f>IF(W245,W257,IF(Y245,Y257,V252))</f>
        <v>#REF!</v>
      </c>
      <c r="Z252" s="67"/>
      <c r="AA252" s="67"/>
      <c r="AB252" s="67" t="e">
        <f>IF(Z245,Z257,IF(AB245,AB257,Y252))</f>
        <v>#REF!</v>
      </c>
      <c r="AC252" s="67"/>
      <c r="AD252" s="67"/>
      <c r="AE252" s="67" t="e">
        <f>IF(AC245,AC257,IF(AE245,AE257,AB252))</f>
        <v>#REF!</v>
      </c>
      <c r="AF252" s="4"/>
      <c r="AG252" s="4"/>
      <c r="AJ252" s="4"/>
      <c r="AL252" s="4"/>
      <c r="AM252" s="4"/>
      <c r="AN252" s="4"/>
      <c r="AO252" s="4"/>
      <c r="AT252" s="63" t="e">
        <f>B252</f>
        <v>#REF!</v>
      </c>
      <c r="AU252" s="63" t="e">
        <f>AE252</f>
        <v>#REF!</v>
      </c>
      <c r="AW252" s="66"/>
    </row>
    <row r="253" spans="1:49" s="63" customFormat="1" hidden="1" x14ac:dyDescent="0.2">
      <c r="A253" s="67">
        <v>5</v>
      </c>
      <c r="B253" s="67" t="e">
        <f>E186</f>
        <v>#REF!</v>
      </c>
      <c r="C253" s="67" t="e">
        <f>VLOOKUP(B253,AU$3:AW$33,3,FALSE)</f>
        <v>#REF!</v>
      </c>
      <c r="D253" s="67" t="e">
        <f>IF(B246,B257,IF(D246,D257,C253))</f>
        <v>#REF!</v>
      </c>
      <c r="E253" s="67"/>
      <c r="F253" s="67"/>
      <c r="G253" s="67" t="e">
        <f>IF(E246,E257,IF(G246,G257,D253))</f>
        <v>#REF!</v>
      </c>
      <c r="H253" s="67"/>
      <c r="I253" s="67"/>
      <c r="J253" s="67" t="e">
        <f>IF(H246,H257,IF(J246,J257,G253))</f>
        <v>#REF!</v>
      </c>
      <c r="K253" s="67"/>
      <c r="L253" s="67"/>
      <c r="M253" s="67" t="e">
        <f>IF(K246,K257,IF(M246,M257,J253))</f>
        <v>#REF!</v>
      </c>
      <c r="N253" s="67"/>
      <c r="O253" s="67"/>
      <c r="P253" s="67" t="e">
        <f>IF(N246,N257,IF(P246,P257,M253))</f>
        <v>#REF!</v>
      </c>
      <c r="Q253" s="67"/>
      <c r="R253" s="67"/>
      <c r="S253" s="67" t="e">
        <f>IF(Q246,Q257,IF(S246,S257,P253))</f>
        <v>#REF!</v>
      </c>
      <c r="T253" s="67"/>
      <c r="U253" s="67"/>
      <c r="V253" s="67" t="e">
        <f>IF(T246,T257,IF(V246,V257,S253))</f>
        <v>#REF!</v>
      </c>
      <c r="W253" s="67"/>
      <c r="X253" s="67"/>
      <c r="Y253" s="67" t="e">
        <f>IF(W246,W257,IF(Y246,Y257,V253))</f>
        <v>#REF!</v>
      </c>
      <c r="Z253" s="67"/>
      <c r="AA253" s="67"/>
      <c r="AB253" s="67" t="e">
        <f>IF(Z246,Z257,IF(AB246,AB257,Y253))</f>
        <v>#REF!</v>
      </c>
      <c r="AC253" s="67"/>
      <c r="AD253" s="67"/>
      <c r="AE253" s="67" t="e">
        <f>IF(AC246,AC257,IF(AE246,AE257,AB253))</f>
        <v>#REF!</v>
      </c>
      <c r="AF253" s="4"/>
      <c r="AG253" s="4"/>
      <c r="AJ253" s="4"/>
      <c r="AL253" s="4"/>
      <c r="AM253" s="4"/>
      <c r="AN253" s="4"/>
      <c r="AO253" s="4"/>
      <c r="AT253" s="63" t="e">
        <f>B253</f>
        <v>#REF!</v>
      </c>
      <c r="AU253" s="63" t="e">
        <f>AE253</f>
        <v>#REF!</v>
      </c>
      <c r="AW253" s="66"/>
    </row>
    <row r="254" spans="1:49" s="63" customFormat="1" hidden="1" x14ac:dyDescent="0.2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4"/>
      <c r="AG254" s="4"/>
      <c r="AJ254" s="4"/>
      <c r="AL254" s="4"/>
      <c r="AM254" s="4"/>
      <c r="AN254" s="4"/>
      <c r="AO254" s="4"/>
      <c r="AW254" s="66"/>
    </row>
    <row r="255" spans="1:49" s="63" customFormat="1" hidden="1" x14ac:dyDescent="0.2">
      <c r="A255" s="67" t="s">
        <v>116</v>
      </c>
      <c r="B255" s="67">
        <f>VLOOKUP(B194,$A249:$AE253,3,FALSE)</f>
        <v>1212.2197750275632</v>
      </c>
      <c r="C255" s="67">
        <v>1</v>
      </c>
      <c r="D255" s="67">
        <f>VLOOKUP(D194,$A249:$AE253,3,FALSE)</f>
        <v>1178.4467378847983</v>
      </c>
      <c r="E255" s="67">
        <f>VLOOKUP(E194,$A249:$AE253,4,FALSE)</f>
        <v>1211.4389130921036</v>
      </c>
      <c r="F255" s="67">
        <v>2</v>
      </c>
      <c r="G255" s="67">
        <f>VLOOKUP(G194,$A249:$AE253,4,FALSE)</f>
        <v>1179.9971634069964</v>
      </c>
      <c r="H255" s="67">
        <f>VLOOKUP(H194,$A249:$AE253,7,FALSE)</f>
        <v>1210.6693495053651</v>
      </c>
      <c r="I255" s="67">
        <v>3</v>
      </c>
      <c r="J255" s="67">
        <f>VLOOKUP(J194,$A249:$AE253,7,FALSE)</f>
        <v>1209.9949068229789</v>
      </c>
      <c r="K255" s="67">
        <f>VLOOKUP(K194,$A249:$AE253,10,FALSE)</f>
        <v>1226.6382903110473</v>
      </c>
      <c r="L255" s="67">
        <v>4</v>
      </c>
      <c r="M255" s="67">
        <f>VLOOKUP(M194,$A249:$AE253,10,FALSE)</f>
        <v>1181.441169676121</v>
      </c>
      <c r="N255" s="67">
        <f>VLOOKUP(N194,$A249:$AE253,13,FALSE)</f>
        <v>1181.441169676121</v>
      </c>
      <c r="O255" s="67">
        <v>5</v>
      </c>
      <c r="P255" s="67" t="e">
        <f>VLOOKUP(P194,$A249:$AE253,13,FALSE)</f>
        <v>#REF!</v>
      </c>
      <c r="Q255" s="67">
        <f>VLOOKUP(Q194,$A249:$AE253,16,FALSE)</f>
        <v>1226.6382903110473</v>
      </c>
      <c r="R255" s="67">
        <v>6</v>
      </c>
      <c r="S255" s="67">
        <f>VLOOKUP(S194,$A249:$AE253,16,FALSE)</f>
        <v>1194.0259660172967</v>
      </c>
      <c r="T255" s="67" t="e">
        <f>VLOOKUP(T194,$A249:$AE253,19,FALSE)</f>
        <v>#N/A</v>
      </c>
      <c r="U255" s="67">
        <v>7</v>
      </c>
      <c r="V255" s="67" t="e">
        <f>VLOOKUP(V194,$A249:$AE253,19,FALSE)</f>
        <v>#N/A</v>
      </c>
      <c r="W255" s="67" t="e">
        <f>VLOOKUP(W194,$A249:$AE253,22,FALSE)</f>
        <v>#N/A</v>
      </c>
      <c r="X255" s="67">
        <v>8</v>
      </c>
      <c r="Y255" s="67" t="e">
        <f>VLOOKUP(Y194,$A249:$AE253,22,FALSE)</f>
        <v>#N/A</v>
      </c>
      <c r="Z255" s="67" t="e">
        <f>VLOOKUP(Z194,$A249:$AE253,25,FALSE)</f>
        <v>#N/A</v>
      </c>
      <c r="AA255" s="67">
        <v>9</v>
      </c>
      <c r="AB255" s="67" t="e">
        <f>VLOOKUP(AB194,$A249:$AE253,25,FALSE)</f>
        <v>#N/A</v>
      </c>
      <c r="AC255" s="67" t="e">
        <f>VLOOKUP(AC194,$A249:$AE253,28,FALSE)</f>
        <v>#N/A</v>
      </c>
      <c r="AD255" s="67">
        <v>10</v>
      </c>
      <c r="AE255" s="67" t="e">
        <f>VLOOKUP(AE194,$A249:$AE253,28,FALSE)</f>
        <v>#N/A</v>
      </c>
      <c r="AF255" s="4"/>
      <c r="AG255" s="80"/>
      <c r="AH255" s="80"/>
      <c r="AI255" s="80"/>
      <c r="AJ255" s="80"/>
      <c r="AK255" s="80"/>
      <c r="AL255" s="80"/>
      <c r="AM255" s="80"/>
      <c r="AN255" s="81"/>
      <c r="AO255" s="81"/>
      <c r="AP255" s="81"/>
      <c r="AQ255" s="81"/>
      <c r="AW255" s="66"/>
    </row>
    <row r="256" spans="1:49" s="72" customFormat="1" hidden="1" x14ac:dyDescent="0.2">
      <c r="A256" s="68" t="s">
        <v>117</v>
      </c>
      <c r="B256" s="68">
        <f>1/(1+(10^-((B255-D255)/400)))*(B206+D206)</f>
        <v>1.0969015951373762</v>
      </c>
      <c r="C256" s="68"/>
      <c r="D256" s="68">
        <f>1/(1+(10^-((D255-B255)/400)))*(B206+D206)</f>
        <v>0.90309840486262394</v>
      </c>
      <c r="E256" s="68">
        <f>1/(1+(10^-((E255-G255)/400)))*(E206+G206)</f>
        <v>1.0902503918202966</v>
      </c>
      <c r="F256" s="68"/>
      <c r="G256" s="68">
        <f>1/(1+(10^-((G255-E255)/400)))*(E206+G206)</f>
        <v>0.90974960817970318</v>
      </c>
      <c r="H256" s="68">
        <f>1/(1+(10^-((H255-J255)/400)))*(H206+J206)</f>
        <v>1.0019411996448586</v>
      </c>
      <c r="I256" s="68"/>
      <c r="J256" s="68">
        <f>1/(1+(10^-((J255-H255)/400)))*(H206+J206)</f>
        <v>0.99805880035514127</v>
      </c>
      <c r="K256" s="68">
        <f>1/(1+(10^-((K255-M255)/400)))*(K206+M206)</f>
        <v>0</v>
      </c>
      <c r="L256" s="68"/>
      <c r="M256" s="68">
        <f>1/(1+(10^-((M255-K255)/400)))*(K206+M206)</f>
        <v>0</v>
      </c>
      <c r="N256" s="68" t="e">
        <f>1/(1+(10^-((N255-P255)/400)))*(N206+P206)</f>
        <v>#REF!</v>
      </c>
      <c r="O256" s="68"/>
      <c r="P256" s="68" t="e">
        <f>1/(1+(10^-((P255-N255)/400)))*(N206+P206)</f>
        <v>#REF!</v>
      </c>
      <c r="Q256" s="68">
        <f>1/(1+(10^-((Q255-S255)/400)))*(Q206+S206)</f>
        <v>0</v>
      </c>
      <c r="R256" s="68"/>
      <c r="S256" s="68">
        <f>1/(1+(10^-((S255-Q255)/400)))*(Q206+S206)</f>
        <v>0</v>
      </c>
      <c r="T256" s="68" t="e">
        <f>1/(1+(10^-((T255-V255)/400)))*(T206+V206)</f>
        <v>#N/A</v>
      </c>
      <c r="U256" s="68"/>
      <c r="V256" s="68" t="e">
        <f>1/(1+(10^-((V255-T255)/400)))*(T206+V206)</f>
        <v>#N/A</v>
      </c>
      <c r="W256" s="68" t="e">
        <f>1/(1+(10^-((W255-Y255)/400)))*(W206+Y206)</f>
        <v>#N/A</v>
      </c>
      <c r="X256" s="68"/>
      <c r="Y256" s="68" t="e">
        <f>1/(1+(10^-((Y255-W255)/400)))*(W206+Y206)</f>
        <v>#N/A</v>
      </c>
      <c r="Z256" s="68" t="e">
        <f>1/(1+(10^-((Z255-AB255)/400)))*(Z206+AB206)</f>
        <v>#N/A</v>
      </c>
      <c r="AA256" s="68"/>
      <c r="AB256" s="68" t="e">
        <f>1/(1+(10^-((AB255-Z255)/400)))*(Z206+AB206)</f>
        <v>#N/A</v>
      </c>
      <c r="AC256" s="68" t="e">
        <f>1/(1+(10^-((AC255-AE255)/400)))*(AC206+AE206)</f>
        <v>#N/A</v>
      </c>
      <c r="AD256" s="68"/>
      <c r="AE256" s="68" t="e">
        <f>1/(1+(10^-((AE255-AC255)/400)))*(AC206+AE206)</f>
        <v>#N/A</v>
      </c>
      <c r="AF256" s="69"/>
      <c r="AG256" s="70"/>
      <c r="AH256" s="70"/>
      <c r="AI256" s="70"/>
      <c r="AJ256" s="70"/>
      <c r="AK256" s="70"/>
      <c r="AL256" s="70"/>
      <c r="AM256" s="70"/>
      <c r="AN256" s="71"/>
      <c r="AO256" s="71"/>
      <c r="AP256" s="71"/>
      <c r="AQ256" s="71"/>
      <c r="AW256" s="73"/>
    </row>
    <row r="257" spans="1:49" s="78" customFormat="1" hidden="1" x14ac:dyDescent="0.2">
      <c r="A257" s="74" t="s">
        <v>118</v>
      </c>
      <c r="B257" s="74">
        <f>B255+(B206-B256)*$BA$1</f>
        <v>1210.6693495053651</v>
      </c>
      <c r="C257" s="74"/>
      <c r="D257" s="74">
        <f>D255+(D206-D256)*$BA$1</f>
        <v>1179.9971634069964</v>
      </c>
      <c r="E257" s="74">
        <f>E255+(E206-E256)*$BA$1</f>
        <v>1209.9949068229789</v>
      </c>
      <c r="F257" s="74"/>
      <c r="G257" s="74">
        <f>G255+(G206-G256)*$BA$1</f>
        <v>1181.441169676121</v>
      </c>
      <c r="H257" s="74">
        <f>H255+(H206-H256)*$BA$1</f>
        <v>1226.6382903110473</v>
      </c>
      <c r="I257" s="74"/>
      <c r="J257" s="74">
        <f>J255+(J206-J256)*$BA$1</f>
        <v>1194.0259660172967</v>
      </c>
      <c r="K257" s="74">
        <f>K255+(K206-K256)*$BA$1</f>
        <v>1226.6382903110473</v>
      </c>
      <c r="L257" s="74"/>
      <c r="M257" s="74">
        <f>M255+(M206-M256)*$BA$1</f>
        <v>1181.441169676121</v>
      </c>
      <c r="N257" s="74" t="e">
        <f>N255+(N206-N256)*$BA$1</f>
        <v>#REF!</v>
      </c>
      <c r="O257" s="74"/>
      <c r="P257" s="74" t="e">
        <f>P255+(P206-P256)*$BA$1</f>
        <v>#REF!</v>
      </c>
      <c r="Q257" s="74">
        <f>Q255+(Q206-Q256)*$BA$1</f>
        <v>1226.6382903110473</v>
      </c>
      <c r="R257" s="74"/>
      <c r="S257" s="74">
        <f>S255+(S206-S256)*$BA$1</f>
        <v>1194.0259660172967</v>
      </c>
      <c r="T257" s="74" t="e">
        <f>T255+(T206-T256)*$BA$1</f>
        <v>#N/A</v>
      </c>
      <c r="U257" s="74"/>
      <c r="V257" s="74" t="e">
        <f>V255+(V206-V256)*$BA$1</f>
        <v>#N/A</v>
      </c>
      <c r="W257" s="74" t="e">
        <f>W255+(W206-W256)*$BA$1</f>
        <v>#N/A</v>
      </c>
      <c r="X257" s="74"/>
      <c r="Y257" s="74" t="e">
        <f>Y255+(Y206-Y256)*$BA$1</f>
        <v>#N/A</v>
      </c>
      <c r="Z257" s="74" t="e">
        <f>Z255+(Z206-Z256)*$BA$1</f>
        <v>#N/A</v>
      </c>
      <c r="AA257" s="74"/>
      <c r="AB257" s="74" t="e">
        <f>AB255+(AB206-AB256)*$BA$1</f>
        <v>#N/A</v>
      </c>
      <c r="AC257" s="74" t="e">
        <f>AC255+(AC206-AC256)*$BA$1</f>
        <v>#N/A</v>
      </c>
      <c r="AD257" s="74"/>
      <c r="AE257" s="74" t="e">
        <f>AE255+(AE206-AE256)*$BA$1</f>
        <v>#N/A</v>
      </c>
      <c r="AF257" s="75"/>
      <c r="AG257" s="76"/>
      <c r="AH257" s="76"/>
      <c r="AI257" s="76"/>
      <c r="AJ257" s="76"/>
      <c r="AK257" s="76"/>
      <c r="AL257" s="76"/>
      <c r="AM257" s="76"/>
      <c r="AN257" s="77"/>
      <c r="AO257" s="77"/>
      <c r="AP257" s="77"/>
      <c r="AQ257" s="77"/>
      <c r="AW257" s="79"/>
    </row>
    <row r="258" spans="1:49" s="78" customFormat="1" hidden="1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5"/>
      <c r="AG258" s="76"/>
      <c r="AH258" s="76"/>
      <c r="AI258" s="76"/>
      <c r="AJ258" s="76"/>
      <c r="AK258" s="76"/>
      <c r="AL258" s="76"/>
      <c r="AM258" s="76"/>
      <c r="AN258" s="77"/>
      <c r="AO258" s="77"/>
      <c r="AP258" s="77"/>
      <c r="AQ258" s="77"/>
      <c r="AT258" s="79"/>
    </row>
    <row r="259" spans="1:49" s="63" customFormat="1" x14ac:dyDescent="0.2">
      <c r="A259" s="329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329"/>
      <c r="Q259" s="329"/>
      <c r="R259" s="329"/>
      <c r="S259" s="329"/>
      <c r="T259" s="329"/>
      <c r="U259" s="329"/>
      <c r="V259" s="329"/>
      <c r="W259" s="329"/>
      <c r="X259" s="329"/>
      <c r="Y259" s="329"/>
      <c r="Z259" s="329"/>
      <c r="AA259" s="329"/>
      <c r="AB259" s="329"/>
      <c r="AC259" s="329"/>
      <c r="AD259" s="329"/>
      <c r="AE259" s="329"/>
      <c r="AF259" s="329"/>
      <c r="AG259" s="329"/>
      <c r="AH259" s="329"/>
      <c r="AI259" s="329"/>
      <c r="AJ259" s="329"/>
      <c r="AK259" s="329"/>
      <c r="AL259" s="329"/>
      <c r="AM259" s="329"/>
      <c r="AN259" s="330"/>
      <c r="AO259" s="330"/>
      <c r="AP259" s="330"/>
      <c r="AQ259" s="330"/>
    </row>
    <row r="260" spans="1:49" s="63" customFormat="1" x14ac:dyDescent="0.2">
      <c r="A260" s="331"/>
      <c r="B260" s="331"/>
      <c r="C260" s="331"/>
      <c r="D260" s="331"/>
      <c r="E260" s="331"/>
      <c r="F260" s="331"/>
      <c r="G260" s="331"/>
      <c r="H260" s="331"/>
      <c r="I260" s="331"/>
      <c r="J260" s="331"/>
      <c r="K260" s="331"/>
      <c r="L260" s="331"/>
      <c r="M260" s="331"/>
      <c r="N260" s="331"/>
      <c r="O260" s="331"/>
      <c r="P260" s="331"/>
      <c r="Q260" s="331"/>
      <c r="R260" s="331"/>
      <c r="S260" s="331"/>
      <c r="T260" s="331"/>
      <c r="U260" s="331"/>
      <c r="V260" s="331"/>
      <c r="W260" s="331"/>
      <c r="X260" s="331"/>
      <c r="Y260" s="331"/>
      <c r="Z260" s="331"/>
      <c r="AA260" s="331"/>
      <c r="AB260" s="331"/>
      <c r="AC260" s="331"/>
      <c r="AD260" s="331"/>
      <c r="AE260" s="331"/>
      <c r="AF260" s="331"/>
      <c r="AG260" s="331"/>
      <c r="AH260" s="331"/>
      <c r="AI260" s="331"/>
      <c r="AJ260" s="331"/>
      <c r="AK260" s="331"/>
      <c r="AL260" s="331"/>
      <c r="AM260" s="331"/>
      <c r="AN260" s="331"/>
      <c r="AO260" s="331"/>
      <c r="AP260" s="331"/>
      <c r="AQ260" s="331"/>
    </row>
  </sheetData>
  <sheetProtection formatCells="0" selectLockedCells="1"/>
  <mergeCells count="416"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V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93 A178 A8">
    <cfRule type="expression" dxfId="5678" priority="342" stopIfTrue="1">
      <formula>IF(AK9&gt;0,0,1)</formula>
    </cfRule>
  </conditionalFormatting>
  <conditionalFormatting sqref="A95:A96 A180:A181 A10:A11">
    <cfRule type="expression" dxfId="5677" priority="341" stopIfTrue="1">
      <formula>IF(AK9&gt;1,0,1)</formula>
    </cfRule>
  </conditionalFormatting>
  <conditionalFormatting sqref="A97:A98 A182:A183 A12:A13">
    <cfRule type="expression" dxfId="5676" priority="340" stopIfTrue="1">
      <formula>IF(AK9&gt;2,0,1)</formula>
    </cfRule>
  </conditionalFormatting>
  <conditionalFormatting sqref="A99:A100 A184:A185 A14:A15">
    <cfRule type="expression" dxfId="5675" priority="339" stopIfTrue="1">
      <formula>IF(AK9&gt;3,0,1)</formula>
    </cfRule>
  </conditionalFormatting>
  <conditionalFormatting sqref="A101:A102 A186:A187 A16:A17">
    <cfRule type="expression" dxfId="5674" priority="338" stopIfTrue="1">
      <formula>IF(AK9&gt;4,0,1)</formula>
    </cfRule>
  </conditionalFormatting>
  <conditionalFormatting sqref="B8 B178 B93">
    <cfRule type="expression" dxfId="5673" priority="337" stopIfTrue="1">
      <formula>IF(AK9&gt;0,0,1)</formula>
    </cfRule>
  </conditionalFormatting>
  <conditionalFormatting sqref="B9 B179 B94">
    <cfRule type="expression" dxfId="5672" priority="336" stopIfTrue="1">
      <formula>IF(AK9&gt;0,0,1)</formula>
    </cfRule>
  </conditionalFormatting>
  <conditionalFormatting sqref="B10 B180 B95">
    <cfRule type="expression" dxfId="5671" priority="335" stopIfTrue="1">
      <formula>IF(AK9&gt;1,0,1)</formula>
    </cfRule>
  </conditionalFormatting>
  <conditionalFormatting sqref="B11:D11 B181:D181 B96:D96">
    <cfRule type="expression" dxfId="5670" priority="334" stopIfTrue="1">
      <formula>IF(AK9&gt;1,0,1)</formula>
    </cfRule>
  </conditionalFormatting>
  <conditionalFormatting sqref="B12:D12 B182:D182 B97:D97">
    <cfRule type="expression" dxfId="5669" priority="333" stopIfTrue="1">
      <formula>IF(AK9&gt;2,0,1)</formula>
    </cfRule>
  </conditionalFormatting>
  <conditionalFormatting sqref="B13:D13 B183:D183 B98:D98">
    <cfRule type="expression" dxfId="5668" priority="332" stopIfTrue="1">
      <formula>IF(AK9&gt;2,0,1)</formula>
    </cfRule>
  </conditionalFormatting>
  <conditionalFormatting sqref="B14:D14 B184:D184 B99:D99">
    <cfRule type="expression" dxfId="5667" priority="331" stopIfTrue="1">
      <formula>IF(AK9&gt;3,0,1)</formula>
    </cfRule>
  </conditionalFormatting>
  <conditionalFormatting sqref="B15:D15 B185:D185 B100:D100">
    <cfRule type="expression" dxfId="5666" priority="330" stopIfTrue="1">
      <formula>IF(AK9&gt;3,0,1)</formula>
    </cfRule>
  </conditionalFormatting>
  <conditionalFormatting sqref="B16:D16 B186:D186 B101:D101">
    <cfRule type="expression" dxfId="5665" priority="329" stopIfTrue="1">
      <formula>IF(AK9&gt;4,0,1)</formula>
    </cfRule>
  </conditionalFormatting>
  <conditionalFormatting sqref="B17:D17 B187:D187 B102:D102">
    <cfRule type="expression" dxfId="5664" priority="328" stopIfTrue="1">
      <formula>IF(AK9&gt;4,0,1)</formula>
    </cfRule>
  </conditionalFormatting>
  <conditionalFormatting sqref="E178">
    <cfRule type="expression" dxfId="5663" priority="327" stopIfTrue="1">
      <formula>IF(AK179&gt;0,0,1)</formula>
    </cfRule>
  </conditionalFormatting>
  <conditionalFormatting sqref="E179">
    <cfRule type="expression" dxfId="5662" priority="326" stopIfTrue="1">
      <formula>IF(AK179&gt;0,0,1)</formula>
    </cfRule>
  </conditionalFormatting>
  <conditionalFormatting sqref="E180">
    <cfRule type="expression" dxfId="5661" priority="325" stopIfTrue="1">
      <formula>IF(AK179&gt;1,0,1)</formula>
    </cfRule>
  </conditionalFormatting>
  <conditionalFormatting sqref="E181">
    <cfRule type="expression" dxfId="5660" priority="324" stopIfTrue="1">
      <formula>IF(AK179&gt;1,0,1)</formula>
    </cfRule>
  </conditionalFormatting>
  <conditionalFormatting sqref="E182">
    <cfRule type="expression" dxfId="5659" priority="323" stopIfTrue="1">
      <formula>IF(AK179&gt;2,0,1)</formula>
    </cfRule>
  </conditionalFormatting>
  <conditionalFormatting sqref="E183">
    <cfRule type="expression" dxfId="5658" priority="322" stopIfTrue="1">
      <formula>IF(AK179&gt;2,0,1)</formula>
    </cfRule>
  </conditionalFormatting>
  <conditionalFormatting sqref="E99 E184">
    <cfRule type="expression" dxfId="5657" priority="321" stopIfTrue="1">
      <formula>IF(AK94&gt;3,0,1)</formula>
    </cfRule>
  </conditionalFormatting>
  <conditionalFormatting sqref="E100 E185">
    <cfRule type="expression" dxfId="5656" priority="320" stopIfTrue="1">
      <formula>IF(AK94&gt;3,0,1)</formula>
    </cfRule>
  </conditionalFormatting>
  <conditionalFormatting sqref="E16 E101 E186">
    <cfRule type="expression" dxfId="5655" priority="319" stopIfTrue="1">
      <formula>IF(AK9&gt;4,0,1)</formula>
    </cfRule>
  </conditionalFormatting>
  <conditionalFormatting sqref="E17 E102 E187">
    <cfRule type="expression" dxfId="5654" priority="318" stopIfTrue="1">
      <formula>IF(AK9&gt;4,0,1)</formula>
    </cfRule>
  </conditionalFormatting>
  <conditionalFormatting sqref="AC93 AC178 AC8">
    <cfRule type="expression" dxfId="5653" priority="317" stopIfTrue="1">
      <formula>IF(AK11=1,IF(AK9&gt;0,0,1),1)</formula>
    </cfRule>
  </conditionalFormatting>
  <conditionalFormatting sqref="AC95:AE96 AC180:AE181 AC10:AE11">
    <cfRule type="expression" dxfId="5652" priority="316" stopIfTrue="1">
      <formula>IF(AK11=1,IF(AK9&gt;1,0,1),1)</formula>
    </cfRule>
  </conditionalFormatting>
  <conditionalFormatting sqref="AC97:AE98 AC182:AE183 AC12:AE13">
    <cfRule type="expression" dxfId="5651" priority="315" stopIfTrue="1">
      <formula>IF(AK11=1,IF(AK9&gt;2,0,1),1)</formula>
    </cfRule>
  </conditionalFormatting>
  <conditionalFormatting sqref="AC99:AE100 AC184:AE185 AC14:AE15">
    <cfRule type="expression" dxfId="5650" priority="314" stopIfTrue="1">
      <formula>IF(AK11=1,IF(AK9&gt;3,0,1),1)</formula>
    </cfRule>
  </conditionalFormatting>
  <conditionalFormatting sqref="AC101:AE102 AC186:AE187 AC16:AE17">
    <cfRule type="expression" dxfId="5649" priority="313" stopIfTrue="1">
      <formula>IF(AK11=1,IF(AK9&gt;4,0,1),1)</formula>
    </cfRule>
  </conditionalFormatting>
  <conditionalFormatting sqref="AH93 AH178 AH8">
    <cfRule type="expression" dxfId="5648" priority="312" stopIfTrue="1">
      <formula>IF(AK9&gt;0,0,1)</formula>
    </cfRule>
  </conditionalFormatting>
  <conditionalFormatting sqref="AH95:AI96 AH180:AI181 AH10:AI11">
    <cfRule type="expression" dxfId="5647" priority="311" stopIfTrue="1">
      <formula>IF(AK9&gt;1,0,1)</formula>
    </cfRule>
  </conditionalFormatting>
  <conditionalFormatting sqref="AH97:AI98 AH182:AI183 AH12:AI13">
    <cfRule type="expression" dxfId="5646" priority="310" stopIfTrue="1">
      <formula>IF(AK9&gt;2,0,1)</formula>
    </cfRule>
  </conditionalFormatting>
  <conditionalFormatting sqref="AH99:AI100 AH184:AI185 AH14:AI15">
    <cfRule type="expression" dxfId="5645" priority="309" stopIfTrue="1">
      <formula>IF(AK9&gt;3,0,1)</formula>
    </cfRule>
  </conditionalFormatting>
  <conditionalFormatting sqref="AH101:AI102 AH186:AI187 AH16:AI17">
    <cfRule type="expression" dxfId="5644" priority="308" stopIfTrue="1">
      <formula>IF(AK9&gt;4,0,1)</formula>
    </cfRule>
  </conditionalFormatting>
  <conditionalFormatting sqref="K189:M189 K19:M19 K104:M104">
    <cfRule type="expression" dxfId="5643" priority="307" stopIfTrue="1">
      <formula>IF(AK8&gt;3,0,1)</formula>
    </cfRule>
  </conditionalFormatting>
  <conditionalFormatting sqref="N189:P189 N19:P19 N104:P104">
    <cfRule type="expression" dxfId="5642" priority="306" stopIfTrue="1">
      <formula>IF(AK8&gt;4,0,1)</formula>
    </cfRule>
  </conditionalFormatting>
  <conditionalFormatting sqref="Q189:S189 Q19:S19 Q104:S104">
    <cfRule type="expression" dxfId="5641" priority="305" stopIfTrue="1">
      <formula>IF(AK8&gt;5,0,1)</formula>
    </cfRule>
  </conditionalFormatting>
  <conditionalFormatting sqref="T189:V189 T19:V19 T104:V104">
    <cfRule type="expression" dxfId="5640" priority="304" stopIfTrue="1">
      <formula>IF(AK8&gt;6,0,1)</formula>
    </cfRule>
  </conditionalFormatting>
  <conditionalFormatting sqref="W189:Y189 W19:Y19 W104:Y104">
    <cfRule type="expression" dxfId="5639" priority="303" stopIfTrue="1">
      <formula>IF(AK8&gt;7,0,1)</formula>
    </cfRule>
  </conditionalFormatting>
  <conditionalFormatting sqref="Z189:AB189 Z19:AB19 Z104:AB104">
    <cfRule type="expression" dxfId="5638" priority="302" stopIfTrue="1">
      <formula>IF(AK8&gt;8,0,1)</formula>
    </cfRule>
  </conditionalFormatting>
  <conditionalFormatting sqref="AC189:AE189 AC19:AE19 AC104:AE104">
    <cfRule type="expression" dxfId="5637" priority="301" stopIfTrue="1">
      <formula>IF(AK8&gt;9,0,1)</formula>
    </cfRule>
  </conditionalFormatting>
  <conditionalFormatting sqref="B20:D20 B105:D105 B190:D190">
    <cfRule type="expression" dxfId="5636" priority="300" stopIfTrue="1">
      <formula>IF(AK8&gt;0,0,1)</formula>
    </cfRule>
  </conditionalFormatting>
  <conditionalFormatting sqref="E20:G20 E105:G105 E190:G190">
    <cfRule type="expression" dxfId="5635" priority="299" stopIfTrue="1">
      <formula>IF(AK8&gt;1,0,1)</formula>
    </cfRule>
  </conditionalFormatting>
  <conditionalFormatting sqref="H20:J20 H105:J105 H190:J190">
    <cfRule type="expression" dxfId="5634" priority="298" stopIfTrue="1">
      <formula>IF(AK8&gt;2,0,1)</formula>
    </cfRule>
  </conditionalFormatting>
  <conditionalFormatting sqref="K190:M190 K105:M105 K20:M20">
    <cfRule type="expression" dxfId="5633" priority="297" stopIfTrue="1">
      <formula>IF(AK8&gt;3,0,1)</formula>
    </cfRule>
  </conditionalFormatting>
  <conditionalFormatting sqref="N190:P190 N105:P105 N20:P20">
    <cfRule type="expression" dxfId="5632" priority="296" stopIfTrue="1">
      <formula>IF(AK8&gt;4,0,1)</formula>
    </cfRule>
  </conditionalFormatting>
  <conditionalFormatting sqref="Q190:S190 Q105:S105 Q20:S20">
    <cfRule type="expression" dxfId="5631" priority="295" stopIfTrue="1">
      <formula>IF(AK8&gt;5,0,1)</formula>
    </cfRule>
  </conditionalFormatting>
  <conditionalFormatting sqref="T190:V190 T105:V105 T20:V20">
    <cfRule type="expression" dxfId="5630" priority="294" stopIfTrue="1">
      <formula>IF(AK8&gt;6,0,1)</formula>
    </cfRule>
  </conditionalFormatting>
  <conditionalFormatting sqref="W190:Y190 W105:Y105 W20:Y20">
    <cfRule type="expression" dxfId="5629" priority="293" stopIfTrue="1">
      <formula>IF(AK8&gt;7,0,1)</formula>
    </cfRule>
  </conditionalFormatting>
  <conditionalFormatting sqref="Z190:AB190 Z105:AB105 Z20:AB20">
    <cfRule type="expression" dxfId="5628" priority="292" stopIfTrue="1">
      <formula>IF(AK8&gt;8,0,1)</formula>
    </cfRule>
  </conditionalFormatting>
  <conditionalFormatting sqref="AC190:AE190 AC105:AE105 AC20:AE20">
    <cfRule type="expression" dxfId="5627" priority="291" stopIfTrue="1">
      <formula>IF(AK8&gt;9,0,1)</formula>
    </cfRule>
  </conditionalFormatting>
  <conditionalFormatting sqref="E192:G192">
    <cfRule type="expression" dxfId="5626" priority="290" stopIfTrue="1">
      <formula>IF(AK178&gt;1,0,1)</formula>
    </cfRule>
  </conditionalFormatting>
  <conditionalFormatting sqref="H192:J192">
    <cfRule type="expression" dxfId="5625" priority="289" stopIfTrue="1">
      <formula>IF(AK178&gt;2,0,1)</formula>
    </cfRule>
  </conditionalFormatting>
  <conditionalFormatting sqref="K192:M192">
    <cfRule type="expression" dxfId="5624" priority="288" stopIfTrue="1">
      <formula>IF(AK178&gt;3,0,1)</formula>
    </cfRule>
  </conditionalFormatting>
  <conditionalFormatting sqref="N192:P192">
    <cfRule type="expression" dxfId="5623" priority="287" stopIfTrue="1">
      <formula>IF(AK178&gt;4,0,1)</formula>
    </cfRule>
  </conditionalFormatting>
  <conditionalFormatting sqref="Q192:S192">
    <cfRule type="expression" dxfId="5622" priority="286" stopIfTrue="1">
      <formula>IF(AK178&gt;5,0,1)</formula>
    </cfRule>
  </conditionalFormatting>
  <conditionalFormatting sqref="T22:V22 T192:V192 T107:V107">
    <cfRule type="expression" dxfId="5621" priority="285" stopIfTrue="1">
      <formula>IF(AK8&gt;6,0,1)</formula>
    </cfRule>
  </conditionalFormatting>
  <conditionalFormatting sqref="W22:Y22 W192:Y192 W107:Y107">
    <cfRule type="expression" dxfId="5620" priority="284" stopIfTrue="1">
      <formula>IF(AK8&gt;7,0,1)</formula>
    </cfRule>
  </conditionalFormatting>
  <conditionalFormatting sqref="Z22:AB22 Z192:AB192 Z107:AB107">
    <cfRule type="expression" dxfId="5619" priority="283" stopIfTrue="1">
      <formula>IF(AK8&gt;8,0,1)</formula>
    </cfRule>
  </conditionalFormatting>
  <conditionalFormatting sqref="AC22:AE22 AC192:AE192 AC107:AE107">
    <cfRule type="expression" dxfId="5618" priority="282" stopIfTrue="1">
      <formula>IF(AK8&gt;9,0,1)</formula>
    </cfRule>
  </conditionalFormatting>
  <conditionalFormatting sqref="B194">
    <cfRule type="expression" dxfId="5617" priority="281" stopIfTrue="1">
      <formula>IF(AK178&gt;0,0,1)</formula>
    </cfRule>
  </conditionalFormatting>
  <conditionalFormatting sqref="C194">
    <cfRule type="expression" dxfId="5616" priority="280" stopIfTrue="1">
      <formula>IF(AK178&gt;0,0,1)</formula>
    </cfRule>
  </conditionalFormatting>
  <conditionalFormatting sqref="D194">
    <cfRule type="expression" dxfId="5615" priority="279" stopIfTrue="1">
      <formula>IF(AK178&gt;0,0,1)</formula>
    </cfRule>
  </conditionalFormatting>
  <conditionalFormatting sqref="E193:G193">
    <cfRule type="expression" dxfId="5614" priority="278" stopIfTrue="1">
      <formula>IF(AK178&gt;1,0,1)</formula>
    </cfRule>
  </conditionalFormatting>
  <conditionalFormatting sqref="F194">
    <cfRule type="expression" dxfId="5613" priority="277" stopIfTrue="1">
      <formula>IF(AK178&gt;1,0,1)</formula>
    </cfRule>
  </conditionalFormatting>
  <conditionalFormatting sqref="G194">
    <cfRule type="expression" dxfId="5612" priority="276" stopIfTrue="1">
      <formula>IF(AK178&gt;1,0,1)</formula>
    </cfRule>
  </conditionalFormatting>
  <conditionalFormatting sqref="H193:J193">
    <cfRule type="expression" dxfId="5611" priority="275" stopIfTrue="1">
      <formula>IF(AK178&gt;2,0,1)</formula>
    </cfRule>
  </conditionalFormatting>
  <conditionalFormatting sqref="I194">
    <cfRule type="expression" dxfId="5610" priority="274" stopIfTrue="1">
      <formula>IF(AK178&gt;2,0,1)</formula>
    </cfRule>
  </conditionalFormatting>
  <conditionalFormatting sqref="J194">
    <cfRule type="expression" dxfId="5609" priority="273" stopIfTrue="1">
      <formula>IF(AK178&gt;2,0,1)</formula>
    </cfRule>
  </conditionalFormatting>
  <conditionalFormatting sqref="K193:M193">
    <cfRule type="expression" dxfId="5608" priority="272" stopIfTrue="1">
      <formula>IF(AK178&gt;3,0,1)</formula>
    </cfRule>
  </conditionalFormatting>
  <conditionalFormatting sqref="L194">
    <cfRule type="expression" dxfId="5607" priority="271" stopIfTrue="1">
      <formula>IF(AK178&gt;3,0,1)</formula>
    </cfRule>
  </conditionalFormatting>
  <conditionalFormatting sqref="M194">
    <cfRule type="expression" dxfId="5606" priority="270" stopIfTrue="1">
      <formula>IF(AK178&gt;3,0,1)</formula>
    </cfRule>
  </conditionalFormatting>
  <conditionalFormatting sqref="N193:P193">
    <cfRule type="expression" dxfId="5605" priority="269" stopIfTrue="1">
      <formula>IF(AK178&gt;4,0,1)</formula>
    </cfRule>
  </conditionalFormatting>
  <conditionalFormatting sqref="O194">
    <cfRule type="expression" dxfId="5604" priority="268" stopIfTrue="1">
      <formula>IF(AK178&gt;4,0,1)</formula>
    </cfRule>
  </conditionalFormatting>
  <conditionalFormatting sqref="P194">
    <cfRule type="expression" dxfId="5603" priority="267" stopIfTrue="1">
      <formula>IF(AK178&gt;4,0,1)</formula>
    </cfRule>
  </conditionalFormatting>
  <conditionalFormatting sqref="Q193:S193">
    <cfRule type="expression" dxfId="5602" priority="266" stopIfTrue="1">
      <formula>IF(AK178&gt;5,0,1)</formula>
    </cfRule>
  </conditionalFormatting>
  <conditionalFormatting sqref="R194">
    <cfRule type="expression" dxfId="5601" priority="265" stopIfTrue="1">
      <formula>IF(AK178&gt;5,0,1)</formula>
    </cfRule>
  </conditionalFormatting>
  <conditionalFormatting sqref="S194">
    <cfRule type="expression" dxfId="5600" priority="264" stopIfTrue="1">
      <formula>IF(AK178&gt;5,0,1)</formula>
    </cfRule>
  </conditionalFormatting>
  <conditionalFormatting sqref="T193:V193 T108:V108 T23:V23">
    <cfRule type="expression" dxfId="5599" priority="263" stopIfTrue="1">
      <formula>IF(AK8&gt;6,0,1)</formula>
    </cfRule>
  </conditionalFormatting>
  <conditionalFormatting sqref="U24 U194 U109">
    <cfRule type="expression" dxfId="5598" priority="262" stopIfTrue="1">
      <formula>IF(AK8&gt;6,0,1)</formula>
    </cfRule>
  </conditionalFormatting>
  <conditionalFormatting sqref="V24 V194 V109">
    <cfRule type="expression" dxfId="5597" priority="261" stopIfTrue="1">
      <formula>IF(AK8&gt;6,0,1)</formula>
    </cfRule>
  </conditionalFormatting>
  <conditionalFormatting sqref="W193:Y193 W108:Y108 W23:Y23">
    <cfRule type="expression" dxfId="5596" priority="260" stopIfTrue="1">
      <formula>IF(AK8&gt;7,0,1)</formula>
    </cfRule>
  </conditionalFormatting>
  <conditionalFormatting sqref="X24 X194 X109">
    <cfRule type="expression" dxfId="5595" priority="259" stopIfTrue="1">
      <formula>IF(AK8&gt;7,0,1)</formula>
    </cfRule>
  </conditionalFormatting>
  <conditionalFormatting sqref="Y24 Y194 Y109">
    <cfRule type="expression" dxfId="5594" priority="258" stopIfTrue="1">
      <formula>IF(AK8&gt;7,0,1)</formula>
    </cfRule>
  </conditionalFormatting>
  <conditionalFormatting sqref="Z193:AB193 Z108:AB108 Z23:AB23">
    <cfRule type="expression" dxfId="5593" priority="257" stopIfTrue="1">
      <formula>IF(AK8&gt;8,0,1)</formula>
    </cfRule>
  </conditionalFormatting>
  <conditionalFormatting sqref="AA24 AA194 AA109">
    <cfRule type="expression" dxfId="5592" priority="256" stopIfTrue="1">
      <formula>IF(AK8&gt;8,0,1)</formula>
    </cfRule>
  </conditionalFormatting>
  <conditionalFormatting sqref="AB24 AB194 AB109">
    <cfRule type="expression" dxfId="5591" priority="255" stopIfTrue="1">
      <formula>IF(AK8&gt;8,0,1)</formula>
    </cfRule>
  </conditionalFormatting>
  <conditionalFormatting sqref="AC193:AE193 AC108:AE108 AC23:AE23">
    <cfRule type="expression" dxfId="5590" priority="254" stopIfTrue="1">
      <formula>IF(AK8&gt;9,0,1)</formula>
    </cfRule>
  </conditionalFormatting>
  <conditionalFormatting sqref="AD24 AD194 AD109">
    <cfRule type="expression" dxfId="5589" priority="253" stopIfTrue="1">
      <formula>IF(AK8&gt;9,0,1)</formula>
    </cfRule>
  </conditionalFormatting>
  <conditionalFormatting sqref="AE24 AE194 AE109">
    <cfRule type="expression" dxfId="5588" priority="252" stopIfTrue="1">
      <formula>IF(AK8&gt;9,0,1)</formula>
    </cfRule>
  </conditionalFormatting>
  <conditionalFormatting sqref="A26 A196 A111">
    <cfRule type="expression" dxfId="5587" priority="251" stopIfTrue="1">
      <formula>IF(AK7&gt;1,0,1)</formula>
    </cfRule>
  </conditionalFormatting>
  <conditionalFormatting sqref="A27 A197 A112">
    <cfRule type="expression" dxfId="5586" priority="250" stopIfTrue="1">
      <formula>IF(AK7&gt;2,0,1)</formula>
    </cfRule>
  </conditionalFormatting>
  <conditionalFormatting sqref="A28 A198 A113">
    <cfRule type="expression" dxfId="5585" priority="249" stopIfTrue="1">
      <formula>IF(AK7&gt;3,0,1)</formula>
    </cfRule>
  </conditionalFormatting>
  <conditionalFormatting sqref="A29 A199 A114">
    <cfRule type="expression" dxfId="5584" priority="248" stopIfTrue="1">
      <formula>IF(AK7&gt;4,0,1)</formula>
    </cfRule>
  </conditionalFormatting>
  <conditionalFormatting sqref="B195:D195">
    <cfRule type="expression" dxfId="5583" priority="247" stopIfTrue="1">
      <formula>IF($AK178&gt;0,0,1)</formula>
    </cfRule>
  </conditionalFormatting>
  <conditionalFormatting sqref="B196:D196">
    <cfRule type="expression" dxfId="5582" priority="246" stopIfTrue="1">
      <formula>IF($AK178&lt;1,1,IF($AK177&lt;2,1,0))</formula>
    </cfRule>
  </conditionalFormatting>
  <conditionalFormatting sqref="B27:D27 B197:D197 B112:D112">
    <cfRule type="expression" dxfId="5581" priority="245" stopIfTrue="1">
      <formula>IF($AK8&lt;1,1,IF($AK7&lt;3,1,0))</formula>
    </cfRule>
  </conditionalFormatting>
  <conditionalFormatting sqref="B28:D28 B198:D198 B113:D113">
    <cfRule type="expression" dxfId="5580" priority="244" stopIfTrue="1">
      <formula>IF($AK8&lt;1,1,IF($AK7&lt;4,1,0))</formula>
    </cfRule>
  </conditionalFormatting>
  <conditionalFormatting sqref="B29:D29 B199:D199 B114:D114">
    <cfRule type="expression" dxfId="5579" priority="243" stopIfTrue="1">
      <formula>IF($AK8&lt;1,1,IF($AK7&lt;5,1,0))</formula>
    </cfRule>
  </conditionalFormatting>
  <conditionalFormatting sqref="AF26 AF196 AF111">
    <cfRule type="expression" dxfId="5578" priority="242" stopIfTrue="1">
      <formula>IF($AK9&gt;2,0,1)</formula>
    </cfRule>
  </conditionalFormatting>
  <conditionalFormatting sqref="AF25 AF195 AF110">
    <cfRule type="expression" dxfId="5577" priority="241" stopIfTrue="1">
      <formula>IF($AK9&gt;1,0,1)</formula>
    </cfRule>
  </conditionalFormatting>
  <conditionalFormatting sqref="AF24 AF194 AF109">
    <cfRule type="expression" dxfId="5576" priority="240" stopIfTrue="1">
      <formula>IF($AK9&gt;0,0,1)</formula>
    </cfRule>
  </conditionalFormatting>
  <conditionalFormatting sqref="AF27 AF197 AF112">
    <cfRule type="expression" dxfId="5575" priority="239" stopIfTrue="1">
      <formula>IF($AK9&gt;3,0,1)</formula>
    </cfRule>
  </conditionalFormatting>
  <conditionalFormatting sqref="AF28 AF198 AF113">
    <cfRule type="expression" dxfId="5574" priority="238" stopIfTrue="1">
      <formula>IF($AK9&gt;4,0,1)</formula>
    </cfRule>
  </conditionalFormatting>
  <conditionalFormatting sqref="AG23 AG193 AG108">
    <cfRule type="expression" dxfId="5573" priority="237" stopIfTrue="1">
      <formula>IF($AK8&lt;1,1,0)</formula>
    </cfRule>
  </conditionalFormatting>
  <conditionalFormatting sqref="AH23 AH193 AH108">
    <cfRule type="expression" dxfId="5572" priority="236" stopIfTrue="1">
      <formula>IF($AK8&lt;2,1,0)</formula>
    </cfRule>
  </conditionalFormatting>
  <conditionalFormatting sqref="AI23 AI193 AI108">
    <cfRule type="expression" dxfId="5571" priority="235" stopIfTrue="1">
      <formula>IF($AK8&lt;3,1,0)</formula>
    </cfRule>
  </conditionalFormatting>
  <conditionalFormatting sqref="AJ23 AJ193 AJ108">
    <cfRule type="expression" dxfId="5570" priority="234" stopIfTrue="1">
      <formula>IF($AK8&lt;4,1,0)</formula>
    </cfRule>
  </conditionalFormatting>
  <conditionalFormatting sqref="AK23 AK193 AK108">
    <cfRule type="expression" dxfId="5569" priority="233" stopIfTrue="1">
      <formula>IF($AK8&lt;5,1,0)</formula>
    </cfRule>
  </conditionalFormatting>
  <conditionalFormatting sqref="AL23 AL193 AL108">
    <cfRule type="expression" dxfId="5568" priority="232" stopIfTrue="1">
      <formula>IF($AK8&lt;6,1,0)</formula>
    </cfRule>
  </conditionalFormatting>
  <conditionalFormatting sqref="AM23 AM193 AM108">
    <cfRule type="expression" dxfId="5567" priority="231" stopIfTrue="1">
      <formula>IF($AK8&lt;7,1,0)</formula>
    </cfRule>
  </conditionalFormatting>
  <conditionalFormatting sqref="AN23 AN193 AN108">
    <cfRule type="expression" dxfId="5566" priority="230" stopIfTrue="1">
      <formula>IF($AK8&lt;8,1,0)</formula>
    </cfRule>
  </conditionalFormatting>
  <conditionalFormatting sqref="AO23 AO193 AO108">
    <cfRule type="expression" dxfId="5565" priority="229" stopIfTrue="1">
      <formula>IF($AK8&lt;9,1,0)</formula>
    </cfRule>
  </conditionalFormatting>
  <conditionalFormatting sqref="AP23 AP193 AP108">
    <cfRule type="expression" dxfId="5564" priority="228" stopIfTrue="1">
      <formula>IF($AK8&lt;10,1,0)</formula>
    </cfRule>
  </conditionalFormatting>
  <conditionalFormatting sqref="AQ24 AQ194 AQ109">
    <cfRule type="expression" dxfId="5563" priority="227" stopIfTrue="1">
      <formula>IF($AK9&gt;0,0,1)</formula>
    </cfRule>
  </conditionalFormatting>
  <conditionalFormatting sqref="AQ25 AQ195 AQ110">
    <cfRule type="expression" dxfId="5562" priority="226" stopIfTrue="1">
      <formula>IF($AK9&gt;1,0,1)</formula>
    </cfRule>
  </conditionalFormatting>
  <conditionalFormatting sqref="AQ26 AQ196 AQ111 H195:J195">
    <cfRule type="expression" dxfId="5561" priority="225" stopIfTrue="1">
      <formula>IF($AK9&gt;2,0,1)</formula>
    </cfRule>
  </conditionalFormatting>
  <conditionalFormatting sqref="K195:M195">
    <cfRule type="expression" dxfId="5560" priority="224" stopIfTrue="1">
      <formula>IF($AK178&gt;3,0,1)</formula>
    </cfRule>
  </conditionalFormatting>
  <conditionalFormatting sqref="AQ28 AQ198 AQ113">
    <cfRule type="expression" dxfId="5559" priority="223" stopIfTrue="1">
      <formula>IF($AK9&gt;4,0,1)</formula>
    </cfRule>
  </conditionalFormatting>
  <conditionalFormatting sqref="E196:G196">
    <cfRule type="expression" dxfId="5558" priority="222" stopIfTrue="1">
      <formula>IF($AK178&lt;2,1,IF($AK177&lt;2,1,0))</formula>
    </cfRule>
  </conditionalFormatting>
  <conditionalFormatting sqref="E27:G27 E197:G197 E112:G112">
    <cfRule type="expression" dxfId="5557" priority="221" stopIfTrue="1">
      <formula>IF($AK8&lt;2,1,IF($AK7&lt;3,1,0))</formula>
    </cfRule>
  </conditionalFormatting>
  <conditionalFormatting sqref="E28:G28 E198:G198 E113:G113">
    <cfRule type="expression" dxfId="5556" priority="220" stopIfTrue="1">
      <formula>IF($AK8&lt;2,1,IF($AK7&lt;4,1,0))</formula>
    </cfRule>
  </conditionalFormatting>
  <conditionalFormatting sqref="E29:G29 E199:G199 E114:G114">
    <cfRule type="expression" dxfId="5555" priority="219" stopIfTrue="1">
      <formula>IF($AK8&lt;2,1,IF($AK7&lt;5,1,0))</formula>
    </cfRule>
  </conditionalFormatting>
  <conditionalFormatting sqref="N195:P195">
    <cfRule type="expression" dxfId="5554" priority="218" stopIfTrue="1">
      <formula>IF($AK178&gt;4,0,1)</formula>
    </cfRule>
  </conditionalFormatting>
  <conditionalFormatting sqref="Q195:S195">
    <cfRule type="expression" dxfId="5553" priority="217" stopIfTrue="1">
      <formula>IF($AK178&gt;5,0,1)</formula>
    </cfRule>
  </conditionalFormatting>
  <conditionalFormatting sqref="T25:V25 T195:V195 T110:V110">
    <cfRule type="expression" dxfId="5552" priority="216" stopIfTrue="1">
      <formula>IF($AK8&gt;6,0,1)</formula>
    </cfRule>
  </conditionalFormatting>
  <conditionalFormatting sqref="W25:Y25 W195:Y195 W110:Y110">
    <cfRule type="expression" dxfId="5551" priority="215" stopIfTrue="1">
      <formula>IF($AK8&gt;7,0,1)</formula>
    </cfRule>
  </conditionalFormatting>
  <conditionalFormatting sqref="Z25:AB25 Z195:AB195 Z110:AB110">
    <cfRule type="expression" dxfId="5550" priority="214" stopIfTrue="1">
      <formula>IF($AK8&gt;8,0,1)</formula>
    </cfRule>
  </conditionalFormatting>
  <conditionalFormatting sqref="AC25:AE25 AC195:AE195 AC110:AE110">
    <cfRule type="expression" dxfId="5549" priority="213" stopIfTrue="1">
      <formula>IF($AK8&gt;9,0,1)</formula>
    </cfRule>
  </conditionalFormatting>
  <conditionalFormatting sqref="H196:J196">
    <cfRule type="expression" dxfId="5548" priority="212" stopIfTrue="1">
      <formula>IF($AK178&lt;3,1,IF($AK177&lt;2,1,0))</formula>
    </cfRule>
  </conditionalFormatting>
  <conditionalFormatting sqref="K196:M196">
    <cfRule type="expression" dxfId="5547" priority="211" stopIfTrue="1">
      <formula>IF($AK178&lt;4,1,IF($AK177&lt;2,1,0))</formula>
    </cfRule>
  </conditionalFormatting>
  <conditionalFormatting sqref="N196:P196">
    <cfRule type="expression" dxfId="5546" priority="210" stopIfTrue="1">
      <formula>IF($AK178&lt;5,1,IF($AK177&lt;2,1,0))</formula>
    </cfRule>
  </conditionalFormatting>
  <conditionalFormatting sqref="Q196:S196">
    <cfRule type="expression" dxfId="5545" priority="209" stopIfTrue="1">
      <formula>IF($AK178&lt;6,1,IF($AK177&lt;2,1,0))</formula>
    </cfRule>
  </conditionalFormatting>
  <conditionalFormatting sqref="T26:V26 T196:V196 T111:V111">
    <cfRule type="expression" dxfId="5544" priority="208" stopIfTrue="1">
      <formula>IF($AK8&lt;7,1,IF($AK7&lt;2,1,0))</formula>
    </cfRule>
  </conditionalFormatting>
  <conditionalFormatting sqref="W26:Y26 W196:Y196 W111:Y111">
    <cfRule type="expression" dxfId="5543" priority="207" stopIfTrue="1">
      <formula>IF($AK8&lt;8,1,IF($AK7&lt;2,1,0))</formula>
    </cfRule>
  </conditionalFormatting>
  <conditionalFormatting sqref="Z26:AB26 Z196:AB196 Z111:AB111">
    <cfRule type="expression" dxfId="5542" priority="206" stopIfTrue="1">
      <formula>IF($AK8&lt;9,1,IF($AK7&lt;2,1,0))</formula>
    </cfRule>
  </conditionalFormatting>
  <conditionalFormatting sqref="AC26:AE26 AC196:AE196 AC111:AE111">
    <cfRule type="expression" dxfId="5541" priority="205" stopIfTrue="1">
      <formula>IF($AK8&lt;10,1,IF($AK7&lt;2,1,0))</formula>
    </cfRule>
  </conditionalFormatting>
  <conditionalFormatting sqref="H27:J27 H197:J197 H112:J112">
    <cfRule type="expression" dxfId="5540" priority="204" stopIfTrue="1">
      <formula>IF($AK8&lt;3,1,IF($AK7&lt;3,1,0))</formula>
    </cfRule>
  </conditionalFormatting>
  <conditionalFormatting sqref="K27:M27 K197:M197 K112:M112">
    <cfRule type="expression" dxfId="5539" priority="203" stopIfTrue="1">
      <formula>IF($AK8&lt;4,1,IF($AK7&lt;3,1,0))</formula>
    </cfRule>
  </conditionalFormatting>
  <conditionalFormatting sqref="N27:P27 N197:P197 N112:P112">
    <cfRule type="expression" dxfId="5538" priority="202" stopIfTrue="1">
      <formula>IF($AK8&lt;5,1,IF($AK7&lt;3,1,0))</formula>
    </cfRule>
  </conditionalFormatting>
  <conditionalFormatting sqref="Q27:S27 Q197:S197 Q112:S112">
    <cfRule type="expression" dxfId="5537" priority="201" stopIfTrue="1">
      <formula>IF($AK8&lt;6,1,IF($AK7&lt;3,1,0))</formula>
    </cfRule>
  </conditionalFormatting>
  <conditionalFormatting sqref="T27:V27 T197:V197 T112:V112">
    <cfRule type="expression" dxfId="5536" priority="200" stopIfTrue="1">
      <formula>IF($AK8&lt;7,1,IF($AK7&lt;3,1,0))</formula>
    </cfRule>
  </conditionalFormatting>
  <conditionalFormatting sqref="W27:Y27 W197:Y197 W112:Y112">
    <cfRule type="expression" dxfId="5535" priority="199" stopIfTrue="1">
      <formula>IF($AK8&lt;8,1,IF($AK7&lt;3,1,0))</formula>
    </cfRule>
  </conditionalFormatting>
  <conditionalFormatting sqref="Z27:AB27 Z197:AB197 Z112:AB112">
    <cfRule type="expression" dxfId="5534" priority="198" stopIfTrue="1">
      <formula>IF($AK8&lt;9,1,IF($AK7&lt;3,1,0))</formula>
    </cfRule>
  </conditionalFormatting>
  <conditionalFormatting sqref="AC27:AE27 AC197:AE197 AC112:AE112">
    <cfRule type="expression" dxfId="5533" priority="197" stopIfTrue="1">
      <formula>IF($AK8&lt;10,1,IF($AK7&lt;3,1,0))</formula>
    </cfRule>
  </conditionalFormatting>
  <conditionalFormatting sqref="H28:J28 H198:J198 H113:J113">
    <cfRule type="expression" dxfId="5532" priority="196" stopIfTrue="1">
      <formula>IF($AK8&lt;3,1,IF($AK7&lt;4,1,0))</formula>
    </cfRule>
  </conditionalFormatting>
  <conditionalFormatting sqref="K28:M28 K198:M198 K113:M113">
    <cfRule type="expression" dxfId="5531" priority="195" stopIfTrue="1">
      <formula>IF($AK8&lt;4,1,IF($AK7&lt;4,1,0))</formula>
    </cfRule>
  </conditionalFormatting>
  <conditionalFormatting sqref="N28:P28 N198:P198 N113:P113">
    <cfRule type="expression" dxfId="5530" priority="194" stopIfTrue="1">
      <formula>IF($AK8&lt;5,1,IF($AK7&lt;4,1,0))</formula>
    </cfRule>
  </conditionalFormatting>
  <conditionalFormatting sqref="Q28:S28 Q198:S198 Q113:S113">
    <cfRule type="expression" dxfId="5529" priority="193" stopIfTrue="1">
      <formula>IF($AK8&lt;6,1,IF($AK7&lt;4,1,0))</formula>
    </cfRule>
  </conditionalFormatting>
  <conditionalFormatting sqref="T28:V28 T198:V198 T113:V113">
    <cfRule type="expression" dxfId="5528" priority="192" stopIfTrue="1">
      <formula>IF($AK8&lt;7,1,IF($AK7&lt;4,1,0))</formula>
    </cfRule>
  </conditionalFormatting>
  <conditionalFormatting sqref="W28:Y28 W198:Y198 W113:Y113">
    <cfRule type="expression" dxfId="5527" priority="191" stopIfTrue="1">
      <formula>IF($AK8&lt;8,1,IF($AK7&lt;4,1,0))</formula>
    </cfRule>
  </conditionalFormatting>
  <conditionalFormatting sqref="Z28:AB28 Z198:AB198 Z113:AB113">
    <cfRule type="expression" dxfId="5526" priority="190" stopIfTrue="1">
      <formula>IF($AK8&lt;9,1,IF($AK7&lt;4,1,0))</formula>
    </cfRule>
  </conditionalFormatting>
  <conditionalFormatting sqref="AC28:AE28 AC198:AE198 AC113:AE113">
    <cfRule type="expression" dxfId="5525" priority="189" stopIfTrue="1">
      <formula>IF($AK8&lt;10,1,IF($AK7&lt;4,1,0))</formula>
    </cfRule>
  </conditionalFormatting>
  <conditionalFormatting sqref="H29:J29 H199:J199 H114:J114">
    <cfRule type="expression" dxfId="5524" priority="188" stopIfTrue="1">
      <formula>IF($AK8&lt;3,1,IF($AK7&lt;5,1,0))</formula>
    </cfRule>
  </conditionalFormatting>
  <conditionalFormatting sqref="K29:M29 K199:M199 K114:M114">
    <cfRule type="expression" dxfId="5523" priority="187" stopIfTrue="1">
      <formula>IF($AK8&lt;4,1,IF($AK7&lt;5,1,0))</formula>
    </cfRule>
  </conditionalFormatting>
  <conditionalFormatting sqref="N29:P29 N199:P199 N114:P114">
    <cfRule type="expression" dxfId="5522" priority="186" stopIfTrue="1">
      <formula>IF($AK8&lt;5,1,IF($AK7&lt;5,1,0))</formula>
    </cfRule>
  </conditionalFormatting>
  <conditionalFormatting sqref="Q29:S29 Q199:S199 Q114:S114">
    <cfRule type="expression" dxfId="5521" priority="185" stopIfTrue="1">
      <formula>IF($AK8&lt;6,1,IF($AK7&lt;5,1,0))</formula>
    </cfRule>
  </conditionalFormatting>
  <conditionalFormatting sqref="T29:V29 T199:V199 T114:V114">
    <cfRule type="expression" dxfId="5520" priority="184" stopIfTrue="1">
      <formula>IF($AK8&lt;7,1,IF($AK7&lt;5,1,0))</formula>
    </cfRule>
  </conditionalFormatting>
  <conditionalFormatting sqref="W29:Y29 W199:Y199 W114:Y114">
    <cfRule type="expression" dxfId="5519" priority="183" stopIfTrue="1">
      <formula>IF($AK8&lt;8,1,IF($AK7&lt;5,1,0))</formula>
    </cfRule>
  </conditionalFormatting>
  <conditionalFormatting sqref="Z29:AB29 Z199:AB199 Z114:AB114">
    <cfRule type="expression" dxfId="5518" priority="182" stopIfTrue="1">
      <formula>IF($AK8&lt;9,1,IF($AK7&lt;5,1,0))</formula>
    </cfRule>
  </conditionalFormatting>
  <conditionalFormatting sqref="AC29:AE29 AC199:AE199 AC114:AE114">
    <cfRule type="expression" dxfId="5517" priority="181" stopIfTrue="1">
      <formula>IF($AK8&lt;10,1,IF($AK7&lt;5,1,0))</formula>
    </cfRule>
  </conditionalFormatting>
  <conditionalFormatting sqref="R184:AB185 AF184:AF185 L184:P185 R14:AB15 AF14:AF15 L14:P15 R99:AB100 AF99:AF100 L99:P100 AG14 AG99 AG184">
    <cfRule type="expression" dxfId="5516" priority="180" stopIfTrue="1">
      <formula>IF($AK9&gt;3,0,1)</formula>
    </cfRule>
  </conditionalFormatting>
  <conditionalFormatting sqref="R186:AB187 AF186:AF187 L186:P187 R16:AB17 AF16:AF17 L16:P17 R101:AB102 AF101:AF102 L101:P102 AG16 AG101 AG186">
    <cfRule type="expression" dxfId="5515" priority="179" stopIfTrue="1">
      <formula>IF($AK9&gt;4,0,1)</formula>
    </cfRule>
  </conditionalFormatting>
  <conditionalFormatting sqref="R178:AB179 AF178:AF179 L178:P179 R8:AB9 AF8:AF9 L8:P9 R93:AB94 AF93:AF94 L93:P94 AG8 AG93 AG178">
    <cfRule type="expression" dxfId="5514" priority="178" stopIfTrue="1">
      <formula>IF($AK9&gt;0,0,1)</formula>
    </cfRule>
  </conditionalFormatting>
  <conditionalFormatting sqref="R180:AB181 AF180:AF181 L180:P181 R10:AB11 AF10:AF11 L10:P11 R95:AB96 AF95:AF96 L95:P96 AG10 AG95 AG180">
    <cfRule type="expression" dxfId="5513" priority="177" stopIfTrue="1">
      <formula>IF($AK9&gt;1,0,1)</formula>
    </cfRule>
  </conditionalFormatting>
  <conditionalFormatting sqref="R182:AB183 AF182:AF183 L182:P183 R12:AB13 AF12:AF13 L12:P13 R97:AB98 AF97:AF98 L97:P98 AG12 AG97 AG182">
    <cfRule type="expression" dxfId="5512" priority="176" stopIfTrue="1">
      <formula>IF($AK9&gt;2,0,1)</formula>
    </cfRule>
  </conditionalFormatting>
  <conditionalFormatting sqref="E194">
    <cfRule type="expression" dxfId="5511" priority="175" stopIfTrue="1">
      <formula>IF(AK178&gt;1,0,1)</formula>
    </cfRule>
  </conditionalFormatting>
  <conditionalFormatting sqref="H194">
    <cfRule type="expression" dxfId="5510" priority="174" stopIfTrue="1">
      <formula>IF(AK178&gt;2,0,1)</formula>
    </cfRule>
  </conditionalFormatting>
  <conditionalFormatting sqref="K194">
    <cfRule type="expression" dxfId="5509" priority="173" stopIfTrue="1">
      <formula>IF(AK178&gt;3,0,1)</formula>
    </cfRule>
  </conditionalFormatting>
  <conditionalFormatting sqref="N194">
    <cfRule type="expression" dxfId="5508" priority="172" stopIfTrue="1">
      <formula>IF(AK178&gt;4,0,1)</formula>
    </cfRule>
  </conditionalFormatting>
  <conditionalFormatting sqref="Q194">
    <cfRule type="expression" dxfId="5507" priority="171" stopIfTrue="1">
      <formula>IF(AK178&gt;5,0,1)</formula>
    </cfRule>
  </conditionalFormatting>
  <conditionalFormatting sqref="T194 T109 T24">
    <cfRule type="expression" dxfId="5506" priority="170" stopIfTrue="1">
      <formula>IF(AK8&gt;6,0,1)</formula>
    </cfRule>
  </conditionalFormatting>
  <conditionalFormatting sqref="W194 W109 W24">
    <cfRule type="expression" dxfId="5505" priority="169" stopIfTrue="1">
      <formula>IF(AK8&gt;7,0,1)</formula>
    </cfRule>
  </conditionalFormatting>
  <conditionalFormatting sqref="Z194 Z109 Z24">
    <cfRule type="expression" dxfId="5504" priority="168" stopIfTrue="1">
      <formula>IF(AK8&gt;8,0,1)</formula>
    </cfRule>
  </conditionalFormatting>
  <conditionalFormatting sqref="AC194 AC109 AC24">
    <cfRule type="expression" dxfId="5503" priority="167" stopIfTrue="1">
      <formula>IF(AK8&gt;9,0,1)</formula>
    </cfRule>
  </conditionalFormatting>
  <conditionalFormatting sqref="AQ197 AQ112 AQ27">
    <cfRule type="expression" dxfId="5502" priority="166" stopIfTrue="1">
      <formula>IF($AK9&gt;3,0,1)</formula>
    </cfRule>
  </conditionalFormatting>
  <conditionalFormatting sqref="E195:G195">
    <cfRule type="expression" dxfId="5501" priority="165" stopIfTrue="1">
      <formula>IF($AK178&gt;1,0,1)</formula>
    </cfRule>
  </conditionalFormatting>
  <conditionalFormatting sqref="B21:D21 B106:D106 B191:D191">
    <cfRule type="expression" dxfId="5500" priority="164" stopIfTrue="1">
      <formula>IF(AK8&gt;0,0,1)</formula>
    </cfRule>
  </conditionalFormatting>
  <conditionalFormatting sqref="E21:G21 E106:G106 E191:G191">
    <cfRule type="expression" dxfId="5499" priority="163" stopIfTrue="1">
      <formula>IF(AK8&gt;1,0,1)</formula>
    </cfRule>
  </conditionalFormatting>
  <conditionalFormatting sqref="H21:J21 H106:J106 H191:J191">
    <cfRule type="expression" dxfId="5498" priority="162" stopIfTrue="1">
      <formula>IF(AK8&gt;2,0,1)</formula>
    </cfRule>
  </conditionalFormatting>
  <conditionalFormatting sqref="K191:M191 K106:M106 K21:M21">
    <cfRule type="expression" dxfId="5497" priority="161" stopIfTrue="1">
      <formula>IF(AK8&gt;3,0,1)</formula>
    </cfRule>
  </conditionalFormatting>
  <conditionalFormatting sqref="N191:P191 N106:P106 N21:P21">
    <cfRule type="expression" dxfId="5496" priority="160" stopIfTrue="1">
      <formula>IF(AK8&gt;4,0,1)</formula>
    </cfRule>
  </conditionalFormatting>
  <conditionalFormatting sqref="Q191:S191 Q106:S106 Q21:S21">
    <cfRule type="expression" dxfId="5495" priority="159" stopIfTrue="1">
      <formula>IF(AK8&gt;5,0,1)</formula>
    </cfRule>
  </conditionalFormatting>
  <conditionalFormatting sqref="T191:V191 T106:V106 T21:V21">
    <cfRule type="expression" dxfId="5494" priority="158" stopIfTrue="1">
      <formula>IF(AK8&gt;6,0,1)</formula>
    </cfRule>
  </conditionalFormatting>
  <conditionalFormatting sqref="W191:Y191 W106:Y106 W21:Y21">
    <cfRule type="expression" dxfId="5493" priority="157" stopIfTrue="1">
      <formula>IF(AK8&gt;7,0,1)</formula>
    </cfRule>
  </conditionalFormatting>
  <conditionalFormatting sqref="Z191:AB191 Z106:AB106 Z21:AB21">
    <cfRule type="expression" dxfId="5492" priority="156" stopIfTrue="1">
      <formula>IF(AK8&gt;8,0,1)</formula>
    </cfRule>
  </conditionalFormatting>
  <conditionalFormatting sqref="AC191:AE191 AC106:AE106 AC21:AE21">
    <cfRule type="expression" dxfId="5491" priority="155" stopIfTrue="1">
      <formula>IF(AK8&gt;9,0,1)</formula>
    </cfRule>
  </conditionalFormatting>
  <conditionalFormatting sqref="AG194:AP198 AG24:AP28 AG109:AP113">
    <cfRule type="cellIs" dxfId="5490" priority="154" stopIfTrue="1" operator="notBetween">
      <formula>-9999</formula>
      <formula>9999</formula>
    </cfRule>
  </conditionalFormatting>
  <conditionalFormatting sqref="AC92 AC177 AC7">
    <cfRule type="expression" dxfId="5489" priority="153" stopIfTrue="1">
      <formula>IF($AK$11=0,1,0)</formula>
    </cfRule>
  </conditionalFormatting>
  <conditionalFormatting sqref="B18">
    <cfRule type="expression" dxfId="5488" priority="152" stopIfTrue="1">
      <formula>IF($AK$9&gt;0,0,1)</formula>
    </cfRule>
  </conditionalFormatting>
  <conditionalFormatting sqref="B192:D193">
    <cfRule type="cellIs" dxfId="5487" priority="151" stopIfTrue="1" operator="equal">
      <formula>99</formula>
    </cfRule>
  </conditionalFormatting>
  <conditionalFormatting sqref="B20:D20">
    <cfRule type="expression" dxfId="5486" priority="150" stopIfTrue="1">
      <formula>IF(AK8&gt;0,0,1)</formula>
    </cfRule>
  </conditionalFormatting>
  <conditionalFormatting sqref="E20:G20">
    <cfRule type="expression" dxfId="5485" priority="149" stopIfTrue="1">
      <formula>IF(AK8&gt;1,0,1)</formula>
    </cfRule>
  </conditionalFormatting>
  <conditionalFormatting sqref="H20:J20">
    <cfRule type="expression" dxfId="5484" priority="148" stopIfTrue="1">
      <formula>IF(AK8&gt;2,0,1)</formula>
    </cfRule>
  </conditionalFormatting>
  <conditionalFormatting sqref="B21:D21">
    <cfRule type="expression" dxfId="5483" priority="147" stopIfTrue="1">
      <formula>IF(AK8&gt;0,0,1)</formula>
    </cfRule>
  </conditionalFormatting>
  <conditionalFormatting sqref="E21:G21">
    <cfRule type="expression" dxfId="5482" priority="146" stopIfTrue="1">
      <formula>IF(AK8&gt;1,0,1)</formula>
    </cfRule>
  </conditionalFormatting>
  <conditionalFormatting sqref="H21:J21">
    <cfRule type="expression" dxfId="5481" priority="145" stopIfTrue="1">
      <formula>IF(AK8&gt;2,0,1)</formula>
    </cfRule>
  </conditionalFormatting>
  <conditionalFormatting sqref="B105:D105">
    <cfRule type="expression" dxfId="5480" priority="144" stopIfTrue="1">
      <formula>IF(AK93&gt;0,0,1)</formula>
    </cfRule>
  </conditionalFormatting>
  <conditionalFormatting sqref="E105:G105">
    <cfRule type="expression" dxfId="5479" priority="143" stopIfTrue="1">
      <formula>IF(AK93&gt;1,0,1)</formula>
    </cfRule>
  </conditionalFormatting>
  <conditionalFormatting sqref="H105:J105">
    <cfRule type="expression" dxfId="5478" priority="142" stopIfTrue="1">
      <formula>IF(AK93&gt;2,0,1)</formula>
    </cfRule>
  </conditionalFormatting>
  <conditionalFormatting sqref="B106:D106">
    <cfRule type="expression" dxfId="5477" priority="141" stopIfTrue="1">
      <formula>IF(AK93&gt;0,0,1)</formula>
    </cfRule>
  </conditionalFormatting>
  <conditionalFormatting sqref="E106:G106">
    <cfRule type="expression" dxfId="5476" priority="140" stopIfTrue="1">
      <formula>IF(AK93&gt;1,0,1)</formula>
    </cfRule>
  </conditionalFormatting>
  <conditionalFormatting sqref="H106:J106">
    <cfRule type="expression" dxfId="5475" priority="139" stopIfTrue="1">
      <formula>IF(AK93&gt;2,0,1)</formula>
    </cfRule>
  </conditionalFormatting>
  <conditionalFormatting sqref="B190:D190">
    <cfRule type="expression" dxfId="5474" priority="138" stopIfTrue="1">
      <formula>IF(AK178&gt;0,0,1)</formula>
    </cfRule>
  </conditionalFormatting>
  <conditionalFormatting sqref="E190:G190">
    <cfRule type="expression" dxfId="5473" priority="137" stopIfTrue="1">
      <formula>IF(AK178&gt;1,0,1)</formula>
    </cfRule>
  </conditionalFormatting>
  <conditionalFormatting sqref="H190:J190">
    <cfRule type="expression" dxfId="5472" priority="136" stopIfTrue="1">
      <formula>IF(AK178&gt;2,0,1)</formula>
    </cfRule>
  </conditionalFormatting>
  <conditionalFormatting sqref="E192:G192">
    <cfRule type="expression" dxfId="5471" priority="135" stopIfTrue="1">
      <formula>IF(AK178&gt;1,0,1)</formula>
    </cfRule>
  </conditionalFormatting>
  <conditionalFormatting sqref="H192:J192">
    <cfRule type="expression" dxfId="5470" priority="134" stopIfTrue="1">
      <formula>IF(AK178&gt;2,0,1)</formula>
    </cfRule>
  </conditionalFormatting>
  <conditionalFormatting sqref="B194">
    <cfRule type="expression" dxfId="5469" priority="133" stopIfTrue="1">
      <formula>IF(AK178&gt;0,0,1)</formula>
    </cfRule>
  </conditionalFormatting>
  <conditionalFormatting sqref="C194">
    <cfRule type="expression" dxfId="5468" priority="132" stopIfTrue="1">
      <formula>IF(AK178&gt;0,0,1)</formula>
    </cfRule>
  </conditionalFormatting>
  <conditionalFormatting sqref="D194">
    <cfRule type="expression" dxfId="5467" priority="131" stopIfTrue="1">
      <formula>IF(AK178&gt;0,0,1)</formula>
    </cfRule>
  </conditionalFormatting>
  <conditionalFormatting sqref="E193:G193">
    <cfRule type="expression" dxfId="5466" priority="130" stopIfTrue="1">
      <formula>IF(AK178&gt;1,0,1)</formula>
    </cfRule>
  </conditionalFormatting>
  <conditionalFormatting sqref="F194">
    <cfRule type="expression" dxfId="5465" priority="129" stopIfTrue="1">
      <formula>IF(AK178&gt;1,0,1)</formula>
    </cfRule>
  </conditionalFormatting>
  <conditionalFormatting sqref="G194">
    <cfRule type="expression" dxfId="5464" priority="128" stopIfTrue="1">
      <formula>IF(AK178&gt;1,0,1)</formula>
    </cfRule>
  </conditionalFormatting>
  <conditionalFormatting sqref="H193:J193">
    <cfRule type="expression" dxfId="5463" priority="127" stopIfTrue="1">
      <formula>IF(AK178&gt;2,0,1)</formula>
    </cfRule>
  </conditionalFormatting>
  <conditionalFormatting sqref="I194">
    <cfRule type="expression" dxfId="5462" priority="126" stopIfTrue="1">
      <formula>IF(AK178&gt;2,0,1)</formula>
    </cfRule>
  </conditionalFormatting>
  <conditionalFormatting sqref="J194">
    <cfRule type="expression" dxfId="5461" priority="125" stopIfTrue="1">
      <formula>IF(AK178&gt;2,0,1)</formula>
    </cfRule>
  </conditionalFormatting>
  <conditionalFormatting sqref="B195:D195">
    <cfRule type="expression" dxfId="5460" priority="124" stopIfTrue="1">
      <formula>IF($AK178&gt;0,0,1)</formula>
    </cfRule>
  </conditionalFormatting>
  <conditionalFormatting sqref="H195:J195">
    <cfRule type="expression" dxfId="5459" priority="123" stopIfTrue="1">
      <formula>IF($AK178&gt;2,0,1)</formula>
    </cfRule>
  </conditionalFormatting>
  <conditionalFormatting sqref="E194">
    <cfRule type="expression" dxfId="5458" priority="122" stopIfTrue="1">
      <formula>IF(AK178&gt;1,0,1)</formula>
    </cfRule>
  </conditionalFormatting>
  <conditionalFormatting sqref="H194">
    <cfRule type="expression" dxfId="5457" priority="121" stopIfTrue="1">
      <formula>IF(AK178&gt;2,0,1)</formula>
    </cfRule>
  </conditionalFormatting>
  <conditionalFormatting sqref="E195:G195">
    <cfRule type="expression" dxfId="5456" priority="120" stopIfTrue="1">
      <formula>IF($AK178&gt;1,0,1)</formula>
    </cfRule>
  </conditionalFormatting>
  <conditionalFormatting sqref="B191:D191">
    <cfRule type="expression" dxfId="5455" priority="119" stopIfTrue="1">
      <formula>IF(AK178&gt;0,0,1)</formula>
    </cfRule>
  </conditionalFormatting>
  <conditionalFormatting sqref="E191:G191">
    <cfRule type="expression" dxfId="5454" priority="118" stopIfTrue="1">
      <formula>IF(AK178&gt;1,0,1)</formula>
    </cfRule>
  </conditionalFormatting>
  <conditionalFormatting sqref="H191:J191">
    <cfRule type="expression" dxfId="5453" priority="117" stopIfTrue="1">
      <formula>IF(AK178&gt;2,0,1)</formula>
    </cfRule>
  </conditionalFormatting>
  <conditionalFormatting sqref="B103">
    <cfRule type="expression" dxfId="5452" priority="116" stopIfTrue="1">
      <formula>IF($AK$9&gt;0,0,1)</formula>
    </cfRule>
  </conditionalFormatting>
  <conditionalFormatting sqref="B188">
    <cfRule type="expression" dxfId="5451" priority="115" stopIfTrue="1">
      <formula>IF($AK$9&gt;0,0,1)</formula>
    </cfRule>
  </conditionalFormatting>
  <conditionalFormatting sqref="B104:D104">
    <cfRule type="expression" dxfId="5450" priority="108" stopIfTrue="1">
      <formula>IF(AK93&gt;0,0,1)</formula>
    </cfRule>
  </conditionalFormatting>
  <conditionalFormatting sqref="E104:G104">
    <cfRule type="expression" dxfId="5449" priority="107" stopIfTrue="1">
      <formula>IF(AK93&gt;1,0,1)</formula>
    </cfRule>
  </conditionalFormatting>
  <conditionalFormatting sqref="H104:J104">
    <cfRule type="expression" dxfId="5448" priority="106" stopIfTrue="1">
      <formula>IF(AK93&gt;2,0,1)</formula>
    </cfRule>
  </conditionalFormatting>
  <conditionalFormatting sqref="B104:D104">
    <cfRule type="expression" dxfId="5447" priority="105" stopIfTrue="1">
      <formula>IF(AK93&gt;0,0,1)</formula>
    </cfRule>
  </conditionalFormatting>
  <conditionalFormatting sqref="E104:G104">
    <cfRule type="expression" dxfId="5446" priority="104" stopIfTrue="1">
      <formula>IF(AK93&gt;1,0,1)</formula>
    </cfRule>
  </conditionalFormatting>
  <conditionalFormatting sqref="H104:J104">
    <cfRule type="expression" dxfId="5445" priority="103" stopIfTrue="1">
      <formula>IF(AK93&gt;2,0,1)</formula>
    </cfRule>
  </conditionalFormatting>
  <conditionalFormatting sqref="B19:D19">
    <cfRule type="expression" dxfId="5444" priority="114" stopIfTrue="1">
      <formula>IF(AK8&gt;0,0,1)</formula>
    </cfRule>
  </conditionalFormatting>
  <conditionalFormatting sqref="E19:G19">
    <cfRule type="expression" dxfId="5443" priority="113" stopIfTrue="1">
      <formula>IF(AK8&gt;1,0,1)</formula>
    </cfRule>
  </conditionalFormatting>
  <conditionalFormatting sqref="H19:J19">
    <cfRule type="expression" dxfId="5442" priority="112" stopIfTrue="1">
      <formula>IF(AK8&gt;2,0,1)</formula>
    </cfRule>
  </conditionalFormatting>
  <conditionalFormatting sqref="B19:D19">
    <cfRule type="expression" dxfId="5441" priority="111" stopIfTrue="1">
      <formula>IF(AK8&gt;0,0,1)</formula>
    </cfRule>
  </conditionalFormatting>
  <conditionalFormatting sqref="E19:G19">
    <cfRule type="expression" dxfId="5440" priority="110" stopIfTrue="1">
      <formula>IF(AK8&gt;1,0,1)</formula>
    </cfRule>
  </conditionalFormatting>
  <conditionalFormatting sqref="H19:J19">
    <cfRule type="expression" dxfId="5439" priority="109" stopIfTrue="1">
      <formula>IF(AK8&gt;2,0,1)</formula>
    </cfRule>
  </conditionalFormatting>
  <conditionalFormatting sqref="B189:D189">
    <cfRule type="expression" dxfId="5438" priority="102" stopIfTrue="1">
      <formula>IF(AK178&gt;0,0,1)</formula>
    </cfRule>
  </conditionalFormatting>
  <conditionalFormatting sqref="E189:G189">
    <cfRule type="expression" dxfId="5437" priority="101" stopIfTrue="1">
      <formula>IF(AK178&gt;1,0,1)</formula>
    </cfRule>
  </conditionalFormatting>
  <conditionalFormatting sqref="H189:J189">
    <cfRule type="expression" dxfId="5436" priority="100" stopIfTrue="1">
      <formula>IF(AK178&gt;2,0,1)</formula>
    </cfRule>
  </conditionalFormatting>
  <conditionalFormatting sqref="B189:D189">
    <cfRule type="expression" dxfId="5435" priority="99" stopIfTrue="1">
      <formula>IF(AK178&gt;0,0,1)</formula>
    </cfRule>
  </conditionalFormatting>
  <conditionalFormatting sqref="E189:G189">
    <cfRule type="expression" dxfId="5434" priority="98" stopIfTrue="1">
      <formula>IF(AK178&gt;1,0,1)</formula>
    </cfRule>
  </conditionalFormatting>
  <conditionalFormatting sqref="H189:J189">
    <cfRule type="expression" dxfId="5433" priority="97" stopIfTrue="1">
      <formula>IF(AK178&gt;2,0,1)</formula>
    </cfRule>
  </conditionalFormatting>
  <conditionalFormatting sqref="E8">
    <cfRule type="expression" dxfId="5432" priority="96" stopIfTrue="1">
      <formula>IF(AK9&gt;0,0,1)</formula>
    </cfRule>
  </conditionalFormatting>
  <conditionalFormatting sqref="E9">
    <cfRule type="expression" dxfId="5431" priority="95" stopIfTrue="1">
      <formula>IF(AK9&gt;0,0,1)</formula>
    </cfRule>
  </conditionalFormatting>
  <conditionalFormatting sqref="E10">
    <cfRule type="expression" dxfId="5430" priority="94" stopIfTrue="1">
      <formula>IF(AK9&gt;1,0,1)</formula>
    </cfRule>
  </conditionalFormatting>
  <conditionalFormatting sqref="E11">
    <cfRule type="expression" dxfId="5429" priority="93" stopIfTrue="1">
      <formula>IF(AK9&gt;1,0,1)</formula>
    </cfRule>
  </conditionalFormatting>
  <conditionalFormatting sqref="E12">
    <cfRule type="expression" dxfId="5428" priority="92" stopIfTrue="1">
      <formula>IF(AK9&gt;2,0,1)</formula>
    </cfRule>
  </conditionalFormatting>
  <conditionalFormatting sqref="E13">
    <cfRule type="expression" dxfId="5427" priority="91" stopIfTrue="1">
      <formula>IF(AK9&gt;2,0,1)</formula>
    </cfRule>
  </conditionalFormatting>
  <conditionalFormatting sqref="E14">
    <cfRule type="expression" dxfId="5426" priority="90" stopIfTrue="1">
      <formula>IF(AK9&gt;3,0,1)</formula>
    </cfRule>
  </conditionalFormatting>
  <conditionalFormatting sqref="E15">
    <cfRule type="expression" dxfId="5425" priority="89" stopIfTrue="1">
      <formula>IF(AK9&gt;3,0,1)</formula>
    </cfRule>
  </conditionalFormatting>
  <conditionalFormatting sqref="E93">
    <cfRule type="expression" dxfId="5424" priority="88" stopIfTrue="1">
      <formula>IF(AK94&gt;0,0,1)</formula>
    </cfRule>
  </conditionalFormatting>
  <conditionalFormatting sqref="E94">
    <cfRule type="expression" dxfId="5423" priority="87" stopIfTrue="1">
      <formula>IF(AK94&gt;0,0,1)</formula>
    </cfRule>
  </conditionalFormatting>
  <conditionalFormatting sqref="E95">
    <cfRule type="expression" dxfId="5422" priority="86" stopIfTrue="1">
      <formula>IF(AK94&gt;1,0,1)</formula>
    </cfRule>
  </conditionalFormatting>
  <conditionalFormatting sqref="E96">
    <cfRule type="expression" dxfId="5421" priority="85" stopIfTrue="1">
      <formula>IF(AK94&gt;1,0,1)</formula>
    </cfRule>
  </conditionalFormatting>
  <conditionalFormatting sqref="E97">
    <cfRule type="expression" dxfId="5420" priority="84" stopIfTrue="1">
      <formula>IF(AK94&gt;2,0,1)</formula>
    </cfRule>
  </conditionalFormatting>
  <conditionalFormatting sqref="E98">
    <cfRule type="expression" dxfId="5419" priority="83" stopIfTrue="1">
      <formula>IF(AK94&gt;2,0,1)</formula>
    </cfRule>
  </conditionalFormatting>
  <conditionalFormatting sqref="E22:G22">
    <cfRule type="expression" dxfId="5418" priority="82" stopIfTrue="1">
      <formula>IF(AK8&gt;1,0,1)</formula>
    </cfRule>
  </conditionalFormatting>
  <conditionalFormatting sqref="H22:J22">
    <cfRule type="expression" dxfId="5417" priority="81" stopIfTrue="1">
      <formula>IF(AK8&gt;2,0,1)</formula>
    </cfRule>
  </conditionalFormatting>
  <conditionalFormatting sqref="K22:M22">
    <cfRule type="expression" dxfId="5416" priority="80" stopIfTrue="1">
      <formula>IF(AK8&gt;3,0,1)</formula>
    </cfRule>
  </conditionalFormatting>
  <conditionalFormatting sqref="N22:P22">
    <cfRule type="expression" dxfId="5415" priority="79" stopIfTrue="1">
      <formula>IF(AK8&gt;4,0,1)</formula>
    </cfRule>
  </conditionalFormatting>
  <conditionalFormatting sqref="Q22:S22">
    <cfRule type="expression" dxfId="5414" priority="78" stopIfTrue="1">
      <formula>IF(AK8&gt;5,0,1)</formula>
    </cfRule>
  </conditionalFormatting>
  <conditionalFormatting sqref="B24">
    <cfRule type="expression" dxfId="5413" priority="77" stopIfTrue="1">
      <formula>IF(AK8&gt;0,0,1)</formula>
    </cfRule>
  </conditionalFormatting>
  <conditionalFormatting sqref="C24">
    <cfRule type="expression" dxfId="5412" priority="76" stopIfTrue="1">
      <formula>IF(AK8&gt;0,0,1)</formula>
    </cfRule>
  </conditionalFormatting>
  <conditionalFormatting sqref="D24">
    <cfRule type="expression" dxfId="5411" priority="75" stopIfTrue="1">
      <formula>IF(AK8&gt;0,0,1)</formula>
    </cfRule>
  </conditionalFormatting>
  <conditionalFormatting sqref="E23:G23">
    <cfRule type="expression" dxfId="5410" priority="74" stopIfTrue="1">
      <formula>IF(AK8&gt;1,0,1)</formula>
    </cfRule>
  </conditionalFormatting>
  <conditionalFormatting sqref="F24">
    <cfRule type="expression" dxfId="5409" priority="73" stopIfTrue="1">
      <formula>IF(AK8&gt;1,0,1)</formula>
    </cfRule>
  </conditionalFormatting>
  <conditionalFormatting sqref="G24">
    <cfRule type="expression" dxfId="5408" priority="72" stopIfTrue="1">
      <formula>IF(AK8&gt;1,0,1)</formula>
    </cfRule>
  </conditionalFormatting>
  <conditionalFormatting sqref="H23:J23">
    <cfRule type="expression" dxfId="5407" priority="71" stopIfTrue="1">
      <formula>IF(AK8&gt;2,0,1)</formula>
    </cfRule>
  </conditionalFormatting>
  <conditionalFormatting sqref="I24">
    <cfRule type="expression" dxfId="5406" priority="70" stopIfTrue="1">
      <formula>IF(AK8&gt;2,0,1)</formula>
    </cfRule>
  </conditionalFormatting>
  <conditionalFormatting sqref="J24">
    <cfRule type="expression" dxfId="5405" priority="69" stopIfTrue="1">
      <formula>IF(AK8&gt;2,0,1)</formula>
    </cfRule>
  </conditionalFormatting>
  <conditionalFormatting sqref="K23:M23">
    <cfRule type="expression" dxfId="5404" priority="68" stopIfTrue="1">
      <formula>IF(AK8&gt;3,0,1)</formula>
    </cfRule>
  </conditionalFormatting>
  <conditionalFormatting sqref="L24">
    <cfRule type="expression" dxfId="5403" priority="67" stopIfTrue="1">
      <formula>IF(AK8&gt;3,0,1)</formula>
    </cfRule>
  </conditionalFormatting>
  <conditionalFormatting sqref="M24">
    <cfRule type="expression" dxfId="5402" priority="66" stopIfTrue="1">
      <formula>IF(AK8&gt;3,0,1)</formula>
    </cfRule>
  </conditionalFormatting>
  <conditionalFormatting sqref="N23:P23">
    <cfRule type="expression" dxfId="5401" priority="65" stopIfTrue="1">
      <formula>IF(AK8&gt;4,0,1)</formula>
    </cfRule>
  </conditionalFormatting>
  <conditionalFormatting sqref="O24">
    <cfRule type="expression" dxfId="5400" priority="64" stopIfTrue="1">
      <formula>IF(AK8&gt;4,0,1)</formula>
    </cfRule>
  </conditionalFormatting>
  <conditionalFormatting sqref="P24">
    <cfRule type="expression" dxfId="5399" priority="63" stopIfTrue="1">
      <formula>IF(AK8&gt;4,0,1)</formula>
    </cfRule>
  </conditionalFormatting>
  <conditionalFormatting sqref="Q23:S23">
    <cfRule type="expression" dxfId="5398" priority="62" stopIfTrue="1">
      <formula>IF(AK8&gt;5,0,1)</formula>
    </cfRule>
  </conditionalFormatting>
  <conditionalFormatting sqref="R24">
    <cfRule type="expression" dxfId="5397" priority="61" stopIfTrue="1">
      <formula>IF(AK8&gt;5,0,1)</formula>
    </cfRule>
  </conditionalFormatting>
  <conditionalFormatting sqref="S24">
    <cfRule type="expression" dxfId="5396" priority="60" stopIfTrue="1">
      <formula>IF(AK8&gt;5,0,1)</formula>
    </cfRule>
  </conditionalFormatting>
  <conditionalFormatting sqref="B25:D25">
    <cfRule type="expression" dxfId="5395" priority="59" stopIfTrue="1">
      <formula>IF($AK8&gt;0,0,1)</formula>
    </cfRule>
  </conditionalFormatting>
  <conditionalFormatting sqref="B26:D26">
    <cfRule type="expression" dxfId="5394" priority="58" stopIfTrue="1">
      <formula>IF($AK8&lt;1,1,IF($AK7&lt;2,1,0))</formula>
    </cfRule>
  </conditionalFormatting>
  <conditionalFormatting sqref="H25:J25">
    <cfRule type="expression" dxfId="5393" priority="57" stopIfTrue="1">
      <formula>IF($AK8&gt;2,0,1)</formula>
    </cfRule>
  </conditionalFormatting>
  <conditionalFormatting sqref="K25:M25">
    <cfRule type="expression" dxfId="5392" priority="56" stopIfTrue="1">
      <formula>IF($AK8&gt;3,0,1)</formula>
    </cfRule>
  </conditionalFormatting>
  <conditionalFormatting sqref="E26:G26">
    <cfRule type="expression" dxfId="5391" priority="55" stopIfTrue="1">
      <formula>IF($AK8&lt;2,1,IF($AK7&lt;2,1,0))</formula>
    </cfRule>
  </conditionalFormatting>
  <conditionalFormatting sqref="N25:P25">
    <cfRule type="expression" dxfId="5390" priority="54" stopIfTrue="1">
      <formula>IF($AK8&gt;4,0,1)</formula>
    </cfRule>
  </conditionalFormatting>
  <conditionalFormatting sqref="Q25:S25">
    <cfRule type="expression" dxfId="5389" priority="53" stopIfTrue="1">
      <formula>IF($AK8&gt;5,0,1)</formula>
    </cfRule>
  </conditionalFormatting>
  <conditionalFormatting sqref="H26:J26">
    <cfRule type="expression" dxfId="5388" priority="52" stopIfTrue="1">
      <formula>IF($AK8&lt;3,1,IF($AK7&lt;2,1,0))</formula>
    </cfRule>
  </conditionalFormatting>
  <conditionalFormatting sqref="K26:M26">
    <cfRule type="expression" dxfId="5387" priority="51" stopIfTrue="1">
      <formula>IF($AK8&lt;4,1,IF($AK7&lt;2,1,0))</formula>
    </cfRule>
  </conditionalFormatting>
  <conditionalFormatting sqref="N26:P26">
    <cfRule type="expression" dxfId="5386" priority="50" stopIfTrue="1">
      <formula>IF($AK8&lt;5,1,IF($AK7&lt;2,1,0))</formula>
    </cfRule>
  </conditionalFormatting>
  <conditionalFormatting sqref="Q26:S26">
    <cfRule type="expression" dxfId="5385" priority="49" stopIfTrue="1">
      <formula>IF($AK8&lt;6,1,IF($AK7&lt;2,1,0))</formula>
    </cfRule>
  </conditionalFormatting>
  <conditionalFormatting sqref="E24">
    <cfRule type="expression" dxfId="5384" priority="48" stopIfTrue="1">
      <formula>IF(AK8&gt;1,0,1)</formula>
    </cfRule>
  </conditionalFormatting>
  <conditionalFormatting sqref="H24">
    <cfRule type="expression" dxfId="5383" priority="47" stopIfTrue="1">
      <formula>IF(AK8&gt;2,0,1)</formula>
    </cfRule>
  </conditionalFormatting>
  <conditionalFormatting sqref="K24">
    <cfRule type="expression" dxfId="5382" priority="46" stopIfTrue="1">
      <formula>IF(AK8&gt;3,0,1)</formula>
    </cfRule>
  </conditionalFormatting>
  <conditionalFormatting sqref="N24">
    <cfRule type="expression" dxfId="5381" priority="45" stopIfTrue="1">
      <formula>IF(AK8&gt;4,0,1)</formula>
    </cfRule>
  </conditionalFormatting>
  <conditionalFormatting sqref="Q24">
    <cfRule type="expression" dxfId="5380" priority="44" stopIfTrue="1">
      <formula>IF(AK8&gt;5,0,1)</formula>
    </cfRule>
  </conditionalFormatting>
  <conditionalFormatting sqref="E25:G25">
    <cfRule type="expression" dxfId="5379" priority="43" stopIfTrue="1">
      <formula>IF($AK8&gt;1,0,1)</formula>
    </cfRule>
  </conditionalFormatting>
  <conditionalFormatting sqref="B22:D23">
    <cfRule type="cellIs" dxfId="5378" priority="42" stopIfTrue="1" operator="equal">
      <formula>99</formula>
    </cfRule>
  </conditionalFormatting>
  <conditionalFormatting sqref="E107:G107">
    <cfRule type="expression" dxfId="5377" priority="41" stopIfTrue="1">
      <formula>IF(AK93&gt;1,0,1)</formula>
    </cfRule>
  </conditionalFormatting>
  <conditionalFormatting sqref="H107:J107">
    <cfRule type="expression" dxfId="5376" priority="40" stopIfTrue="1">
      <formula>IF(AK93&gt;2,0,1)</formula>
    </cfRule>
  </conditionalFormatting>
  <conditionalFormatting sqref="K107:M107">
    <cfRule type="expression" dxfId="5375" priority="39" stopIfTrue="1">
      <formula>IF(AK93&gt;3,0,1)</formula>
    </cfRule>
  </conditionalFormatting>
  <conditionalFormatting sqref="N107:P107">
    <cfRule type="expression" dxfId="5374" priority="38" stopIfTrue="1">
      <formula>IF(AK93&gt;4,0,1)</formula>
    </cfRule>
  </conditionalFormatting>
  <conditionalFormatting sqref="Q107:S107">
    <cfRule type="expression" dxfId="5373" priority="37" stopIfTrue="1">
      <formula>IF(AK93&gt;5,0,1)</formula>
    </cfRule>
  </conditionalFormatting>
  <conditionalFormatting sqref="B109">
    <cfRule type="expression" dxfId="5372" priority="36" stopIfTrue="1">
      <formula>IF(AK93&gt;0,0,1)</formula>
    </cfRule>
  </conditionalFormatting>
  <conditionalFormatting sqref="C109">
    <cfRule type="expression" dxfId="5371" priority="35" stopIfTrue="1">
      <formula>IF(AK93&gt;0,0,1)</formula>
    </cfRule>
  </conditionalFormatting>
  <conditionalFormatting sqref="D109">
    <cfRule type="expression" dxfId="5370" priority="34" stopIfTrue="1">
      <formula>IF(AK93&gt;0,0,1)</formula>
    </cfRule>
  </conditionalFormatting>
  <conditionalFormatting sqref="E108:G108">
    <cfRule type="expression" dxfId="5369" priority="33" stopIfTrue="1">
      <formula>IF(AK93&gt;1,0,1)</formula>
    </cfRule>
  </conditionalFormatting>
  <conditionalFormatting sqref="F109">
    <cfRule type="expression" dxfId="5368" priority="32" stopIfTrue="1">
      <formula>IF(AK93&gt;1,0,1)</formula>
    </cfRule>
  </conditionalFormatting>
  <conditionalFormatting sqref="G109">
    <cfRule type="expression" dxfId="5367" priority="31" stopIfTrue="1">
      <formula>IF(AK93&gt;1,0,1)</formula>
    </cfRule>
  </conditionalFormatting>
  <conditionalFormatting sqref="H108:J108">
    <cfRule type="expression" dxfId="5366" priority="30" stopIfTrue="1">
      <formula>IF(AK93&gt;2,0,1)</formula>
    </cfRule>
  </conditionalFormatting>
  <conditionalFormatting sqref="I109">
    <cfRule type="expression" dxfId="5365" priority="29" stopIfTrue="1">
      <formula>IF(AK93&gt;2,0,1)</formula>
    </cfRule>
  </conditionalFormatting>
  <conditionalFormatting sqref="J109">
    <cfRule type="expression" dxfId="5364" priority="28" stopIfTrue="1">
      <formula>IF(AK93&gt;2,0,1)</formula>
    </cfRule>
  </conditionalFormatting>
  <conditionalFormatting sqref="K108:M108">
    <cfRule type="expression" dxfId="5363" priority="27" stopIfTrue="1">
      <formula>IF(AK93&gt;3,0,1)</formula>
    </cfRule>
  </conditionalFormatting>
  <conditionalFormatting sqref="L109">
    <cfRule type="expression" dxfId="5362" priority="26" stopIfTrue="1">
      <formula>IF(AK93&gt;3,0,1)</formula>
    </cfRule>
  </conditionalFormatting>
  <conditionalFormatting sqref="M109">
    <cfRule type="expression" dxfId="5361" priority="25" stopIfTrue="1">
      <formula>IF(AK93&gt;3,0,1)</formula>
    </cfRule>
  </conditionalFormatting>
  <conditionalFormatting sqref="N108:P108">
    <cfRule type="expression" dxfId="5360" priority="24" stopIfTrue="1">
      <formula>IF(AK93&gt;4,0,1)</formula>
    </cfRule>
  </conditionalFormatting>
  <conditionalFormatting sqref="O109">
    <cfRule type="expression" dxfId="5359" priority="23" stopIfTrue="1">
      <formula>IF(AK93&gt;4,0,1)</formula>
    </cfRule>
  </conditionalFormatting>
  <conditionalFormatting sqref="P109">
    <cfRule type="expression" dxfId="5358" priority="22" stopIfTrue="1">
      <formula>IF(AK93&gt;4,0,1)</formula>
    </cfRule>
  </conditionalFormatting>
  <conditionalFormatting sqref="Q108:S108">
    <cfRule type="expression" dxfId="5357" priority="21" stopIfTrue="1">
      <formula>IF(AK93&gt;5,0,1)</formula>
    </cfRule>
  </conditionalFormatting>
  <conditionalFormatting sqref="R109">
    <cfRule type="expression" dxfId="5356" priority="20" stopIfTrue="1">
      <formula>IF(AK93&gt;5,0,1)</formula>
    </cfRule>
  </conditionalFormatting>
  <conditionalFormatting sqref="S109">
    <cfRule type="expression" dxfId="5355" priority="19" stopIfTrue="1">
      <formula>IF(AK93&gt;5,0,1)</formula>
    </cfRule>
  </conditionalFormatting>
  <conditionalFormatting sqref="B110:D110">
    <cfRule type="expression" dxfId="5354" priority="18" stopIfTrue="1">
      <formula>IF($AK93&gt;0,0,1)</formula>
    </cfRule>
  </conditionalFormatting>
  <conditionalFormatting sqref="B111:D111">
    <cfRule type="expression" dxfId="5353" priority="17" stopIfTrue="1">
      <formula>IF($AK93&lt;1,1,IF($AK92&lt;2,1,0))</formula>
    </cfRule>
  </conditionalFormatting>
  <conditionalFormatting sqref="H110:J110">
    <cfRule type="expression" dxfId="5352" priority="16" stopIfTrue="1">
      <formula>IF($AK93&gt;2,0,1)</formula>
    </cfRule>
  </conditionalFormatting>
  <conditionalFormatting sqref="K110:M110">
    <cfRule type="expression" dxfId="5351" priority="15" stopIfTrue="1">
      <formula>IF($AK93&gt;3,0,1)</formula>
    </cfRule>
  </conditionalFormatting>
  <conditionalFormatting sqref="E111:G111">
    <cfRule type="expression" dxfId="5350" priority="14" stopIfTrue="1">
      <formula>IF($AK93&lt;2,1,IF($AK92&lt;2,1,0))</formula>
    </cfRule>
  </conditionalFormatting>
  <conditionalFormatting sqref="N110:P110">
    <cfRule type="expression" dxfId="5349" priority="13" stopIfTrue="1">
      <formula>IF($AK93&gt;4,0,1)</formula>
    </cfRule>
  </conditionalFormatting>
  <conditionalFormatting sqref="Q110:S110">
    <cfRule type="expression" dxfId="5348" priority="12" stopIfTrue="1">
      <formula>IF($AK93&gt;5,0,1)</formula>
    </cfRule>
  </conditionalFormatting>
  <conditionalFormatting sqref="H111:J111">
    <cfRule type="expression" dxfId="5347" priority="11" stopIfTrue="1">
      <formula>IF($AK93&lt;3,1,IF($AK92&lt;2,1,0))</formula>
    </cfRule>
  </conditionalFormatting>
  <conditionalFormatting sqref="K111:M111">
    <cfRule type="expression" dxfId="5346" priority="10" stopIfTrue="1">
      <formula>IF($AK93&lt;4,1,IF($AK92&lt;2,1,0))</formula>
    </cfRule>
  </conditionalFormatting>
  <conditionalFormatting sqref="N111:P111">
    <cfRule type="expression" dxfId="5345" priority="9" stopIfTrue="1">
      <formula>IF($AK93&lt;5,1,IF($AK92&lt;2,1,0))</formula>
    </cfRule>
  </conditionalFormatting>
  <conditionalFormatting sqref="Q111:S111">
    <cfRule type="expression" dxfId="5344" priority="8" stopIfTrue="1">
      <formula>IF($AK93&lt;6,1,IF($AK92&lt;2,1,0))</formula>
    </cfRule>
  </conditionalFormatting>
  <conditionalFormatting sqref="E109">
    <cfRule type="expression" dxfId="5343" priority="7" stopIfTrue="1">
      <formula>IF(AK93&gt;1,0,1)</formula>
    </cfRule>
  </conditionalFormatting>
  <conditionalFormatting sqref="H109">
    <cfRule type="expression" dxfId="5342" priority="6" stopIfTrue="1">
      <formula>IF(AK93&gt;2,0,1)</formula>
    </cfRule>
  </conditionalFormatting>
  <conditionalFormatting sqref="K109">
    <cfRule type="expression" dxfId="5341" priority="5" stopIfTrue="1">
      <formula>IF(AK93&gt;3,0,1)</formula>
    </cfRule>
  </conditionalFormatting>
  <conditionalFormatting sqref="N109">
    <cfRule type="expression" dxfId="5340" priority="4" stopIfTrue="1">
      <formula>IF(AK93&gt;4,0,1)</formula>
    </cfRule>
  </conditionalFormatting>
  <conditionalFormatting sqref="Q109">
    <cfRule type="expression" dxfId="5339" priority="3" stopIfTrue="1">
      <formula>IF(AK93&gt;5,0,1)</formula>
    </cfRule>
  </conditionalFormatting>
  <conditionalFormatting sqref="E110:G110">
    <cfRule type="expression" dxfId="5338" priority="2" stopIfTrue="1">
      <formula>IF($AK93&gt;1,0,1)</formula>
    </cfRule>
  </conditionalFormatting>
  <conditionalFormatting sqref="B107:D108">
    <cfRule type="cellIs" dxfId="5337" priority="1" stopIfTrue="1" operator="equal">
      <formula>99</formula>
    </cfRule>
  </conditionalFormatting>
  <pageMargins left="0.25" right="0.25" top="0.25" bottom="0.25" header="0" footer="0"/>
  <pageSetup scale="80" fitToHeight="8" orientation="landscape" r:id="rId1"/>
  <headerFooter alignWithMargins="0"/>
  <rowBreaks count="2" manualBreakCount="2">
    <brk id="90" max="42" man="1"/>
    <brk id="175" max="42" man="1"/>
  </rowBreaks>
  <drawing r:id="rId2"/>
  <legacyDrawing r:id="rId3"/>
  <controls>
    <mc:AlternateContent xmlns:mc="http://schemas.openxmlformats.org/markup-compatibility/2006">
      <mc:Choice Requires="x14">
        <control shapeId="21505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260</xdr:row>
                <xdr:rowOff>0</xdr:rowOff>
              </from>
              <to>
                <xdr:col>41</xdr:col>
                <xdr:colOff>228600</xdr:colOff>
                <xdr:row>260</xdr:row>
                <xdr:rowOff>0</xdr:rowOff>
              </to>
            </anchor>
          </controlPr>
        </control>
      </mc:Choice>
      <mc:Fallback>
        <control shapeId="21505" r:id="rId4" name="Pool4RecalcFinish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rgb="FFFF0000"/>
  </sheetPr>
  <dimension ref="A1:BA266"/>
  <sheetViews>
    <sheetView topLeftCell="AA1" zoomScale="70" zoomScaleNormal="70" workbookViewId="0">
      <selection activeCell="AW12" sqref="AW12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4.28515625" style="4" bestFit="1" customWidth="1"/>
    <col min="50" max="50" width="9.7109375" style="4" bestFit="1" customWidth="1"/>
    <col min="51" max="51" width="7.7109375" style="4" bestFit="1" customWidth="1"/>
    <col min="52" max="52" width="24.5703125" style="4" bestFit="1" customWidth="1"/>
    <col min="53" max="53" width="3.140625" style="4" bestFit="1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4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1018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338">
        <v>42756</v>
      </c>
      <c r="AE2" s="204"/>
      <c r="AF2" s="204"/>
      <c r="AG2" s="204"/>
      <c r="AH2" s="204"/>
      <c r="AI2" s="205"/>
      <c r="AJ2" s="182"/>
      <c r="AK2" s="182"/>
      <c r="AL2" s="182"/>
      <c r="AM2" s="182"/>
      <c r="AN2" s="182"/>
      <c r="AO2" s="182"/>
      <c r="AP2" s="182"/>
      <c r="AQ2" s="182"/>
      <c r="AR2" s="3"/>
      <c r="AT2" s="8" t="s">
        <v>9</v>
      </c>
      <c r="AU2" s="9" t="s">
        <v>10</v>
      </c>
      <c r="AV2" s="183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1022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/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224" t="s">
        <v>21</v>
      </c>
      <c r="AF3" s="225"/>
      <c r="AG3" s="225" t="s">
        <v>22</v>
      </c>
      <c r="AH3" s="225"/>
      <c r="AI3" s="226"/>
      <c r="AJ3" s="182"/>
      <c r="AK3" s="182"/>
      <c r="AL3" s="182"/>
      <c r="AM3" s="182"/>
      <c r="AN3" s="182"/>
      <c r="AO3" s="182"/>
      <c r="AP3" s="182"/>
      <c r="AQ3" s="182"/>
      <c r="AR3" s="3"/>
      <c r="AT3" s="14">
        <v>1</v>
      </c>
      <c r="AU3" s="184" t="s">
        <v>437</v>
      </c>
      <c r="AV3" s="184" t="s">
        <v>436</v>
      </c>
      <c r="AW3" s="16">
        <f>VLOOKUP(AV3,Initial!G:K,5,FALSE)</f>
        <v>1202.1576214335375</v>
      </c>
      <c r="AX3" s="17">
        <f t="shared" ref="AX3:AX10" si="0">VLOOKUP(AU3,AT$79:AU$259,2,FALSE)</f>
        <v>1212.2197750275632</v>
      </c>
      <c r="AY3" s="18">
        <f t="shared" ref="AY3:AY10" si="1">IF(ISNA(VLOOKUP(AU3,AT$273:AU$373,2,FALSE)),AX3,VLOOKUP(AU3,AT$273:AU$373,2,FALSE))</f>
        <v>1212.2197750275632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174</v>
      </c>
      <c r="F4" s="210"/>
      <c r="G4" s="210"/>
      <c r="H4" s="210"/>
      <c r="I4" s="210"/>
      <c r="J4" s="210"/>
      <c r="K4" s="210"/>
      <c r="L4" s="210"/>
      <c r="M4" s="211"/>
      <c r="N4" s="206" t="s">
        <v>1023</v>
      </c>
      <c r="O4" s="207"/>
      <c r="P4" s="207"/>
      <c r="Q4" s="208"/>
      <c r="R4" s="212" t="s">
        <v>28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177</v>
      </c>
      <c r="AC4" s="207"/>
      <c r="AD4" s="207"/>
      <c r="AE4" s="208"/>
      <c r="AF4" s="212"/>
      <c r="AG4" s="204"/>
      <c r="AH4" s="204"/>
      <c r="AI4" s="205"/>
      <c r="AJ4" s="182"/>
      <c r="AK4" s="182"/>
      <c r="AL4" s="182"/>
      <c r="AM4" s="182"/>
      <c r="AN4" s="182"/>
      <c r="AO4" s="182"/>
      <c r="AP4" s="182"/>
      <c r="AQ4" s="182"/>
      <c r="AR4" s="3"/>
      <c r="AT4" s="19">
        <v>2</v>
      </c>
      <c r="AU4" s="184" t="s">
        <v>447</v>
      </c>
      <c r="AV4" s="184" t="s">
        <v>446</v>
      </c>
      <c r="AW4" s="16">
        <f>VLOOKUP(AV4,Initial!G:K,5,FALSE)</f>
        <v>1200</v>
      </c>
      <c r="AX4" s="20">
        <f t="shared" si="0"/>
        <v>1149.1012907267443</v>
      </c>
      <c r="AY4" s="21">
        <f t="shared" si="1"/>
        <v>1149.1012907267443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84" t="s">
        <v>459</v>
      </c>
      <c r="AV5" s="184" t="s">
        <v>458</v>
      </c>
      <c r="AW5" s="16">
        <f>VLOOKUP(AV5,Initial!G:K,5,FALSE)</f>
        <v>1166.3348618337313</v>
      </c>
      <c r="AX5" s="20">
        <f t="shared" si="0"/>
        <v>1211.4389130921036</v>
      </c>
      <c r="AY5" s="21">
        <f t="shared" si="1"/>
        <v>1211.4389130921036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182"/>
      <c r="AK6" s="182"/>
      <c r="AL6" s="182"/>
      <c r="AM6" s="182"/>
      <c r="AN6" s="182"/>
      <c r="AO6" s="182"/>
      <c r="AP6" s="182"/>
      <c r="AQ6" s="182"/>
      <c r="AT6" s="19">
        <v>4</v>
      </c>
      <c r="AU6" s="184" t="s">
        <v>445</v>
      </c>
      <c r="AV6" s="184" t="s">
        <v>444</v>
      </c>
      <c r="AW6" s="16">
        <f>VLOOKUP(AV6,Initial!G:K,5,FALSE)</f>
        <v>1200</v>
      </c>
      <c r="AX6" s="20">
        <f t="shared" si="0"/>
        <v>1178.4467378847983</v>
      </c>
      <c r="AY6" s="21">
        <f t="shared" si="1"/>
        <v>1178.4467378847983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Matches Won</v>
      </c>
      <c r="M7" s="255"/>
      <c r="N7" s="255"/>
      <c r="O7" s="255"/>
      <c r="P7" s="255"/>
      <c r="Q7" s="256"/>
      <c r="R7" s="254" t="str">
        <f>IF($AK10=0,"Games Lost","Matches Lost")</f>
        <v>Matches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1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84" t="s">
        <v>443</v>
      </c>
      <c r="AV7" s="184" t="s">
        <v>442</v>
      </c>
      <c r="AW7" s="16">
        <f>VLOOKUP(AV7,Initial!G:K,5,FALSE)</f>
        <v>1110.6532770275439</v>
      </c>
      <c r="AX7" s="20">
        <f t="shared" si="0"/>
        <v>1133.6105278384805</v>
      </c>
      <c r="AY7" s="21">
        <f t="shared" si="1"/>
        <v>1133.6105278384805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Foothills 12 Kim</v>
      </c>
      <c r="F8" s="233"/>
      <c r="G8" s="233"/>
      <c r="H8" s="233"/>
      <c r="I8" s="233"/>
      <c r="J8" s="233"/>
      <c r="K8" s="234"/>
      <c r="L8" s="235">
        <f>IF($AK10=0,AF64,AF46)</f>
        <v>2</v>
      </c>
      <c r="M8" s="236"/>
      <c r="N8" s="236"/>
      <c r="O8" s="236"/>
      <c r="P8" s="236"/>
      <c r="Q8" s="256"/>
      <c r="R8" s="235">
        <f>IF($AK10=0,AG64,AG46)</f>
        <v>1</v>
      </c>
      <c r="S8" s="236"/>
      <c r="T8" s="236"/>
      <c r="U8" s="236"/>
      <c r="V8" s="236"/>
      <c r="W8" s="235">
        <f>AQ24</f>
        <v>3</v>
      </c>
      <c r="X8" s="236"/>
      <c r="Y8" s="236"/>
      <c r="Z8" s="239">
        <f>IF(AF58&gt;0,(AQ24/AF58),0)</f>
        <v>3.5294117647058823E-2</v>
      </c>
      <c r="AA8" s="240"/>
      <c r="AB8" s="240"/>
      <c r="AC8" s="262">
        <f>IF(AF72=0,0,(AF64/AF72))</f>
        <v>0.66666666666666663</v>
      </c>
      <c r="AD8" s="263"/>
      <c r="AE8" s="264"/>
      <c r="AF8" s="268">
        <v>3</v>
      </c>
      <c r="AG8" s="268"/>
      <c r="AH8" s="270"/>
      <c r="AI8" s="271"/>
      <c r="AJ8" s="27"/>
      <c r="AK8" s="28">
        <v>6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84" t="s">
        <v>435</v>
      </c>
      <c r="AV8" s="184" t="s">
        <v>434</v>
      </c>
      <c r="AW8" s="16">
        <f>VLOOKUP(AV8,Initial!G:K,5,FALSE)</f>
        <v>1157.9314597187015</v>
      </c>
      <c r="AX8" s="20">
        <f t="shared" si="0"/>
        <v>1143.4462769415238</v>
      </c>
      <c r="AY8" s="21">
        <f t="shared" si="1"/>
        <v>1143.4462769415238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fj2footh3pm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4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84" t="s">
        <v>967</v>
      </c>
      <c r="AV9" s="184" t="s">
        <v>966</v>
      </c>
      <c r="AW9" s="16">
        <f>VLOOKUP(AV9,Initial!G:K,5,FALSE)</f>
        <v>1142.0989828300185</v>
      </c>
      <c r="AX9" s="20">
        <f t="shared" si="0"/>
        <v>1162.3788236220796</v>
      </c>
      <c r="AY9" s="21">
        <f t="shared" si="1"/>
        <v>1162.3788236220796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Kershaw Dev 12 Black</v>
      </c>
      <c r="F10" s="233"/>
      <c r="G10" s="233"/>
      <c r="H10" s="233"/>
      <c r="I10" s="233"/>
      <c r="J10" s="233"/>
      <c r="K10" s="234"/>
      <c r="L10" s="235">
        <f>IF($AK10=0,AF65,AF47)</f>
        <v>1</v>
      </c>
      <c r="M10" s="236"/>
      <c r="N10" s="236"/>
      <c r="O10" s="236"/>
      <c r="P10" s="236"/>
      <c r="Q10" s="256"/>
      <c r="R10" s="235">
        <f>IF($AK10=0,AG65,AG47)</f>
        <v>2</v>
      </c>
      <c r="S10" s="236"/>
      <c r="T10" s="236"/>
      <c r="U10" s="236"/>
      <c r="V10" s="236"/>
      <c r="W10" s="235">
        <f>AQ25</f>
        <v>-3</v>
      </c>
      <c r="X10" s="236"/>
      <c r="Y10" s="236"/>
      <c r="Z10" s="239">
        <f>IF(AF59&gt;0,(AQ25/AF59),0)</f>
        <v>-3.8461538461538464E-2</v>
      </c>
      <c r="AA10" s="240"/>
      <c r="AB10" s="240"/>
      <c r="AC10" s="262">
        <f>IF(AF73=0,0,(AF65/AF73))</f>
        <v>0.33333333333333331</v>
      </c>
      <c r="AD10" s="263"/>
      <c r="AE10" s="264"/>
      <c r="AF10" s="268">
        <v>1</v>
      </c>
      <c r="AG10" s="268"/>
      <c r="AH10" s="270"/>
      <c r="AI10" s="271"/>
      <c r="AJ10" s="27"/>
      <c r="AK10" s="28">
        <v>1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84" t="s">
        <v>452</v>
      </c>
      <c r="AV10" s="184" t="s">
        <v>451</v>
      </c>
      <c r="AW10" s="16">
        <f>VLOOKUP(AV10,Initial!G:K,5,FALSE)</f>
        <v>1158.7524498540417</v>
      </c>
      <c r="AX10" s="20">
        <f t="shared" si="0"/>
        <v>1147.2863075642813</v>
      </c>
      <c r="AY10" s="21">
        <f t="shared" si="1"/>
        <v>1147.2863075642813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fj2kersh3pm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79"/>
      <c r="AV11" s="179"/>
      <c r="AW11" s="16"/>
      <c r="AX11" s="20"/>
      <c r="AY11" s="21"/>
    </row>
    <row r="12" spans="1:53" ht="18.75" customHeight="1" x14ac:dyDescent="0.2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Kidz Power Intense RH</v>
      </c>
      <c r="F12" s="233"/>
      <c r="G12" s="233"/>
      <c r="H12" s="233"/>
      <c r="I12" s="233"/>
      <c r="J12" s="233"/>
      <c r="K12" s="234"/>
      <c r="L12" s="235">
        <f>IF($AK10=0,AF66,AF48)</f>
        <v>2</v>
      </c>
      <c r="M12" s="236"/>
      <c r="N12" s="236"/>
      <c r="O12" s="236"/>
      <c r="P12" s="236"/>
      <c r="Q12" s="256"/>
      <c r="R12" s="235">
        <f>IF($AK10=0,AG66,AG48)</f>
        <v>1</v>
      </c>
      <c r="S12" s="236"/>
      <c r="T12" s="236"/>
      <c r="U12" s="236"/>
      <c r="V12" s="236"/>
      <c r="W12" s="235">
        <f>AQ26</f>
        <v>5</v>
      </c>
      <c r="X12" s="236"/>
      <c r="Y12" s="236"/>
      <c r="Z12" s="239">
        <f>IF(AF60&gt;0,(AQ26/AF60),0)</f>
        <v>6.1728395061728392E-2</v>
      </c>
      <c r="AA12" s="240"/>
      <c r="AB12" s="240"/>
      <c r="AC12" s="262">
        <f>IF(AF74=0,0,(AF66/AF74))</f>
        <v>0.66666666666666663</v>
      </c>
      <c r="AD12" s="263"/>
      <c r="AE12" s="264"/>
      <c r="AF12" s="268">
        <v>2</v>
      </c>
      <c r="AG12" s="268"/>
      <c r="AH12" s="270"/>
      <c r="AI12" s="271"/>
      <c r="AJ12" s="31"/>
      <c r="AK12" s="28">
        <v>3</v>
      </c>
      <c r="AL12" s="32" t="s">
        <v>61</v>
      </c>
      <c r="AM12" s="29"/>
      <c r="AN12" s="29"/>
      <c r="AO12" s="29"/>
      <c r="AP12" s="29"/>
      <c r="AQ12" s="29"/>
      <c r="AR12" s="30"/>
      <c r="AT12" s="185">
        <v>10</v>
      </c>
      <c r="AU12" s="186" t="s">
        <v>1000</v>
      </c>
      <c r="AV12" s="187" t="s">
        <v>1001</v>
      </c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fj2inten6pm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185">
        <v>11</v>
      </c>
      <c r="AU13" s="186" t="s">
        <v>1002</v>
      </c>
      <c r="AV13" s="187" t="s">
        <v>1003</v>
      </c>
    </row>
    <row r="14" spans="1:53" ht="18.75" customHeight="1" x14ac:dyDescent="0.2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Magnum Youth Academy</v>
      </c>
      <c r="F14" s="233"/>
      <c r="G14" s="233"/>
      <c r="H14" s="233"/>
      <c r="I14" s="233"/>
      <c r="J14" s="233"/>
      <c r="K14" s="234"/>
      <c r="L14" s="235">
        <f>IF($AK10=0,AF67,AF49)</f>
        <v>1</v>
      </c>
      <c r="M14" s="236"/>
      <c r="N14" s="236"/>
      <c r="O14" s="236"/>
      <c r="P14" s="236"/>
      <c r="Q14" s="256"/>
      <c r="R14" s="235">
        <f>IF($AK10=0,AG67,AG49)</f>
        <v>2</v>
      </c>
      <c r="S14" s="236"/>
      <c r="T14" s="236"/>
      <c r="U14" s="236"/>
      <c r="V14" s="236"/>
      <c r="W14" s="235">
        <f>AQ27</f>
        <v>-5</v>
      </c>
      <c r="X14" s="236"/>
      <c r="Y14" s="236"/>
      <c r="Z14" s="239">
        <f>IF(AF61&gt;0,(AQ27/AF61),0)</f>
        <v>-6.097560975609756E-2</v>
      </c>
      <c r="AA14" s="240"/>
      <c r="AB14" s="240"/>
      <c r="AC14" s="262">
        <f>IF(AF75=0,0,(AF67/AF75))</f>
        <v>0.33333333333333331</v>
      </c>
      <c r="AD14" s="263"/>
      <c r="AE14" s="264"/>
      <c r="AF14" s="268"/>
      <c r="AG14" s="268"/>
      <c r="AH14" s="270"/>
      <c r="AI14" s="271"/>
      <c r="AJ14" s="182"/>
      <c r="AK14" s="37"/>
      <c r="AL14" s="37"/>
      <c r="AM14" s="37"/>
      <c r="AN14" s="37"/>
      <c r="AO14" s="37"/>
      <c r="AP14" s="37"/>
      <c r="AQ14" s="29"/>
      <c r="AR14" s="30"/>
      <c r="AT14" s="185">
        <v>12</v>
      </c>
      <c r="AU14" s="186" t="s">
        <v>1004</v>
      </c>
      <c r="AV14" s="187" t="s">
        <v>1005</v>
      </c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fj2magnm6pm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182"/>
      <c r="AK15" s="37"/>
      <c r="AL15" s="37"/>
      <c r="AM15" s="37"/>
      <c r="AN15" s="37"/>
      <c r="AO15" s="37"/>
      <c r="AP15" s="37"/>
      <c r="AQ15" s="182"/>
      <c r="AR15" s="3"/>
      <c r="AT15" s="185">
        <v>13</v>
      </c>
      <c r="AU15" s="186" t="s">
        <v>1006</v>
      </c>
      <c r="AV15" s="187" t="s">
        <v>1007</v>
      </c>
    </row>
    <row r="16" spans="1:53" ht="18.75" customHeight="1" x14ac:dyDescent="0.2">
      <c r="A16" s="227" t="str">
        <f>IF($AK9&gt;4,"5","")</f>
        <v/>
      </c>
      <c r="B16" s="286" t="s">
        <v>10</v>
      </c>
      <c r="C16" s="287"/>
      <c r="D16" s="287"/>
      <c r="E16" s="300">
        <f>AU19</f>
        <v>0</v>
      </c>
      <c r="F16" s="301"/>
      <c r="G16" s="301"/>
      <c r="H16" s="301"/>
      <c r="I16" s="301"/>
      <c r="J16" s="301"/>
      <c r="K16" s="302"/>
      <c r="L16" s="235">
        <f>IF($AK10=0,AF68,AF50)</f>
        <v>0</v>
      </c>
      <c r="M16" s="236"/>
      <c r="N16" s="236"/>
      <c r="O16" s="236"/>
      <c r="P16" s="236"/>
      <c r="Q16" s="256"/>
      <c r="R16" s="235">
        <f>IF($AK10=0,AG68,AG50)</f>
        <v>0</v>
      </c>
      <c r="S16" s="236"/>
      <c r="T16" s="236"/>
      <c r="U16" s="236"/>
      <c r="V16" s="236"/>
      <c r="W16" s="235">
        <f>AQ28</f>
        <v>0</v>
      </c>
      <c r="X16" s="236"/>
      <c r="Y16" s="236"/>
      <c r="Z16" s="239">
        <f>IF(AF62&gt;0,(AQ28/AF62),0)</f>
        <v>0</v>
      </c>
      <c r="AA16" s="240"/>
      <c r="AB16" s="240"/>
      <c r="AC16" s="262">
        <f>IF(AF76=0,0,(AF68/AF76))</f>
        <v>0</v>
      </c>
      <c r="AD16" s="263"/>
      <c r="AE16" s="264"/>
      <c r="AF16" s="268"/>
      <c r="AG16" s="268"/>
      <c r="AH16" s="270"/>
      <c r="AI16" s="271"/>
      <c r="AJ16" s="182"/>
      <c r="AK16" s="37"/>
      <c r="AL16" s="37"/>
      <c r="AM16" s="37"/>
      <c r="AN16" s="37"/>
      <c r="AO16" s="37"/>
      <c r="AP16" s="37"/>
      <c r="AQ16" s="182"/>
      <c r="AR16" s="3"/>
      <c r="AT16" s="185">
        <v>14</v>
      </c>
      <c r="AU16" s="186" t="s">
        <v>1008</v>
      </c>
      <c r="AV16" s="187" t="s">
        <v>1009</v>
      </c>
    </row>
    <row r="17" spans="1:48" ht="18.75" customHeight="1" thickBot="1" x14ac:dyDescent="0.25">
      <c r="A17" s="228"/>
      <c r="B17" s="296" t="s">
        <v>11</v>
      </c>
      <c r="C17" s="297"/>
      <c r="D17" s="297"/>
      <c r="E17" s="298">
        <f>AV19</f>
        <v>0</v>
      </c>
      <c r="F17" s="299"/>
      <c r="G17" s="299"/>
      <c r="H17" s="299"/>
      <c r="I17" s="299"/>
      <c r="J17" s="299"/>
      <c r="K17" s="299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182"/>
      <c r="AK17" s="37"/>
      <c r="AL17" s="37"/>
      <c r="AM17" s="37"/>
      <c r="AN17" s="37"/>
      <c r="AO17" s="37"/>
      <c r="AP17" s="37"/>
      <c r="AQ17" s="182"/>
      <c r="AR17" s="3"/>
      <c r="AT17" s="185">
        <v>15</v>
      </c>
      <c r="AU17" s="186" t="s">
        <v>1010</v>
      </c>
      <c r="AV17" s="187" t="s">
        <v>1011</v>
      </c>
    </row>
    <row r="18" spans="1:48" ht="21" customHeight="1" thickTop="1" thickBot="1" x14ac:dyDescent="0.25">
      <c r="A18" s="40"/>
      <c r="B18" s="305" t="s">
        <v>1024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182"/>
      <c r="AK18" s="37"/>
      <c r="AL18" s="37"/>
      <c r="AM18" s="37"/>
      <c r="AN18" s="37"/>
      <c r="AO18" s="37"/>
      <c r="AP18" s="37"/>
      <c r="AQ18" s="182"/>
      <c r="AR18" s="3"/>
      <c r="AT18" s="185">
        <v>16</v>
      </c>
      <c r="AU18" s="186" t="s">
        <v>1012</v>
      </c>
      <c r="AV18" s="187" t="s">
        <v>1013</v>
      </c>
    </row>
    <row r="19" spans="1:48" ht="13.5" thickTop="1" x14ac:dyDescent="0.2">
      <c r="A19" s="4" t="s">
        <v>66</v>
      </c>
      <c r="B19" s="308">
        <v>6.25E-2</v>
      </c>
      <c r="C19" s="309"/>
      <c r="D19" s="310"/>
      <c r="E19" s="308">
        <v>8.3333333333333329E-2</v>
      </c>
      <c r="F19" s="309"/>
      <c r="G19" s="310"/>
      <c r="H19" s="308">
        <v>0.10416666666666667</v>
      </c>
      <c r="I19" s="309"/>
      <c r="J19" s="310"/>
      <c r="K19" s="308"/>
      <c r="L19" s="309"/>
      <c r="M19" s="310"/>
      <c r="N19" s="308"/>
      <c r="O19" s="309"/>
      <c r="P19" s="310"/>
      <c r="Q19" s="308"/>
      <c r="R19" s="309"/>
      <c r="S19" s="310"/>
      <c r="T19" s="308"/>
      <c r="U19" s="309"/>
      <c r="V19" s="310"/>
      <c r="W19" s="308"/>
      <c r="X19" s="309"/>
      <c r="Y19" s="310"/>
      <c r="Z19" s="308"/>
      <c r="AA19" s="309"/>
      <c r="AB19" s="310"/>
      <c r="AC19" s="308"/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T19" s="185"/>
      <c r="AU19" s="186"/>
      <c r="AV19" s="187"/>
    </row>
    <row r="20" spans="1:48" x14ac:dyDescent="0.2">
      <c r="A20" s="41" t="s">
        <v>68</v>
      </c>
      <c r="B20" s="319"/>
      <c r="C20" s="320"/>
      <c r="D20" s="321"/>
      <c r="E20" s="319"/>
      <c r="F20" s="320"/>
      <c r="G20" s="321"/>
      <c r="H20" s="319"/>
      <c r="I20" s="320"/>
      <c r="J20" s="321"/>
      <c r="K20" s="319"/>
      <c r="L20" s="320"/>
      <c r="M20" s="321"/>
      <c r="N20" s="319"/>
      <c r="O20" s="320"/>
      <c r="P20" s="321"/>
      <c r="Q20" s="319"/>
      <c r="R20" s="320"/>
      <c r="S20" s="321"/>
      <c r="T20" s="319"/>
      <c r="U20" s="320"/>
      <c r="V20" s="321"/>
      <c r="W20" s="319"/>
      <c r="X20" s="320"/>
      <c r="Y20" s="321"/>
      <c r="Z20" s="319"/>
      <c r="AA20" s="320"/>
      <c r="AB20" s="321"/>
      <c r="AC20" s="319"/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T20" s="185"/>
      <c r="AU20" s="186"/>
      <c r="AV20" s="187"/>
    </row>
    <row r="21" spans="1:48" x14ac:dyDescent="0.2">
      <c r="A21" s="41" t="s">
        <v>69</v>
      </c>
      <c r="B21" s="319"/>
      <c r="C21" s="320"/>
      <c r="D21" s="321"/>
      <c r="E21" s="319"/>
      <c r="F21" s="320"/>
      <c r="G21" s="321"/>
      <c r="H21" s="319"/>
      <c r="I21" s="320"/>
      <c r="J21" s="321"/>
      <c r="K21" s="319"/>
      <c r="L21" s="320"/>
      <c r="M21" s="321"/>
      <c r="N21" s="319"/>
      <c r="O21" s="320"/>
      <c r="P21" s="321"/>
      <c r="Q21" s="319"/>
      <c r="R21" s="320"/>
      <c r="S21" s="321"/>
      <c r="T21" s="319"/>
      <c r="U21" s="320"/>
      <c r="V21" s="321"/>
      <c r="W21" s="319"/>
      <c r="X21" s="320"/>
      <c r="Y21" s="321"/>
      <c r="Z21" s="319"/>
      <c r="AA21" s="320"/>
      <c r="AB21" s="321"/>
      <c r="AC21" s="319"/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T21" s="185"/>
      <c r="AU21" s="186"/>
      <c r="AV21" s="187"/>
    </row>
    <row r="22" spans="1:48" ht="13.5" thickBot="1" x14ac:dyDescent="0.25">
      <c r="A22" s="182"/>
      <c r="B22" s="322" t="s">
        <v>70</v>
      </c>
      <c r="C22" s="323"/>
      <c r="D22" s="324"/>
      <c r="E22" s="322" t="str">
        <f>IF(AK8&gt;1,"Match 2","")</f>
        <v>Match 2</v>
      </c>
      <c r="F22" s="323"/>
      <c r="G22" s="324"/>
      <c r="H22" s="322" t="str">
        <f>IF(AK8&gt;2,"Match 3","")</f>
        <v>Match 3</v>
      </c>
      <c r="I22" s="323"/>
      <c r="J22" s="324"/>
      <c r="K22" s="322" t="str">
        <f>IF(AK8&gt;3,"Match 4","")</f>
        <v>Match 4</v>
      </c>
      <c r="L22" s="323"/>
      <c r="M22" s="324"/>
      <c r="N22" s="322" t="str">
        <f>IF(AK8&gt;4,"Match 5","")</f>
        <v>Match 5</v>
      </c>
      <c r="O22" s="323"/>
      <c r="P22" s="324"/>
      <c r="Q22" s="322" t="str">
        <f>IF(AK8&gt;5,"Match 6","")</f>
        <v>Match 6</v>
      </c>
      <c r="R22" s="323"/>
      <c r="S22" s="324"/>
      <c r="T22" s="322" t="str">
        <f>IF(AK8&gt;6,"Match 7","")</f>
        <v/>
      </c>
      <c r="U22" s="323"/>
      <c r="V22" s="324"/>
      <c r="W22" s="322" t="str">
        <f>IF(AK8&gt;7,"Match 8","")</f>
        <v/>
      </c>
      <c r="X22" s="323"/>
      <c r="Y22" s="324"/>
      <c r="Z22" s="322" t="str">
        <f>IF(AK8&gt;8,"Match 9","")</f>
        <v/>
      </c>
      <c r="AA22" s="323"/>
      <c r="AB22" s="324"/>
      <c r="AC22" s="322" t="str">
        <f>IF(AK8&gt;9,"Match 10","")</f>
        <v/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T22" s="188"/>
      <c r="AU22" s="189"/>
      <c r="AV22" s="190"/>
    </row>
    <row r="23" spans="1:48" ht="15.75" customHeight="1" x14ac:dyDescent="0.25">
      <c r="A23" s="182"/>
      <c r="B23" s="325" t="s">
        <v>73</v>
      </c>
      <c r="C23" s="326"/>
      <c r="D23" s="327"/>
      <c r="E23" s="325" t="s">
        <v>75</v>
      </c>
      <c r="F23" s="326"/>
      <c r="G23" s="327"/>
      <c r="H23" s="325" t="s">
        <v>72</v>
      </c>
      <c r="I23" s="326"/>
      <c r="J23" s="327"/>
      <c r="K23" s="325" t="s">
        <v>71</v>
      </c>
      <c r="L23" s="326"/>
      <c r="M23" s="327"/>
      <c r="N23" s="325" t="s">
        <v>75</v>
      </c>
      <c r="O23" s="326"/>
      <c r="P23" s="327"/>
      <c r="Q23" s="325" t="s">
        <v>72</v>
      </c>
      <c r="R23" s="326"/>
      <c r="S23" s="327"/>
      <c r="T23" s="325"/>
      <c r="U23" s="326"/>
      <c r="V23" s="327"/>
      <c r="W23" s="325"/>
      <c r="X23" s="326"/>
      <c r="Y23" s="327"/>
      <c r="Z23" s="325"/>
      <c r="AA23" s="326"/>
      <c r="AB23" s="327"/>
      <c r="AC23" s="325"/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39" t="s">
        <v>64</v>
      </c>
      <c r="AU23" s="340"/>
      <c r="AV23" s="341"/>
    </row>
    <row r="24" spans="1:48" ht="16.5" thickBot="1" x14ac:dyDescent="0.3">
      <c r="A24" s="182"/>
      <c r="B24" s="45">
        <v>2</v>
      </c>
      <c r="C24" s="46" t="s">
        <v>78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/>
      <c r="U24" s="46" t="str">
        <f>IF(AK8&gt;6,"v","")</f>
        <v/>
      </c>
      <c r="V24" s="47"/>
      <c r="W24" s="45"/>
      <c r="X24" s="46" t="str">
        <f>IF(AK8&gt;7,"v","")</f>
        <v/>
      </c>
      <c r="Y24" s="47"/>
      <c r="Z24" s="45"/>
      <c r="AA24" s="46" t="str">
        <f>IF(AK8&gt;8,"v","")</f>
        <v/>
      </c>
      <c r="AB24" s="47"/>
      <c r="AC24" s="45"/>
      <c r="AD24" s="46" t="str">
        <f>IF(AK8&gt;9,"v","")</f>
        <v/>
      </c>
      <c r="AE24" s="47"/>
      <c r="AF24" s="42" t="str">
        <f>IF(AK9&gt;0,"Team 1","")</f>
        <v>Team 1</v>
      </c>
      <c r="AG24" s="48" t="str">
        <f>IF(AK9&lt;1,"",IF(AK8&lt;1,"",IF(B24=1,B30-D30,IF(D24=1,D30-B30,""))))</f>
        <v/>
      </c>
      <c r="AH24" s="48">
        <f>IF(AK9&lt;1,"",IF(AK8&lt;2,"",IF(E24=1,E30-G30,IF(G24=1,G30-E30,""))))</f>
        <v>5</v>
      </c>
      <c r="AI24" s="48" t="str">
        <f>IF(AK9&lt;1,"",IF(AK8&lt;3,"",IF(H24=1,H30-J30,IF(J24=1,J30-H30,""))))</f>
        <v/>
      </c>
      <c r="AJ24" s="48">
        <f>IF(AK9&lt;1,"",IF(AK8&lt;4,"",IF(K24=1,K30-M30,IF(M24=1,M30-K30,""))))</f>
        <v>-5</v>
      </c>
      <c r="AK24" s="48" t="str">
        <f>IF(AK9&lt;1,"",IF(AK8&lt;5,"",IF(N24=1,N30-P30,IF(P24=1,P30-N30,""))))</f>
        <v/>
      </c>
      <c r="AL24" s="48">
        <f>IF(AK9&lt;1,"",IF(AK8&lt;6,"",IF(Q24=1,Q30-S30,IF(S24=1,S30-Q30,""))))</f>
        <v>3</v>
      </c>
      <c r="AM24" s="48" t="str">
        <f>IF(AK9&lt;1,"",IF(AK8&lt;7,"",IF(T24=1,T30-V30,IF(V24=1,V30-T30,""))))</f>
        <v/>
      </c>
      <c r="AN24" s="48" t="str">
        <f>IF(AK9&lt;1,"",IF(AK8&lt;8,"",IF(W24=1,W30-Y30,IF(Y24=1,Y30-W30,""))))</f>
        <v/>
      </c>
      <c r="AO24" s="48" t="str">
        <f>IF(AK9&lt;1,"",IF(AK8&lt;9,"",IF(Z24=1,Z30-AB30,IF(AB24=1,AB30-Z30,""))))</f>
        <v/>
      </c>
      <c r="AP24" s="48" t="str">
        <f>IF(AK9&lt;1,"",IF(AK8&lt;10,"",IF(AC24=1,AC30-AE30,IF(AE24=1,AE30-AC30,""))))</f>
        <v/>
      </c>
      <c r="AQ24" s="44">
        <f>SUM(AG24:AP24)</f>
        <v>3</v>
      </c>
      <c r="AT24" s="342"/>
      <c r="AU24" s="343"/>
      <c r="AV24" s="344"/>
    </row>
    <row r="25" spans="1:48" ht="15" x14ac:dyDescent="0.2">
      <c r="A25" s="4" t="s">
        <v>79</v>
      </c>
      <c r="B25" s="49">
        <v>23</v>
      </c>
      <c r="C25" s="50" t="s">
        <v>80</v>
      </c>
      <c r="D25" s="51">
        <v>24</v>
      </c>
      <c r="E25" s="49">
        <v>28</v>
      </c>
      <c r="F25" s="50" t="str">
        <f>IF(AK8&gt;1,"/","")</f>
        <v>/</v>
      </c>
      <c r="G25" s="51">
        <v>23</v>
      </c>
      <c r="H25" s="49">
        <v>27</v>
      </c>
      <c r="I25" s="50" t="str">
        <f>IF(AK8&gt;2,"/","")</f>
        <v>/</v>
      </c>
      <c r="J25" s="51">
        <v>26</v>
      </c>
      <c r="K25" s="49">
        <v>25</v>
      </c>
      <c r="L25" s="50" t="str">
        <f>IF(AK8&gt;3,"/","")</f>
        <v>/</v>
      </c>
      <c r="M25" s="51">
        <v>30</v>
      </c>
      <c r="N25" s="49">
        <v>26</v>
      </c>
      <c r="O25" s="50" t="str">
        <f>IF(AK8&gt;4,"/","")</f>
        <v>/</v>
      </c>
      <c r="P25" s="51">
        <v>27</v>
      </c>
      <c r="Q25" s="49">
        <v>27</v>
      </c>
      <c r="R25" s="50" t="str">
        <f>IF(AK8&gt;5,"/","")</f>
        <v>/</v>
      </c>
      <c r="S25" s="51">
        <v>24</v>
      </c>
      <c r="T25" s="49"/>
      <c r="U25" s="50" t="str">
        <f>IF(AK8&gt;6,"/","")</f>
        <v/>
      </c>
      <c r="V25" s="51"/>
      <c r="W25" s="49"/>
      <c r="X25" s="50" t="str">
        <f>IF(AK8&gt;7,"/","")</f>
        <v/>
      </c>
      <c r="Y25" s="51"/>
      <c r="Z25" s="49"/>
      <c r="AA25" s="50" t="str">
        <f>IF(AK8&gt;8,"/","")</f>
        <v/>
      </c>
      <c r="AB25" s="51"/>
      <c r="AC25" s="49"/>
      <c r="AD25" s="50" t="str">
        <f>IF(AK8&gt;9,"/","")</f>
        <v/>
      </c>
      <c r="AE25" s="51"/>
      <c r="AF25" s="42" t="str">
        <f>IF(AK9&gt;1,"Team 2","")</f>
        <v>Team 2</v>
      </c>
      <c r="AG25" s="48">
        <f>IF(AK9&lt;2,"",IF(AK8&lt;1,"",IF(B24=2,B30-D30,IF(D24=2,D30-B30,""))))</f>
        <v>-1</v>
      </c>
      <c r="AH25" s="48" t="str">
        <f>IF(AK9&lt;2,"",IF(AK8&lt;2,"",IF(E24=2,E30-G30,IF(G24=2,G30-E30,""))))</f>
        <v/>
      </c>
      <c r="AI25" s="48">
        <f>IF(AK9&lt;2,"",IF(AK8&lt;3,"",IF(H24=2,H30-J30,IF(J24=2,J30-H30,""))))</f>
        <v>1</v>
      </c>
      <c r="AJ25" s="48" t="str">
        <f>IF(AK9&lt;2,"",IF(AK8&lt;4,"",IF(K24=2,K30-M30,IF(M24=2,M30-K30,""))))</f>
        <v/>
      </c>
      <c r="AK25" s="48" t="str">
        <f>IF(AK9&lt;2,"",IF(AK8&lt;5,"",IF(N24=2,N30-P30,IF(P24=2,P30-N30,""))))</f>
        <v/>
      </c>
      <c r="AL25" s="48">
        <f>IF(AK9&lt;2,"",IF(AK8&lt;6,"",IF(Q24=2,Q30-S30,IF(S24=2,S30-Q30,""))))</f>
        <v>-3</v>
      </c>
      <c r="AM25" s="48" t="str">
        <f>IF(AK9&lt;2,"",IF(AK8&lt;7,"",IF(T24=2,T30-V30,IF(V24=2,V30-T30,""))))</f>
        <v/>
      </c>
      <c r="AN25" s="48" t="str">
        <f>IF(AK9&lt;2,"",IF(AK8&lt;8,"",IF(W24=2,W30-Y30,IF(Y24=2,Y30-W30,""))))</f>
        <v/>
      </c>
      <c r="AO25" s="48" t="str">
        <f>IF(AK9&lt;2,"",IF(AK8&lt;9,"",IF(Z24=2,Z30-AB30,IF(AB24=2,AB30-Z30,""))))</f>
        <v/>
      </c>
      <c r="AP25" s="48" t="str">
        <f>IF(AK9&lt;2,"",IF(AK8&lt;10,"",IF(AC24=2,AC30-AE30,IF(AE24=2,AE30-AC30,""))))</f>
        <v/>
      </c>
      <c r="AQ25" s="44">
        <f>SUM(AG25:AP25)</f>
        <v>-3</v>
      </c>
    </row>
    <row r="26" spans="1:48" ht="15" x14ac:dyDescent="0.2">
      <c r="A26" s="3" t="str">
        <f>IF(AK7&gt;1,"Game 2","")</f>
        <v/>
      </c>
      <c r="B26" s="49">
        <v>21</v>
      </c>
      <c r="C26" s="50" t="s">
        <v>80</v>
      </c>
      <c r="D26" s="51">
        <v>24</v>
      </c>
      <c r="E26" s="49"/>
      <c r="F26" s="50" t="str">
        <f>IF(AK8&gt;1,IF(AK7&gt;1,"/",""),"")</f>
        <v/>
      </c>
      <c r="G26" s="51"/>
      <c r="H26" s="49">
        <v>18</v>
      </c>
      <c r="I26" s="50" t="str">
        <f>IF(AK8&gt;2,IF(AK7&gt;1,"/",""),"")</f>
        <v/>
      </c>
      <c r="J26" s="51">
        <v>26</v>
      </c>
      <c r="K26" s="49"/>
      <c r="L26" s="50" t="str">
        <f>IF(AK8&gt;3,IF(AK7&gt;1,"/",""),"")</f>
        <v/>
      </c>
      <c r="M26" s="51"/>
      <c r="N26" s="49"/>
      <c r="O26" s="50" t="str">
        <f>IF(AK8&gt;4,IF(AK7&gt;1,"/",""),"")</f>
        <v/>
      </c>
      <c r="P26" s="51"/>
      <c r="Q26" s="49"/>
      <c r="R26" s="50" t="str">
        <f>IF(AK8&gt;5,IF(AK7&gt;1,"/",""),"")</f>
        <v/>
      </c>
      <c r="S26" s="51"/>
      <c r="T26" s="49"/>
      <c r="U26" s="50" t="str">
        <f>IF(AK8&gt;6,IF(AK7&gt;1,"/",""),"")</f>
        <v/>
      </c>
      <c r="V26" s="51"/>
      <c r="W26" s="49"/>
      <c r="X26" s="50" t="str">
        <f>IF(AK8&gt;7,IF(AK7&gt;1,"/",""),"")</f>
        <v/>
      </c>
      <c r="Y26" s="51"/>
      <c r="Z26" s="49"/>
      <c r="AA26" s="50" t="str">
        <f>IF(AK8&gt;8,IF(AK7&gt;1,"/",""),"")</f>
        <v/>
      </c>
      <c r="AB26" s="51"/>
      <c r="AC26" s="49"/>
      <c r="AD26" s="50" t="str">
        <f>IF(AK8&gt;9,IF(AK7&gt;1,"/",""),"")</f>
        <v/>
      </c>
      <c r="AE26" s="51"/>
      <c r="AF26" s="42" t="str">
        <f>IF(AK9&gt;2,"Team 3","")</f>
        <v>Team 3</v>
      </c>
      <c r="AG26" s="48">
        <f>IF(AK9&lt;3,"",IF(AK8&lt;1,"",IF(B24=3,B30-D30,IF(D24=3,D30-B30,""))))</f>
        <v>1</v>
      </c>
      <c r="AH26" s="48" t="str">
        <f>IF(AK9&lt;3,"",IF(AK8&lt;2,"",IF(E24=3,E30-G30,IF(G24=3,G30-E30,""))))</f>
        <v/>
      </c>
      <c r="AI26" s="48" t="str">
        <f>IF(AK9&lt;3,"",IF(AK8&lt;3,"",IF(H24=3,H30-J30,IF(J24=3,J30-H30,""))))</f>
        <v/>
      </c>
      <c r="AJ26" s="48">
        <f>IF(AK9&lt;3,"",IF(AK8&lt;4,"",IF(K24=3,K30-M30,IF(M24=3,M30-K30,""))))</f>
        <v>5</v>
      </c>
      <c r="AK26" s="48">
        <f>IF(AK9&lt;3,"",IF(AK8&lt;5,"",IF(N24=3,N30-P30,IF(P24=3,P30-N30,""))))</f>
        <v>-1</v>
      </c>
      <c r="AL26" s="48" t="str">
        <f>IF(AK9&lt;3,"",IF(AK8&lt;6,"",IF(Q24=3,Q30-S30,IF(S24=3,S30-Q30,""))))</f>
        <v/>
      </c>
      <c r="AM26" s="48" t="str">
        <f>IF(AK9&lt;3,"",IF(AK8&lt;7,"",IF(T24=3,T30-V30,IF(V24=3,V30-T30,""))))</f>
        <v/>
      </c>
      <c r="AN26" s="48" t="str">
        <f>IF(AK9&lt;3,"",IF(AK8&lt;8,"",IF(W24=3,W30-Y30,IF(Y24=3,Y30-W30,""))))</f>
        <v/>
      </c>
      <c r="AO26" s="48" t="str">
        <f>IF(AK9&lt;3,"",IF(AK8&lt;9,"",IF(Z24=3,Z30-AB30,IF(AB24=3,AB30-Z30,""))))</f>
        <v/>
      </c>
      <c r="AP26" s="48" t="str">
        <f>IF(AK9&lt;3,"",IF(AK8&lt;9,"",IF(AC24=3,AC30-AE30,IF(AE24=3,AE30-AC30,""))))</f>
        <v/>
      </c>
      <c r="AQ26" s="44">
        <f>SUM(AG26:AP26)</f>
        <v>5</v>
      </c>
      <c r="AT26" s="6"/>
      <c r="AU26" s="6"/>
      <c r="AV26" s="6"/>
    </row>
    <row r="27" spans="1:48" ht="15" x14ac:dyDescent="0.2">
      <c r="A27" s="3" t="str">
        <f>IF(AK7&gt;2,"Game 3","")</f>
        <v/>
      </c>
      <c r="B27" s="49"/>
      <c r="C27" s="50" t="s">
        <v>80</v>
      </c>
      <c r="D27" s="51"/>
      <c r="E27" s="49"/>
      <c r="F27" s="50" t="str">
        <f>IF(AK8&gt;1,IF(AK7&gt;2,"/",""),"")</f>
        <v/>
      </c>
      <c r="G27" s="51"/>
      <c r="H27" s="49"/>
      <c r="I27" s="50" t="str">
        <f>IF(AK8&gt;2,IF(AK7&gt;2,"/",""),"")</f>
        <v/>
      </c>
      <c r="J27" s="51"/>
      <c r="K27" s="49"/>
      <c r="L27" s="50" t="str">
        <f>IF(AK8&gt;3,IF(AK7&gt;2,"/",""),"")</f>
        <v/>
      </c>
      <c r="M27" s="51"/>
      <c r="N27" s="49"/>
      <c r="O27" s="50" t="str">
        <f>IF(AK8&gt;4,IF(AK7&gt;2,"/",""),"")</f>
        <v/>
      </c>
      <c r="P27" s="51"/>
      <c r="Q27" s="49"/>
      <c r="R27" s="50" t="str">
        <f>IF(AK8&gt;5,IF(AK7&gt;2,"/",""),"")</f>
        <v/>
      </c>
      <c r="S27" s="51"/>
      <c r="T27" s="49"/>
      <c r="U27" s="50" t="str">
        <f>IF(AK8&gt;6,IF(AK7&gt;2,"/",""),"")</f>
        <v/>
      </c>
      <c r="V27" s="51"/>
      <c r="W27" s="49"/>
      <c r="X27" s="50" t="str">
        <f>IF(AK8&gt;7,IF(AK7&gt;2,"/",""),"")</f>
        <v/>
      </c>
      <c r="Y27" s="51"/>
      <c r="Z27" s="49"/>
      <c r="AA27" s="50" t="str">
        <f>IF(AK8&gt;8,IF(AK7&gt;2,"/",""),"")</f>
        <v/>
      </c>
      <c r="AB27" s="51"/>
      <c r="AC27" s="49"/>
      <c r="AD27" s="50" t="str">
        <f>IF(AK8&gt;9,IF(AK7&gt;2,"/",""),"")</f>
        <v/>
      </c>
      <c r="AE27" s="51"/>
      <c r="AF27" s="42" t="str">
        <f>IF(AK9&gt;3,"Team 4","")</f>
        <v>Team 4</v>
      </c>
      <c r="AG27" s="48" t="str">
        <f>IF(AK9&lt;4,"",IF(AK8&lt;1,"",IF(B24=4,B30-D30,IF(D24=4,D30-B30,""))))</f>
        <v/>
      </c>
      <c r="AH27" s="48">
        <f>IF(AK9&lt;4,"",IF(AK8&lt;2,"",IF(E24=4,E30-G30,IF(G24=4,G30-E30,""))))</f>
        <v>-5</v>
      </c>
      <c r="AI27" s="48">
        <f>IF(AK9&lt;4,"",IF(AK8&lt;3,"",IF(H24=4,H30-J30,IF(J24=4,J30-H30,""))))</f>
        <v>-1</v>
      </c>
      <c r="AJ27" s="48" t="str">
        <f>IF(AK9&lt;4,"",IF(AK8&lt;4,"",IF(K24=4,K30-M30,IF(M24=4,M30-K30,""))))</f>
        <v/>
      </c>
      <c r="AK27" s="48">
        <f>IF(AK9&lt;4,"",IF(AK8&lt;5,"",IF(N24=4,N30-P30,IF(P24=4,P30-N30,""))))</f>
        <v>1</v>
      </c>
      <c r="AL27" s="48" t="str">
        <f>IF(AK9&lt;4,"",IF(AK8&lt;6,"",IF(Q24=4,Q30-S30,IF(S24=4,S30-Q30,""))))</f>
        <v/>
      </c>
      <c r="AM27" s="48" t="str">
        <f>IF(AK9&lt;4,"",IF(AK8&lt;7,"",IF(T24=4,T30-V30,IF(V24=4,V30-T30,""))))</f>
        <v/>
      </c>
      <c r="AN27" s="48" t="str">
        <f>IF(AK9&lt;4,"",IF(AK8&lt;8,"",IF(W24=4,W30-Y30,IF(Y24=4,Y30-W30,""))))</f>
        <v/>
      </c>
      <c r="AO27" s="48" t="str">
        <f>IF(AK9&lt;4,"",IF(AK8&lt;9,"",IF(Z24=4,Z30-AB30,IF(AB24=4,AB30-Z30,""))))</f>
        <v/>
      </c>
      <c r="AP27" s="48" t="str">
        <f>IF(AK9&lt;4,"",IF(AK8&lt;10,"",IF(AC24=4,AC30-AE30,IF(AE24=4,AE30-AC30,""))))</f>
        <v/>
      </c>
      <c r="AQ27" s="44">
        <f>SUM(AG27:AP27)</f>
        <v>-5</v>
      </c>
      <c r="AT27" s="6"/>
      <c r="AU27" s="6"/>
      <c r="AV27" s="6"/>
    </row>
    <row r="28" spans="1:48" ht="15" x14ac:dyDescent="0.2">
      <c r="A28" s="3" t="str">
        <f>IF(AK7&gt;3,"Game 4","")</f>
        <v/>
      </c>
      <c r="B28" s="49"/>
      <c r="C28" s="50" t="s">
        <v>80</v>
      </c>
      <c r="D28" s="51"/>
      <c r="E28" s="49"/>
      <c r="F28" s="50" t="str">
        <f>IF(AK8&gt;1,IF(AK7&gt;3,"/",""),"")</f>
        <v/>
      </c>
      <c r="G28" s="51"/>
      <c r="H28" s="49"/>
      <c r="I28" s="50" t="str">
        <f>IF(AK8&gt;2,IF(AK7&gt;3,"/",""),"")</f>
        <v/>
      </c>
      <c r="J28" s="51"/>
      <c r="K28" s="49"/>
      <c r="L28" s="50" t="str">
        <f>IF(AK8&gt;3,IF(AK7&gt;3,"/",""),"")</f>
        <v/>
      </c>
      <c r="M28" s="51"/>
      <c r="N28" s="49"/>
      <c r="O28" s="50" t="str">
        <f>IF(AK8&gt;4,IF(AK7&gt;3,"/",""),"")</f>
        <v/>
      </c>
      <c r="P28" s="51"/>
      <c r="Q28" s="49"/>
      <c r="R28" s="50" t="str">
        <f>IF(AK8&gt;5,IF(AK7&gt;3,"/",""),"")</f>
        <v/>
      </c>
      <c r="S28" s="51"/>
      <c r="T28" s="49"/>
      <c r="U28" s="50" t="str">
        <f>IF(AK8&gt;6,IF(AK7&gt;3,"/",""),"")</f>
        <v/>
      </c>
      <c r="V28" s="51"/>
      <c r="W28" s="49"/>
      <c r="X28" s="50" t="str">
        <f>IF(AK8&gt;7,IF(AK7&gt;3,"/",""),"")</f>
        <v/>
      </c>
      <c r="Y28" s="51"/>
      <c r="Z28" s="49"/>
      <c r="AA28" s="50" t="str">
        <f>IF(AK8&gt;8,IF(AK7&gt;3,"/",""),"")</f>
        <v/>
      </c>
      <c r="AB28" s="51"/>
      <c r="AC28" s="49"/>
      <c r="AD28" s="50" t="str">
        <f>IF(AK8&gt;9,IF(AK7&gt;3,"/",""),"")</f>
        <v/>
      </c>
      <c r="AE28" s="51"/>
      <c r="AF28" s="42" t="str">
        <f>IF(AK9&gt;4,"Team 5","")</f>
        <v/>
      </c>
      <c r="AG28" s="52" t="str">
        <f>IF(AK9&lt;5,"",IF(AK8&lt;1,"",IF(B24=5,B30-D30,IF(D24=5,D30-B30,""))))</f>
        <v/>
      </c>
      <c r="AH28" s="48" t="str">
        <f>IF(AK9&lt;5,"",IF(AK8&lt;2,"",IF(E24=5,E30-G30,IF(G24=5,G30-E30,""))))</f>
        <v/>
      </c>
      <c r="AI28" s="48" t="str">
        <f>IF(AK9&lt;5,"",IF(AK8&lt;3,"",IF(H24=5,H30-J30,IF(J24=5,J30-H30,""))))</f>
        <v/>
      </c>
      <c r="AJ28" s="48" t="str">
        <f>IF(AK9&lt;5,"",IF(AK8&lt;4,"",IF(K24=5,K30-M30,IF(M24=5,M30-K30,""))))</f>
        <v/>
      </c>
      <c r="AK28" s="48" t="str">
        <f>IF(AK9&lt;5,"",IF(AK8&lt;5,"",IF(N24=5,N30-P30,IF(P24=5,P30-N30,""))))</f>
        <v/>
      </c>
      <c r="AL28" s="48" t="str">
        <f>IF(AK9&lt;5,"",IF(AK8&lt;6,"",IF(Q24=5,Q30-S30,IF(S24=5,S30-Q30,""))))</f>
        <v/>
      </c>
      <c r="AM28" s="48" t="str">
        <f>IF(AK9&lt;5,"",IF(AK8&lt;7,"",IF(T24=5,T30-V30,IF(V24=5,V30-T30,""))))</f>
        <v/>
      </c>
      <c r="AN28" s="48" t="str">
        <f>IF(AK9&lt;5,"",IF(AK8&lt;8,"",IF(W24=5,W30-Y30,IF(Y24=5,Y30-W30,""))))</f>
        <v/>
      </c>
      <c r="AO28" s="48" t="str">
        <f>IF(AK9&lt;5,"",IF(AK8&lt;9,"",IF(Z24=5,Z30-AB30,IF(AB24=5,AB30-Z30,""))))</f>
        <v/>
      </c>
      <c r="AP28" s="48" t="str">
        <f>IF(AK9&lt;5,"",IF(AK8&lt;10,"",IF(AC24=5,AC30-AE30,IF(AE24=5,AE30-AC30,""))))</f>
        <v/>
      </c>
      <c r="AQ28" s="44">
        <f>SUM(AG28:AP28)</f>
        <v>0</v>
      </c>
      <c r="AT28" s="6"/>
      <c r="AU28" s="6"/>
      <c r="AV28" s="6"/>
    </row>
    <row r="29" spans="1:48" ht="15" x14ac:dyDescent="0.2">
      <c r="A29" s="3" t="str">
        <f>IF(AK7&gt;4,"Game 5","")</f>
        <v/>
      </c>
      <c r="B29" s="49"/>
      <c r="C29" s="50" t="s">
        <v>80</v>
      </c>
      <c r="D29" s="51"/>
      <c r="E29" s="49"/>
      <c r="F29" s="50" t="str">
        <f>IF(AK8&gt;1,IF(AK7&gt;4,"/",""),"")</f>
        <v/>
      </c>
      <c r="G29" s="51"/>
      <c r="H29" s="49"/>
      <c r="I29" s="50" t="str">
        <f>IF(AK8&gt;2,IF(AK7&gt;4,"/",""),"")</f>
        <v/>
      </c>
      <c r="J29" s="51"/>
      <c r="K29" s="49"/>
      <c r="L29" s="50" t="str">
        <f>IF(AK8&gt;3,IF(AK7&gt;4,"/",""),"")</f>
        <v/>
      </c>
      <c r="M29" s="51"/>
      <c r="N29" s="49"/>
      <c r="O29" s="50" t="str">
        <f>IF(AK8&gt;4,IF(AK7&gt;4,"/",""),"")</f>
        <v/>
      </c>
      <c r="P29" s="51"/>
      <c r="Q29" s="49"/>
      <c r="R29" s="50" t="str">
        <f>IF(AK8&gt;5,IF(AK7&gt;4,"/",""),"")</f>
        <v/>
      </c>
      <c r="S29" s="51"/>
      <c r="T29" s="49"/>
      <c r="U29" s="50" t="str">
        <f>IF(AK8&gt;6,IF(AK7&gt;4,"/",""),"")</f>
        <v/>
      </c>
      <c r="V29" s="51"/>
      <c r="W29" s="49"/>
      <c r="X29" s="50" t="str">
        <f>IF(AK8&gt;7,IF(AK7&gt;4,"/",""),"")</f>
        <v/>
      </c>
      <c r="Y29" s="51"/>
      <c r="Z29" s="49"/>
      <c r="AA29" s="50" t="str">
        <f>IF(AK8&gt;8,IF(AK7&gt;4,"/",""),"")</f>
        <v/>
      </c>
      <c r="AB29" s="51"/>
      <c r="AC29" s="49"/>
      <c r="AD29" s="50" t="str">
        <f>IF(AK8&gt;9,IF(AK7&gt;4,"/",""),"")</f>
        <v/>
      </c>
      <c r="AE29" s="51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T29" s="6"/>
      <c r="AU29" s="6"/>
      <c r="AV29" s="6"/>
    </row>
    <row r="30" spans="1:48" hidden="1" x14ac:dyDescent="0.2">
      <c r="A30" s="53"/>
      <c r="B30" s="53">
        <f>IF($AK7=5,SUM(B25:B29),IF($AK7=4,SUM(B25:B28),IF($AK7=3,SUM(B25:B27),IF($AK7=2,SUM(B25:B26),B25))))</f>
        <v>23</v>
      </c>
      <c r="C30" s="53"/>
      <c r="D30" s="53">
        <f>IF($AK7=5,SUM(D25:D29),IF($AK7=4,SUM(D25:D28),IF($AK7=3,SUM(D25:D27),IF($AK7=2,SUM(D25:D26),D25))))</f>
        <v>24</v>
      </c>
      <c r="E30" s="53">
        <f>IF($AK7=5,SUM(E25:E29),IF($AK7=4,SUM(E25:E28),IF($AK7=3,SUM(E25:E27),IF($AK7=2,SUM(E25:E26),E25))))</f>
        <v>28</v>
      </c>
      <c r="F30" s="53"/>
      <c r="G30" s="53">
        <f>IF($AK7=5,SUM(G25:G29),IF($AK7=4,SUM(G25:G28),IF($AK7=3,SUM(G25:G27),IF($AK7=2,SUM(G25:G26),G25))))</f>
        <v>23</v>
      </c>
      <c r="H30" s="53">
        <f>IF($AK7=5,SUM(H25:H29),IF($AK7=4,SUM(H25:H28),IF($AK7=3,SUM(H25:H27),IF($AK7=2,SUM(H25:H26),H25))))</f>
        <v>27</v>
      </c>
      <c r="I30" s="53"/>
      <c r="J30" s="53">
        <f>IF($AK7=5,SUM(J25:J29),IF($AK7=4,SUM(J25:J28),IF($AK7=3,SUM(J25:J27),IF($AK7=2,SUM(J25:J26),J25))))</f>
        <v>26</v>
      </c>
      <c r="K30" s="53">
        <f>IF($AK7=5,SUM(K25:K29),IF($AK7=4,SUM(K25:K28),IF($AK7=3,SUM(K25:K27),IF($AK7=2,SUM(K25:K26),K25))))</f>
        <v>25</v>
      </c>
      <c r="L30" s="53"/>
      <c r="M30" s="53">
        <f>IF($AK7=5,SUM(M25:M29),IF($AK7=4,SUM(M25:M28),IF($AK7=3,SUM(M25:M27),IF($AK7=2,SUM(M25:M26),M25))))</f>
        <v>30</v>
      </c>
      <c r="N30" s="53">
        <f>IF($AK7=5,SUM(N25:N29),IF($AK7=4,SUM(N25:N28),IF($AK7=3,SUM(N25:N27),IF($AK7=2,SUM(N25:N26),N25))))</f>
        <v>26</v>
      </c>
      <c r="O30" s="53"/>
      <c r="P30" s="53">
        <f>IF($AK7=5,SUM(P25:P29),IF($AK7=4,SUM(P25:P28),IF($AK7=3,SUM(P25:P27),IF($AK7=2,SUM(P25:P26),P25))))</f>
        <v>27</v>
      </c>
      <c r="Q30" s="53">
        <f>IF($AK7=5,SUM(Q25:Q29),IF($AK7=4,SUM(Q25:Q28),IF($AK7=3,SUM(Q25:Q27),IF($AK7=2,SUM(Q25:Q26),Q25))))</f>
        <v>27</v>
      </c>
      <c r="R30" s="53"/>
      <c r="S30" s="53">
        <f>IF($AK7=5,SUM(S25:S29),IF($AK7=4,SUM(S25:S28),IF($AK7=3,SUM(S25:S27),IF($AK7=2,SUM(S25:S26),S25))))</f>
        <v>24</v>
      </c>
      <c r="T30" s="53">
        <f>IF($AK7=5,SUM(T25:T29),IF($AK7=4,SUM(T25:T28),IF($AK7=3,SUM(T25:T27),IF($AK7=2,SUM(T25:T26),T25))))</f>
        <v>0</v>
      </c>
      <c r="U30" s="53"/>
      <c r="V30" s="53">
        <f>IF($AK7=5,SUM(V25:V29),IF($AK7=4,SUM(V25:V28),IF($AK7=3,SUM(V25:V27),IF($AK7=2,SUM(V25:V26),V25))))</f>
        <v>0</v>
      </c>
      <c r="W30" s="53">
        <f>IF($AK7=5,SUM(W25:W29),IF($AK7=4,SUM(W25:W28),IF($AK7=3,SUM(W25:W27),IF($AK7=2,SUM(W25:W26),W25))))</f>
        <v>0</v>
      </c>
      <c r="X30" s="53"/>
      <c r="Y30" s="53">
        <f>IF($AK7=5,SUM(Y25:Y29),IF($AK7=4,SUM(Y25:Y28),IF($AK7=3,SUM(Y25:Y27),IF($AK7=2,SUM(Y25:Y26),Y25))))</f>
        <v>0</v>
      </c>
      <c r="Z30" s="53">
        <f>IF($AK7=5,SUM(Z25:Z29),IF($AK7=4,SUM(Z25:Z28),IF($AK7=3,SUM(Z25:Z27),IF($AK7=2,SUM(Z25:Z26),Z25))))</f>
        <v>0</v>
      </c>
      <c r="AA30" s="53"/>
      <c r="AB30" s="53">
        <f>IF($AK7=5,SUM(AB25:AB29),IF($AK7=4,SUM(AB25:AB28),IF($AK7=3,SUM(AB25:AB27),IF($AK7=2,SUM(AB25:AB26),AB25))))</f>
        <v>0</v>
      </c>
      <c r="AC30" s="53">
        <f>IF($AK7=5,SUM(AC25:AC29),IF($AK7=4,SUM(AC25:AC28),IF($AK7=3,SUM(AC25:AC27),IF($AK7=2,SUM(AC25:AC26),AC25))))</f>
        <v>0</v>
      </c>
      <c r="AD30" s="53"/>
      <c r="AE30" s="53">
        <f>IF($AK7=5,SUM(AE25:AE29),IF($AK7=4,SUM(AE25:AE28),IF($AK7=3,SUM(AE25:AE27),IF($AK7=2,SUM(AE25:AE26),AE25))))</f>
        <v>0</v>
      </c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T30" s="84"/>
      <c r="AU30" s="84"/>
      <c r="AV30" s="84"/>
    </row>
    <row r="31" spans="1:48" s="55" customFormat="1" ht="12.75" hidden="1" customHeight="1" x14ac:dyDescent="0.2">
      <c r="A31" s="55" t="s">
        <v>81</v>
      </c>
      <c r="B31" s="56">
        <f>IF(AND(B25&gt;D25,$AK8&gt;0,ISNUMBER(B25),ISNUMBER(D25)),1,0)</f>
        <v>0</v>
      </c>
      <c r="C31" s="56"/>
      <c r="D31" s="57">
        <f>IF(AND(D25&gt;B25,$AK8&gt;0,ISNUMBER(B25),ISNUMBER(D25)),1,0)</f>
        <v>1</v>
      </c>
      <c r="E31" s="56">
        <f>IF(AND(E25&gt;G25,$AK8&gt;1,ISNUMBER(E25),ISNUMBER(G25)),1,0)</f>
        <v>1</v>
      </c>
      <c r="F31" s="56"/>
      <c r="G31" s="57">
        <f>IF(AND(G25&gt;E25,$AK8&gt;1,ISNUMBER(E25),ISNUMBER(G25)),1,0)</f>
        <v>0</v>
      </c>
      <c r="H31" s="56">
        <f>IF(AND(H25&gt;J25,$AK8&gt;2,ISNUMBER(H25),ISNUMBER(J25)),1,0)</f>
        <v>1</v>
      </c>
      <c r="I31" s="56"/>
      <c r="J31" s="57">
        <f>IF(AND(J25&gt;H25,$AK8&gt;2,ISNUMBER(H25),ISNUMBER(J25)),1,0)</f>
        <v>0</v>
      </c>
      <c r="K31" s="56">
        <f>IF(AND(K25&gt;M25,$AK8&gt;3,ISNUMBER(K25),ISNUMBER(M25)),1,0)</f>
        <v>0</v>
      </c>
      <c r="L31" s="56"/>
      <c r="M31" s="57">
        <f>IF(AND(M25&gt;K25,$AK8&gt;3,ISNUMBER(K25),ISNUMBER(M25)),1,0)</f>
        <v>1</v>
      </c>
      <c r="N31" s="56">
        <f>IF(AND(N25&gt;P25,$AK8&gt;4,ISNUMBER(N25),ISNUMBER(P25)),1,0)</f>
        <v>0</v>
      </c>
      <c r="O31" s="56"/>
      <c r="P31" s="57">
        <f>IF(AND(P25&gt;N25,$AK8&gt;4,ISNUMBER(N25),ISNUMBER(P25)),1,0)</f>
        <v>1</v>
      </c>
      <c r="Q31" s="56">
        <f>IF(AND(Q25&gt;S25,$AK8&gt;5,ISNUMBER(Q25),ISNUMBER(S25)),1,0)</f>
        <v>1</v>
      </c>
      <c r="R31" s="56"/>
      <c r="S31" s="57">
        <f>IF(AND(S25&gt;Q25,$AK8&gt;5,ISNUMBER(Q25),ISNUMBER(S25)),1,0)</f>
        <v>0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0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0</v>
      </c>
      <c r="AD31" s="56"/>
      <c r="AE31" s="57">
        <f>IF(AND(AE25&gt;AC25,$AK8&gt;9,ISNUMBER(AC25),ISNUMBER(AE25)),1,0)</f>
        <v>0</v>
      </c>
    </row>
    <row r="32" spans="1:48" s="55" customFormat="1" ht="12.75" hidden="1" customHeight="1" x14ac:dyDescent="0.2">
      <c r="A32" s="55" t="s">
        <v>82</v>
      </c>
      <c r="B32" s="56">
        <f>IF(AND(B26&gt;D26,$AK8&gt;0,$AK7&gt;1,ISNUMBER(B26),ISNUMBER(D26)),1,0)</f>
        <v>0</v>
      </c>
      <c r="C32" s="56"/>
      <c r="D32" s="57">
        <f>IF(AND(D26&gt;B26,$AK8&gt;0,$AK7&gt;1,ISNUMBER(B26),ISNUMBER(D26)),1,0)</f>
        <v>0</v>
      </c>
      <c r="E32" s="56">
        <f>IF(AND(E26&gt;G26,$AK8&gt;1,$AK7&gt;1,ISNUMBER(E26),ISNUMBER(G26)),1,0)</f>
        <v>0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0</v>
      </c>
      <c r="I32" s="56"/>
      <c r="J32" s="57">
        <f>IF(AND(J26&gt;H26,$AK8&gt;2,$AK7&gt;1,ISNUMBER(H26),ISNUMBER(J26)),1,0)</f>
        <v>0</v>
      </c>
      <c r="K32" s="56">
        <f>IF(AND(K26&gt;M26,$AK8&gt;3,$AK7&gt;1,ISNUMBER(K26),ISNUMBER(M26)),1,0)</f>
        <v>0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0</v>
      </c>
      <c r="Q32" s="56">
        <f>IF(AND(Q26&gt;S26,$AK8&gt;5,$AK7&gt;1,ISNUMBER(Q26),ISNUMBER(S26)),1,0)</f>
        <v>0</v>
      </c>
      <c r="R32" s="56"/>
      <c r="S32" s="57">
        <f>IF(AND(S26&gt;Q26,$AK8&gt;5,$AK7&gt;1,ISNUMBER(Q26),ISNUMBER(S26)),1,0)</f>
        <v>0</v>
      </c>
      <c r="T32" s="56">
        <f>IF(AND(T26&gt;V26,$AK8&gt;6,$AK7&gt;1,ISNUMBER(T26),ISNUMBER(V26)),1,0)</f>
        <v>0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0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0</v>
      </c>
    </row>
    <row r="33" spans="1:33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</row>
    <row r="34" spans="1:33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</row>
    <row r="35" spans="1:33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</row>
    <row r="36" spans="1:33" s="55" customFormat="1" ht="38.25" hidden="1" customHeight="1" x14ac:dyDescent="0.2">
      <c r="A36" s="59" t="s">
        <v>86</v>
      </c>
      <c r="B36" s="55">
        <f>SUM(B31:B35)</f>
        <v>0</v>
      </c>
      <c r="D36" s="60">
        <f>SUM(D31:D35)</f>
        <v>1</v>
      </c>
      <c r="E36" s="55">
        <f>SUM(E31:E35)</f>
        <v>1</v>
      </c>
      <c r="G36" s="60">
        <f>SUM(G31:G35)</f>
        <v>0</v>
      </c>
      <c r="H36" s="55">
        <f>SUM(H31:H35)</f>
        <v>1</v>
      </c>
      <c r="J36" s="60">
        <f>SUM(J31:J35)</f>
        <v>0</v>
      </c>
      <c r="K36" s="55">
        <f>SUM(K31:K35)</f>
        <v>0</v>
      </c>
      <c r="M36" s="60">
        <f>SUM(M31:M35)</f>
        <v>1</v>
      </c>
      <c r="N36" s="55">
        <f>SUM(N31:N35)</f>
        <v>0</v>
      </c>
      <c r="P36" s="60">
        <f>SUM(P31:P35)</f>
        <v>1</v>
      </c>
      <c r="Q36" s="55">
        <f>SUM(Q31:Q35)</f>
        <v>1</v>
      </c>
      <c r="S36" s="60">
        <f>SUM(S31:S35)</f>
        <v>0</v>
      </c>
      <c r="T36" s="55">
        <f>SUM(T31:T35)</f>
        <v>0</v>
      </c>
      <c r="V36" s="60">
        <f>SUM(V31:V35)</f>
        <v>0</v>
      </c>
      <c r="W36" s="55">
        <f>SUM(W31:W35)</f>
        <v>0</v>
      </c>
      <c r="Y36" s="60">
        <f>SUM(Y31:Y35)</f>
        <v>0</v>
      </c>
      <c r="Z36" s="55">
        <f>SUM(Z31:Z35)</f>
        <v>0</v>
      </c>
      <c r="AB36" s="60">
        <f>SUM(AB31:AB35)</f>
        <v>0</v>
      </c>
      <c r="AC36" s="55">
        <f>SUM(AC31:AC35)</f>
        <v>0</v>
      </c>
      <c r="AE36" s="60">
        <f>SUM(AE31:AE35)</f>
        <v>0</v>
      </c>
    </row>
    <row r="37" spans="1:33" s="55" customFormat="1" ht="25.5" hidden="1" customHeight="1" x14ac:dyDescent="0.2">
      <c r="A37" s="59" t="s">
        <v>87</v>
      </c>
      <c r="B37" s="55">
        <f>IF(B36&gt;D36,IF(C71=AK7,1,IF(C71=AK7-1,1,0)),0)</f>
        <v>0</v>
      </c>
      <c r="C37" s="55">
        <f>B37+D37</f>
        <v>1</v>
      </c>
      <c r="D37" s="60">
        <f>IF(D36&gt;B36,IF(C71=AK7,1,IF(C71=AK7-1,1,0)),0)</f>
        <v>1</v>
      </c>
      <c r="E37" s="55">
        <f>IF(E36&gt;G36,IF(F71=AK7,1,IF(F71=AK7-1,1,0)),0)</f>
        <v>1</v>
      </c>
      <c r="F37" s="55">
        <f>E37+G37</f>
        <v>1</v>
      </c>
      <c r="G37" s="60">
        <f>IF(G36&gt;E36,IF(F71=AK7,1,IF(F71=AK7-1,1,0)),0)</f>
        <v>0</v>
      </c>
      <c r="H37" s="55">
        <f>IF(H36&gt;J36,IF(I71=AK7,1,IF(I71=AK7-1,1,0)),0)</f>
        <v>1</v>
      </c>
      <c r="I37" s="55">
        <f>H37+J37</f>
        <v>1</v>
      </c>
      <c r="J37" s="60">
        <f>IF(J36&gt;H36,IF(I71=AK7,1,IF(I71=AK7-1,1,0)),0)</f>
        <v>0</v>
      </c>
      <c r="K37" s="55">
        <f>IF(K36&gt;M36,IF(L71=AK7,1,IF(L71=AK7-1,1,0)),0)</f>
        <v>0</v>
      </c>
      <c r="L37" s="55">
        <f>K37+M37</f>
        <v>1</v>
      </c>
      <c r="M37" s="60">
        <f>IF(M36&gt;K36,IF(L71=AK7,1,IF(L71=AK7-1,1,0)),0)</f>
        <v>1</v>
      </c>
      <c r="N37" s="55">
        <f>IF(N36&gt;P36,IF(O71=AK7,1,IF(O71=AK7-1,1,0)),0)</f>
        <v>0</v>
      </c>
      <c r="O37" s="55">
        <f>N37+P37</f>
        <v>1</v>
      </c>
      <c r="P37" s="60">
        <f>IF(P36&gt;N36,IF(O71=AK7,1,IF(O71=AK7-1,1,0)),0)</f>
        <v>1</v>
      </c>
      <c r="Q37" s="55">
        <f>IF(Q36&gt;S36,IF(R71=AK7,1,IF(R71=AK7-1,1,0)),0)</f>
        <v>1</v>
      </c>
      <c r="R37" s="55">
        <f>Q37+S37</f>
        <v>1</v>
      </c>
      <c r="S37" s="60">
        <f>IF(S36&gt;Q36,IF(R71=AK7,1,IF(R71=AK7-1,1,0)),0)</f>
        <v>0</v>
      </c>
      <c r="T37" s="55">
        <f>IF(T36&gt;V36,IF(U71=AK7,1,IF(U71=AK7-1,1,0)),0)</f>
        <v>0</v>
      </c>
      <c r="U37" s="55">
        <f>T37+V37</f>
        <v>0</v>
      </c>
      <c r="V37" s="60">
        <f>IF(V36&gt;T36,IF(U71=AK7,1,IF(U71=AK7-1,1,0)),0)</f>
        <v>0</v>
      </c>
      <c r="W37" s="55">
        <f>IF(W36&gt;Y36,IF(X71=AK7,1,IF(X71=AK7-1,1,0)),0)</f>
        <v>0</v>
      </c>
      <c r="X37" s="55">
        <f>W37+Y37</f>
        <v>0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0</v>
      </c>
      <c r="AB37" s="60">
        <f>IF(AB36&gt;Z36,IF(AA71=AK7,1,IF(AA71=AK7-1,1,0)),0)</f>
        <v>0</v>
      </c>
      <c r="AC37" s="55">
        <f>IF(AC36&gt;AE36,IF(AD71=AK7,1,IF(AD71=AK7-1,1,0)),0)</f>
        <v>0</v>
      </c>
      <c r="AD37" s="55">
        <f>AC37+AE37</f>
        <v>0</v>
      </c>
      <c r="AE37" s="60">
        <f>IF(AE36&gt;AC36,IF(AD71=AK7,1,IF(AD71=AK7-1,1,0)),0)</f>
        <v>0</v>
      </c>
    </row>
    <row r="38" spans="1:33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</row>
    <row r="39" spans="1:33" s="55" customFormat="1" ht="12.75" hidden="1" customHeight="1" x14ac:dyDescent="0.2">
      <c r="A39" s="55" t="s">
        <v>88</v>
      </c>
      <c r="B39" s="55">
        <f>IF(B31=1,B25,0)</f>
        <v>0</v>
      </c>
      <c r="D39" s="60">
        <f t="shared" ref="D39:E43" si="2">IF(D31=1,D25,0)</f>
        <v>24</v>
      </c>
      <c r="E39" s="55">
        <f t="shared" si="2"/>
        <v>28</v>
      </c>
      <c r="G39" s="60">
        <f t="shared" ref="G39:H43" si="3">IF(G31=1,G25,0)</f>
        <v>0</v>
      </c>
      <c r="H39" s="55">
        <f t="shared" si="3"/>
        <v>27</v>
      </c>
      <c r="J39" s="60">
        <f t="shared" ref="J39:K43" si="4">IF(J31=1,J25,0)</f>
        <v>0</v>
      </c>
      <c r="K39" s="55">
        <f t="shared" si="4"/>
        <v>0</v>
      </c>
      <c r="M39" s="60">
        <f t="shared" ref="M39:N43" si="5">IF(M31=1,M25,0)</f>
        <v>30</v>
      </c>
      <c r="N39" s="55">
        <f t="shared" si="5"/>
        <v>0</v>
      </c>
      <c r="P39" s="60">
        <f t="shared" ref="P39:Q43" si="6">IF(P31=1,P25,0)</f>
        <v>27</v>
      </c>
      <c r="Q39" s="55">
        <f t="shared" si="6"/>
        <v>27</v>
      </c>
      <c r="S39" s="60">
        <f t="shared" ref="S39:T43" si="7">IF(S31=1,S25,0)</f>
        <v>0</v>
      </c>
      <c r="T39" s="55">
        <f t="shared" si="7"/>
        <v>0</v>
      </c>
      <c r="V39" s="60">
        <f t="shared" ref="V39:W43" si="8">IF(V31=1,V25,0)</f>
        <v>0</v>
      </c>
      <c r="W39" s="55">
        <f t="shared" si="8"/>
        <v>0</v>
      </c>
      <c r="Y39" s="60">
        <f t="shared" ref="Y39:Z43" si="9">IF(Y31=1,Y25,0)</f>
        <v>0</v>
      </c>
      <c r="Z39" s="55">
        <f t="shared" si="9"/>
        <v>0</v>
      </c>
      <c r="AB39" s="60">
        <f t="shared" ref="AB39:AC43" si="10">IF(AB31=1,AB25,0)</f>
        <v>0</v>
      </c>
      <c r="AC39" s="55">
        <f t="shared" si="10"/>
        <v>0</v>
      </c>
      <c r="AE39" s="60">
        <f>IF(AE31=1,AE25,0)</f>
        <v>0</v>
      </c>
    </row>
    <row r="40" spans="1:33" s="55" customFormat="1" ht="12.75" hidden="1" customHeight="1" x14ac:dyDescent="0.2">
      <c r="A40" s="55" t="s">
        <v>89</v>
      </c>
      <c r="B40" s="55">
        <f>IF(B32=1,B26,0)</f>
        <v>0</v>
      </c>
      <c r="D40" s="60">
        <f t="shared" si="2"/>
        <v>0</v>
      </c>
      <c r="E40" s="55">
        <f t="shared" si="2"/>
        <v>0</v>
      </c>
      <c r="G40" s="60">
        <f t="shared" si="3"/>
        <v>0</v>
      </c>
      <c r="H40" s="55">
        <f t="shared" si="3"/>
        <v>0</v>
      </c>
      <c r="J40" s="60">
        <f t="shared" si="4"/>
        <v>0</v>
      </c>
      <c r="K40" s="55">
        <f t="shared" si="4"/>
        <v>0</v>
      </c>
      <c r="M40" s="60">
        <f t="shared" si="5"/>
        <v>0</v>
      </c>
      <c r="N40" s="55">
        <f t="shared" si="5"/>
        <v>0</v>
      </c>
      <c r="P40" s="60">
        <f t="shared" si="6"/>
        <v>0</v>
      </c>
      <c r="Q40" s="55">
        <f t="shared" si="6"/>
        <v>0</v>
      </c>
      <c r="S40" s="60">
        <f t="shared" si="7"/>
        <v>0</v>
      </c>
      <c r="T40" s="55">
        <f t="shared" si="7"/>
        <v>0</v>
      </c>
      <c r="V40" s="60">
        <f t="shared" si="8"/>
        <v>0</v>
      </c>
      <c r="W40" s="55">
        <f t="shared" si="8"/>
        <v>0</v>
      </c>
      <c r="Y40" s="60">
        <f t="shared" si="9"/>
        <v>0</v>
      </c>
      <c r="Z40" s="55">
        <f t="shared" si="9"/>
        <v>0</v>
      </c>
      <c r="AB40" s="60">
        <f t="shared" si="10"/>
        <v>0</v>
      </c>
      <c r="AC40" s="55">
        <f t="shared" si="10"/>
        <v>0</v>
      </c>
      <c r="AE40" s="60">
        <f>IF(AE32=1,AE26,0)</f>
        <v>0</v>
      </c>
    </row>
    <row r="41" spans="1:33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</row>
    <row r="42" spans="1:33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</row>
    <row r="43" spans="1:33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</row>
    <row r="44" spans="1:33" s="55" customFormat="1" ht="38.25" hidden="1" customHeight="1" x14ac:dyDescent="0.2">
      <c r="A44" s="59" t="s">
        <v>93</v>
      </c>
      <c r="B44" s="55">
        <f>SUM(B39:D43)</f>
        <v>24</v>
      </c>
      <c r="D44" s="60"/>
      <c r="E44" s="55">
        <f>SUM(E39:G43)</f>
        <v>28</v>
      </c>
      <c r="G44" s="60"/>
      <c r="H44" s="55">
        <f>SUM(H39:J43)</f>
        <v>27</v>
      </c>
      <c r="J44" s="60"/>
      <c r="K44" s="55">
        <f>SUM(K39:M43)</f>
        <v>30</v>
      </c>
      <c r="M44" s="60"/>
      <c r="N44" s="55">
        <f>SUM(N39:P43)</f>
        <v>27</v>
      </c>
      <c r="P44" s="60"/>
      <c r="Q44" s="55">
        <f>SUM(Q39:S43)</f>
        <v>27</v>
      </c>
      <c r="S44" s="60"/>
      <c r="T44" s="55">
        <f>SUM(T39:V43)</f>
        <v>0</v>
      </c>
      <c r="V44" s="60"/>
      <c r="W44" s="55">
        <f>SUM(W39:Y43)</f>
        <v>0</v>
      </c>
      <c r="Y44" s="60"/>
      <c r="Z44" s="55">
        <f>SUM(Z39:AB43)</f>
        <v>0</v>
      </c>
      <c r="AB44" s="60"/>
      <c r="AC44" s="55">
        <f>SUM(AC39:AE43)</f>
        <v>0</v>
      </c>
      <c r="AE44" s="60"/>
    </row>
    <row r="45" spans="1:33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</row>
    <row r="46" spans="1:33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1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1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0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2</v>
      </c>
      <c r="AG46" s="55">
        <f>AF52-AF46</f>
        <v>1</v>
      </c>
    </row>
    <row r="47" spans="1:33" s="55" customFormat="1" ht="12.75" hidden="1" customHeight="1" x14ac:dyDescent="0.2">
      <c r="A47" s="55" t="s">
        <v>98</v>
      </c>
      <c r="B47" s="55">
        <f>IF(B24=2,IF(B37=1,1,0),0)</f>
        <v>0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1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1</v>
      </c>
      <c r="AG47" s="55">
        <f>AF53-AF47</f>
        <v>2</v>
      </c>
    </row>
    <row r="48" spans="1:33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1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1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2</v>
      </c>
      <c r="AG48" s="55">
        <f>AF54-AF48</f>
        <v>1</v>
      </c>
    </row>
    <row r="49" spans="1:37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1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1</v>
      </c>
      <c r="AG49" s="55">
        <f>AF55-AF49</f>
        <v>2</v>
      </c>
    </row>
    <row r="50" spans="1:37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0</v>
      </c>
      <c r="AG50" s="55">
        <f>AF56-AF50</f>
        <v>0</v>
      </c>
    </row>
    <row r="51" spans="1:37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</row>
    <row r="52" spans="1:37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1</v>
      </c>
      <c r="M52" s="60">
        <f>IF(M24=1,IF(L37=1,1,0),0)</f>
        <v>0</v>
      </c>
      <c r="N52" s="55">
        <f>IF(N24=1,IF(O37=1,1,0),0)</f>
        <v>0</v>
      </c>
      <c r="P52" s="60">
        <f>IF(P24=1,IF(O37=1,1,0),0)</f>
        <v>0</v>
      </c>
      <c r="Q52" s="55">
        <f>IF(Q24=1,IF(R37=1,1,0),0)</f>
        <v>1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0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0</v>
      </c>
      <c r="AE52" s="60">
        <f>IF(AE24=1,IF(AD37=1,1,0),0)</f>
        <v>0</v>
      </c>
      <c r="AF52" s="55">
        <f>SUM(B52:AE52)</f>
        <v>3</v>
      </c>
    </row>
    <row r="53" spans="1:37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1</v>
      </c>
      <c r="J53" s="60">
        <f>IF(J24=2,IF(I37=1,1,0),0)</f>
        <v>0</v>
      </c>
      <c r="K53" s="55">
        <f>IF(K24=2,IF(L37=1,1,0),0)</f>
        <v>0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1</v>
      </c>
      <c r="T53" s="55">
        <f>IF(T24=2,IF(U37=1,1,0),0)</f>
        <v>0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0</v>
      </c>
      <c r="AF53" s="55">
        <f>SUM(B53:AE53)</f>
        <v>3</v>
      </c>
    </row>
    <row r="54" spans="1:37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1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0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1</v>
      </c>
      <c r="N54" s="55">
        <f>IF(N24=3,IF(O37=1,1,0),0)</f>
        <v>1</v>
      </c>
      <c r="P54" s="60">
        <f>IF(P24=3,IF(O37=1,1,0),0)</f>
        <v>0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0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0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3</v>
      </c>
    </row>
    <row r="55" spans="1:37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1</v>
      </c>
      <c r="K55" s="55">
        <f>IF(K24=4,IF(L37=1,1,0),0)</f>
        <v>0</v>
      </c>
      <c r="M55" s="60">
        <f>IF(M24=4,IF(L37=1,1,0),0)</f>
        <v>0</v>
      </c>
      <c r="N55" s="55">
        <f>IF(N24=4,IF(O37=1,1,0),0)</f>
        <v>0</v>
      </c>
      <c r="P55" s="60">
        <f>IF(P24=4,IF(O37=1,1,0),0)</f>
        <v>1</v>
      </c>
      <c r="Q55" s="55">
        <f>IF(Q24=4,IF(R37=1,1,0),0)</f>
        <v>0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0</v>
      </c>
      <c r="AC55" s="55">
        <f>IF(AC24=4,IF(AD37=1,1,0),0)</f>
        <v>0</v>
      </c>
      <c r="AE55" s="60">
        <f>IF(AE24=4,IF(AD37=1,1,0),0)</f>
        <v>0</v>
      </c>
      <c r="AF55" s="55">
        <f>SUM(B55:AE55)</f>
        <v>3</v>
      </c>
    </row>
    <row r="56" spans="1:37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0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0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0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0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0</v>
      </c>
    </row>
    <row r="57" spans="1:37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</row>
    <row r="58" spans="1:37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28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30</v>
      </c>
      <c r="M58" s="60">
        <f>IF(M24=1,K44,0)</f>
        <v>0</v>
      </c>
      <c r="N58" s="55">
        <f>IF(N24=1,N44,0)</f>
        <v>0</v>
      </c>
      <c r="P58" s="60">
        <f>IF(P24=1,N44,0)</f>
        <v>0</v>
      </c>
      <c r="Q58" s="55">
        <f>IF(Q24=1,Q44,0)</f>
        <v>27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0</v>
      </c>
      <c r="AE58" s="60">
        <f>IF(AE24=1,AC44,0)</f>
        <v>0</v>
      </c>
      <c r="AF58" s="55">
        <f>SUM(B58:AE58)</f>
        <v>85</v>
      </c>
    </row>
    <row r="59" spans="1:37" s="55" customFormat="1" ht="12.75" hidden="1" customHeight="1" x14ac:dyDescent="0.2">
      <c r="A59" s="55" t="s">
        <v>104</v>
      </c>
      <c r="B59" s="55">
        <f>IF(B24=2,B44,0)</f>
        <v>24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27</v>
      </c>
      <c r="J59" s="60">
        <f>IF(J24=2,H44,0)</f>
        <v>0</v>
      </c>
      <c r="K59" s="55">
        <f>IF(K24=2,K44,0)</f>
        <v>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27</v>
      </c>
      <c r="T59" s="55">
        <f>IF(T24=2,T44,0)</f>
        <v>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0</v>
      </c>
      <c r="AF59" s="55">
        <f>SUM(B59:AE59)</f>
        <v>78</v>
      </c>
    </row>
    <row r="60" spans="1:37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24</v>
      </c>
      <c r="E60" s="55">
        <f>IF(E24=3,E44,0)</f>
        <v>0</v>
      </c>
      <c r="G60" s="60">
        <f>IF(G24=3,E44,0)</f>
        <v>0</v>
      </c>
      <c r="H60" s="55">
        <f>IF(H24=3,H44,0)</f>
        <v>0</v>
      </c>
      <c r="J60" s="60">
        <f>IF(J24=3,H44,0)</f>
        <v>0</v>
      </c>
      <c r="K60" s="55">
        <f>IF(K24=3,K44,0)</f>
        <v>0</v>
      </c>
      <c r="M60" s="60">
        <f>IF(M24=3,K44,0)</f>
        <v>30</v>
      </c>
      <c r="N60" s="55">
        <f>IF(N24=3,N44,0)</f>
        <v>27</v>
      </c>
      <c r="P60" s="60">
        <f>IF(P24=3,N44,0)</f>
        <v>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0</v>
      </c>
      <c r="W60" s="55">
        <f>IF(W24=3,W44,0)</f>
        <v>0</v>
      </c>
      <c r="Y60" s="60">
        <f>IF(Y24=3,W44,0)</f>
        <v>0</v>
      </c>
      <c r="Z60" s="55">
        <f>IF(Z24=3,Z44,0)</f>
        <v>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81</v>
      </c>
    </row>
    <row r="61" spans="1:37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28</v>
      </c>
      <c r="H61" s="55">
        <f>IF(H24=4,H44,0)</f>
        <v>0</v>
      </c>
      <c r="J61" s="60">
        <f>IF(J24=4,H44,0)</f>
        <v>27</v>
      </c>
      <c r="K61" s="55">
        <f>IF(K24=4,K44,0)</f>
        <v>0</v>
      </c>
      <c r="M61" s="60">
        <f>IF(M24=4,K44,0)</f>
        <v>0</v>
      </c>
      <c r="N61" s="55">
        <f>IF(N24=4,N44,0)</f>
        <v>0</v>
      </c>
      <c r="P61" s="60">
        <f>IF(P24=4,N44,0)</f>
        <v>27</v>
      </c>
      <c r="Q61" s="55">
        <f>IF(Q24=4,Q44,0)</f>
        <v>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0</v>
      </c>
      <c r="AC61" s="55">
        <f>IF(AC24=4,AC44,0)</f>
        <v>0</v>
      </c>
      <c r="AE61" s="60">
        <f>IF(AE24=4,AC44,0)</f>
        <v>0</v>
      </c>
      <c r="AF61" s="55">
        <f>SUM(B61:AE61)</f>
        <v>82</v>
      </c>
    </row>
    <row r="62" spans="1:37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0</v>
      </c>
    </row>
    <row r="63" spans="1:37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</row>
    <row r="64" spans="1:37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1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0</v>
      </c>
      <c r="P64" s="60">
        <f>IF(P24=1,SUMIF(P31:P35,"&gt;0"),0)</f>
        <v>0</v>
      </c>
      <c r="Q64" s="55">
        <f>IF(Q24=1,SUMIF(Q31:Q35,"&gt;0"),0)</f>
        <v>1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0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0</v>
      </c>
      <c r="AE64" s="60">
        <f>IF(AE24=1,SUMIF(AE31:AE35,"&gt;0"),0)</f>
        <v>0</v>
      </c>
      <c r="AF64" s="55">
        <f>SUM(B64:AE64)</f>
        <v>2</v>
      </c>
      <c r="AG64" s="55">
        <f>AF72-AF64</f>
        <v>1</v>
      </c>
    </row>
    <row r="65" spans="1:49" s="55" customFormat="1" ht="12.75" hidden="1" customHeight="1" x14ac:dyDescent="0.2">
      <c r="A65" s="55" t="s">
        <v>98</v>
      </c>
      <c r="B65" s="55">
        <f>IF(B24=2,SUMIF(B31:B35,"&gt;0"),0)</f>
        <v>0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1</v>
      </c>
      <c r="J65" s="60">
        <f>IF(J24=2,SUMIF(J31:J35,"&gt;0"),0)</f>
        <v>0</v>
      </c>
      <c r="K65" s="55">
        <f>IF(K24=2,SUMIF(K31:K35,"&gt;0"),0)</f>
        <v>0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0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1</v>
      </c>
      <c r="AG65" s="55">
        <f>AF73-AF65</f>
        <v>2</v>
      </c>
    </row>
    <row r="66" spans="1:49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1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1</v>
      </c>
      <c r="N66" s="55">
        <f>IF(N24=3,SUMIF(N31:N35,"&gt;0"),0)</f>
        <v>0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0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0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2</v>
      </c>
      <c r="AG66" s="55">
        <f>AF74-AF66</f>
        <v>1</v>
      </c>
    </row>
    <row r="67" spans="1:49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0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1</v>
      </c>
      <c r="Q67" s="55">
        <f>IF(Q24=4,SUMIF(Q31:Q35,"&gt;0"),0)</f>
        <v>0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0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1</v>
      </c>
      <c r="AG67" s="55">
        <f>AF75-AF67</f>
        <v>2</v>
      </c>
    </row>
    <row r="68" spans="1:49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0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0</v>
      </c>
      <c r="AG68" s="55">
        <f>AF76-AF68</f>
        <v>0</v>
      </c>
    </row>
    <row r="69" spans="1:49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</row>
    <row r="70" spans="1:49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</row>
    <row r="71" spans="1:49" s="55" customFormat="1" ht="51" hidden="1" customHeight="1" x14ac:dyDescent="0.2">
      <c r="A71" s="59" t="s">
        <v>112</v>
      </c>
      <c r="C71" s="55">
        <f>SUMIF(B64:D68,"&gt;0")</f>
        <v>1</v>
      </c>
      <c r="D71" s="60"/>
      <c r="F71" s="55">
        <f>SUMIF(E64:G68,"&gt;0")</f>
        <v>1</v>
      </c>
      <c r="G71" s="60"/>
      <c r="I71" s="55">
        <f>SUMIF(H64:J68,"&gt;0")</f>
        <v>1</v>
      </c>
      <c r="J71" s="60"/>
      <c r="L71" s="55">
        <f>SUMIF(K64:M68,"&gt;0")</f>
        <v>1</v>
      </c>
      <c r="M71" s="60"/>
      <c r="O71" s="55">
        <f>SUMIF(N64:P68,"&gt;0")</f>
        <v>1</v>
      </c>
      <c r="P71" s="60"/>
      <c r="R71" s="55">
        <f>SUMIF(Q64:S68,"&gt;0")</f>
        <v>1</v>
      </c>
      <c r="S71" s="60"/>
      <c r="U71" s="55">
        <f>SUMIF(T64:V68,"&gt;0")</f>
        <v>0</v>
      </c>
      <c r="V71" s="60"/>
      <c r="X71" s="55">
        <f>SUMIF(W64:Y68,"&gt;0")</f>
        <v>0</v>
      </c>
      <c r="Y71" s="60"/>
      <c r="AA71" s="55">
        <f>SUMIF(Z64:AB68,"&gt;0")</f>
        <v>0</v>
      </c>
      <c r="AB71" s="60"/>
      <c r="AD71" s="55">
        <f>SUMIF(AC64:AE68,"&gt;0")</f>
        <v>0</v>
      </c>
      <c r="AE71" s="60"/>
      <c r="AF71" s="59" t="s">
        <v>113</v>
      </c>
    </row>
    <row r="72" spans="1:49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1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1</v>
      </c>
      <c r="M72" s="60">
        <f>IF(M24=1,L71,0)</f>
        <v>0</v>
      </c>
      <c r="N72" s="55">
        <f>IF(N24=1,O71,0)</f>
        <v>0</v>
      </c>
      <c r="P72" s="60">
        <f>IF(P24=1,O71,0)</f>
        <v>0</v>
      </c>
      <c r="Q72" s="55">
        <f>IF(Q24=1,R71,0)</f>
        <v>1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0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0</v>
      </c>
      <c r="AE72" s="60">
        <f>IF(AE24=1,AD71,0)</f>
        <v>0</v>
      </c>
      <c r="AF72" s="55">
        <f>SUM(B72:AE72)</f>
        <v>3</v>
      </c>
    </row>
    <row r="73" spans="1:49" s="55" customFormat="1" ht="12.75" hidden="1" customHeight="1" x14ac:dyDescent="0.2">
      <c r="A73" s="55" t="s">
        <v>104</v>
      </c>
      <c r="B73" s="55">
        <f>IF(B24=2,C71,0)</f>
        <v>1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1</v>
      </c>
      <c r="J73" s="60">
        <f>IF(J24=2,I71,0)</f>
        <v>0</v>
      </c>
      <c r="K73" s="55">
        <f>IF(K24=2,L71,0)</f>
        <v>0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1</v>
      </c>
      <c r="T73" s="55">
        <f>IF(T24=2,U71,0)</f>
        <v>0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0</v>
      </c>
      <c r="AF73" s="55">
        <f>SUM(B73:AE73)</f>
        <v>3</v>
      </c>
    </row>
    <row r="74" spans="1:49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1</v>
      </c>
      <c r="E74" s="55">
        <f>IF(E24=3,F71,0)</f>
        <v>0</v>
      </c>
      <c r="G74" s="60">
        <f>IF(G24=3,F71,0)</f>
        <v>0</v>
      </c>
      <c r="H74" s="55">
        <f>IF(H24=3,I71,0)</f>
        <v>0</v>
      </c>
      <c r="J74" s="60">
        <f>IF(J24=3,I71,0)</f>
        <v>0</v>
      </c>
      <c r="K74" s="55">
        <f>IF(K24=3,L71,0)</f>
        <v>0</v>
      </c>
      <c r="M74" s="60">
        <f>IF(M24=3,L71,0)</f>
        <v>1</v>
      </c>
      <c r="N74" s="55">
        <f>IF(N24=3,O71,0)</f>
        <v>1</v>
      </c>
      <c r="P74" s="60">
        <f>IF(P24=3,O71,0)</f>
        <v>0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0</v>
      </c>
      <c r="W74" s="55">
        <f>IF(W24=3,X71,0)</f>
        <v>0</v>
      </c>
      <c r="Y74" s="60">
        <f>IF(Y24=3,X71,0)</f>
        <v>0</v>
      </c>
      <c r="Z74" s="55">
        <f>IF(Z24=3,AA71,0)</f>
        <v>0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3</v>
      </c>
    </row>
    <row r="75" spans="1:49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1</v>
      </c>
      <c r="H75" s="55">
        <f>IF(H24=4,I71,0)</f>
        <v>0</v>
      </c>
      <c r="J75" s="60">
        <f>IF(J24=4,I71,0)</f>
        <v>1</v>
      </c>
      <c r="K75" s="55">
        <f>IF(K24=4,L71,0)</f>
        <v>0</v>
      </c>
      <c r="M75" s="60">
        <f>IF(M24=4,L71,0)</f>
        <v>0</v>
      </c>
      <c r="N75" s="55">
        <f>IF(N24=4,O71,0)</f>
        <v>0</v>
      </c>
      <c r="P75" s="60">
        <f>IF(P24=4,O71,0)</f>
        <v>1</v>
      </c>
      <c r="Q75" s="55">
        <f>IF(Q24=4,R71,0)</f>
        <v>0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0</v>
      </c>
      <c r="AC75" s="55">
        <f>IF(AC24=4,AD71,0)</f>
        <v>0</v>
      </c>
      <c r="AE75" s="60">
        <f>IF(AE24=4,AD71,0)</f>
        <v>0</v>
      </c>
      <c r="AF75" s="55">
        <f>SUM(B75:AE75)</f>
        <v>3</v>
      </c>
    </row>
    <row r="76" spans="1:49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0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0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0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0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0</v>
      </c>
      <c r="AT76" s="63"/>
      <c r="AU76" s="63"/>
      <c r="AV76" s="63"/>
    </row>
    <row r="77" spans="1:49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AW77" s="130"/>
    </row>
    <row r="78" spans="1:49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</row>
    <row r="79" spans="1:49" s="63" customFormat="1" hidden="1" x14ac:dyDescent="0.2">
      <c r="A79" s="67">
        <v>1</v>
      </c>
      <c r="B79" s="67" t="str">
        <f>E8</f>
        <v>Foothills 12 Kim</v>
      </c>
      <c r="C79" s="67">
        <f>VLOOKUP(B79,AU$3:AW$33,3,FALSE)</f>
        <v>1202.1576214335375</v>
      </c>
      <c r="D79" s="67">
        <f>IF(B72,B87,IF(D72,D87,C79))</f>
        <v>1202.1576214335375</v>
      </c>
      <c r="E79" s="67"/>
      <c r="F79" s="67"/>
      <c r="G79" s="67">
        <f>IF(E72,E87,IF(G72,G87,D79))</f>
        <v>1216.1690741059372</v>
      </c>
      <c r="H79" s="67"/>
      <c r="I79" s="67"/>
      <c r="J79" s="67">
        <f>IF(H72,H87,IF(J72,J87,G79))</f>
        <v>1216.1690741059372</v>
      </c>
      <c r="K79" s="67"/>
      <c r="L79" s="67"/>
      <c r="M79" s="67">
        <f>IF(K72,K87,IF(M72,M87,J79))</f>
        <v>1196.3097086511516</v>
      </c>
      <c r="N79" s="67"/>
      <c r="O79" s="67"/>
      <c r="P79" s="67">
        <f>IF(N72,N87,IF(P72,P87,M79))</f>
        <v>1196.3097086511516</v>
      </c>
      <c r="Q79" s="67"/>
      <c r="R79" s="67"/>
      <c r="S79" s="67">
        <f>IF(Q72,Q87,IF(S72,S87,P79))</f>
        <v>1212.2197750275632</v>
      </c>
      <c r="T79" s="67"/>
      <c r="U79" s="67"/>
      <c r="V79" s="67">
        <f>IF(T72,T87,IF(V72,V87,S79))</f>
        <v>1212.2197750275632</v>
      </c>
      <c r="W79" s="67"/>
      <c r="X79" s="67"/>
      <c r="Y79" s="67">
        <f>IF(W72,W87,IF(Y72,Y87,V79))</f>
        <v>1212.2197750275632</v>
      </c>
      <c r="Z79" s="67"/>
      <c r="AA79" s="67"/>
      <c r="AB79" s="67">
        <f>IF(Z72,Z87,IF(AB72,AB87,Y79))</f>
        <v>1212.2197750275632</v>
      </c>
      <c r="AC79" s="67"/>
      <c r="AD79" s="67"/>
      <c r="AE79" s="67">
        <f>IF(AC72,AC87,IF(AE72,AE87,AB79))</f>
        <v>1212.2197750275632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Foothills 12 Kim</v>
      </c>
      <c r="AU79" s="63">
        <f>AE79</f>
        <v>1212.2197750275632</v>
      </c>
      <c r="AW79" s="66"/>
    </row>
    <row r="80" spans="1:49" s="63" customFormat="1" hidden="1" x14ac:dyDescent="0.2">
      <c r="A80" s="67">
        <v>2</v>
      </c>
      <c r="B80" s="67" t="str">
        <f>E10</f>
        <v>Kershaw Dev 12 Black</v>
      </c>
      <c r="C80" s="67">
        <f>VLOOKUP(B80,AU$3:AW$33,3,FALSE)</f>
        <v>1200</v>
      </c>
      <c r="D80" s="67">
        <f>IF(B73,B87,IF(D73,D87,C80))</f>
        <v>1179.9737955465398</v>
      </c>
      <c r="E80" s="67"/>
      <c r="F80" s="67"/>
      <c r="G80" s="67">
        <f>IF(E73,E87,IF(G73,G87,D80))</f>
        <v>1179.9737955465398</v>
      </c>
      <c r="H80" s="67"/>
      <c r="I80" s="67"/>
      <c r="J80" s="67">
        <f>IF(H73,H87,IF(J73,J87,G80))</f>
        <v>1194.3568042612098</v>
      </c>
      <c r="K80" s="67"/>
      <c r="L80" s="67"/>
      <c r="M80" s="67">
        <f>IF(K73,K87,IF(M73,M87,J80))</f>
        <v>1194.3568042612098</v>
      </c>
      <c r="N80" s="67"/>
      <c r="O80" s="67"/>
      <c r="P80" s="67">
        <f>IF(N73,N87,IF(P73,P87,M80))</f>
        <v>1194.3568042612098</v>
      </c>
      <c r="Q80" s="67"/>
      <c r="R80" s="67"/>
      <c r="S80" s="67">
        <f>IF(Q73,Q87,IF(S73,S87,P80))</f>
        <v>1178.4467378847983</v>
      </c>
      <c r="T80" s="67"/>
      <c r="U80" s="67"/>
      <c r="V80" s="67">
        <f>IF(T73,T87,IF(V73,V87,S80))</f>
        <v>1178.4467378847983</v>
      </c>
      <c r="W80" s="67"/>
      <c r="X80" s="67"/>
      <c r="Y80" s="67">
        <f>IF(W73,W87,IF(Y73,Y87,V80))</f>
        <v>1178.4467378847983</v>
      </c>
      <c r="Z80" s="67"/>
      <c r="AA80" s="67"/>
      <c r="AB80" s="67">
        <f>IF(Z73,Z87,IF(AB73,AB87,Y80))</f>
        <v>1178.4467378847983</v>
      </c>
      <c r="AC80" s="67"/>
      <c r="AD80" s="67"/>
      <c r="AE80" s="67">
        <f>IF(AC73,AC87,IF(AE73,AE87,AB80))</f>
        <v>1178.4467378847983</v>
      </c>
      <c r="AF80" s="4"/>
      <c r="AG80" s="4"/>
      <c r="AJ80" s="4"/>
      <c r="AL80" s="4"/>
      <c r="AM80" s="4"/>
      <c r="AN80" s="4"/>
      <c r="AO80" s="4"/>
      <c r="AT80" s="63" t="str">
        <f>B80</f>
        <v>Kershaw Dev 12 Black</v>
      </c>
      <c r="AU80" s="63">
        <f>AE80</f>
        <v>1178.4467378847983</v>
      </c>
      <c r="AW80" s="66"/>
    </row>
    <row r="81" spans="1:49" s="63" customFormat="1" hidden="1" x14ac:dyDescent="0.2">
      <c r="A81" s="67">
        <v>3</v>
      </c>
      <c r="B81" s="67" t="str">
        <f>E12</f>
        <v>Kidz Power Intense RH</v>
      </c>
      <c r="C81" s="67">
        <f>VLOOKUP(B81,AU$3:AW$33,3,FALSE)</f>
        <v>1110.6532770275439</v>
      </c>
      <c r="D81" s="67">
        <f>IF(B74,B87,IF(D74,D87,C81))</f>
        <v>1130.6794814810041</v>
      </c>
      <c r="E81" s="67"/>
      <c r="F81" s="67"/>
      <c r="G81" s="67">
        <f>IF(E74,E87,IF(G74,G87,D81))</f>
        <v>1130.6794814810041</v>
      </c>
      <c r="H81" s="67"/>
      <c r="I81" s="67"/>
      <c r="J81" s="67">
        <f>IF(H74,H87,IF(J74,J87,G81))</f>
        <v>1130.6794814810041</v>
      </c>
      <c r="K81" s="67"/>
      <c r="L81" s="67"/>
      <c r="M81" s="67">
        <f>IF(K74,K87,IF(M74,M87,J81))</f>
        <v>1150.5388469357897</v>
      </c>
      <c r="N81" s="67"/>
      <c r="O81" s="67"/>
      <c r="P81" s="67">
        <f>IF(N74,N87,IF(P74,P87,M81))</f>
        <v>1133.6105278384805</v>
      </c>
      <c r="Q81" s="67"/>
      <c r="R81" s="67"/>
      <c r="S81" s="67">
        <f>IF(Q74,Q87,IF(S74,S87,P81))</f>
        <v>1133.6105278384805</v>
      </c>
      <c r="T81" s="67"/>
      <c r="U81" s="67"/>
      <c r="V81" s="67">
        <f>IF(T74,T87,IF(V74,V87,S81))</f>
        <v>1133.6105278384805</v>
      </c>
      <c r="W81" s="67"/>
      <c r="X81" s="67"/>
      <c r="Y81" s="67">
        <f>IF(W74,W87,IF(Y74,Y87,V81))</f>
        <v>1133.6105278384805</v>
      </c>
      <c r="Z81" s="67"/>
      <c r="AA81" s="67"/>
      <c r="AB81" s="67">
        <f>IF(Z74,Z87,IF(AB74,AB87,Y81))</f>
        <v>1133.6105278384805</v>
      </c>
      <c r="AC81" s="67"/>
      <c r="AD81" s="67"/>
      <c r="AE81" s="67">
        <f>IF(AC74,AC87,IF(AE74,AE87,AB81))</f>
        <v>1133.6105278384805</v>
      </c>
      <c r="AF81" s="4"/>
      <c r="AG81" s="4"/>
      <c r="AJ81" s="4"/>
      <c r="AL81" s="4"/>
      <c r="AM81" s="4"/>
      <c r="AN81" s="4"/>
      <c r="AO81" s="4"/>
      <c r="AT81" s="63" t="str">
        <f>B81</f>
        <v>Kidz Power Intense RH</v>
      </c>
      <c r="AU81" s="63">
        <f>AE81</f>
        <v>1133.6105278384805</v>
      </c>
      <c r="AW81" s="66"/>
    </row>
    <row r="82" spans="1:49" s="63" customFormat="1" hidden="1" x14ac:dyDescent="0.2">
      <c r="A82" s="67">
        <v>4</v>
      </c>
      <c r="B82" s="67" t="str">
        <f>E14</f>
        <v>Magnum Youth Academy</v>
      </c>
      <c r="C82" s="67">
        <f>VLOOKUP(B82,AU$3:AW$33,3,FALSE)</f>
        <v>1158.7524498540417</v>
      </c>
      <c r="D82" s="67">
        <f>IF(B75,B87,IF(D75,D87,C82))</f>
        <v>1158.7524498540417</v>
      </c>
      <c r="E82" s="67"/>
      <c r="F82" s="67"/>
      <c r="G82" s="67">
        <f>IF(E75,E87,IF(G75,G87,D82))</f>
        <v>1144.7409971816421</v>
      </c>
      <c r="H82" s="67"/>
      <c r="I82" s="67"/>
      <c r="J82" s="67">
        <f>IF(H75,H87,IF(J75,J87,G82))</f>
        <v>1130.3579884669721</v>
      </c>
      <c r="K82" s="67"/>
      <c r="L82" s="67"/>
      <c r="M82" s="67">
        <f>IF(K75,K87,IF(M75,M87,J82))</f>
        <v>1130.3579884669721</v>
      </c>
      <c r="N82" s="67"/>
      <c r="O82" s="67"/>
      <c r="P82" s="67">
        <f>IF(N75,N87,IF(P75,P87,M82))</f>
        <v>1147.2863075642813</v>
      </c>
      <c r="Q82" s="67"/>
      <c r="R82" s="67"/>
      <c r="S82" s="67">
        <f>IF(Q75,Q87,IF(S75,S87,P82))</f>
        <v>1147.2863075642813</v>
      </c>
      <c r="T82" s="67"/>
      <c r="U82" s="67"/>
      <c r="V82" s="67">
        <f>IF(T75,T87,IF(V75,V87,S82))</f>
        <v>1147.2863075642813</v>
      </c>
      <c r="W82" s="67"/>
      <c r="X82" s="67"/>
      <c r="Y82" s="67">
        <f>IF(W75,W87,IF(Y75,Y87,V82))</f>
        <v>1147.2863075642813</v>
      </c>
      <c r="Z82" s="67"/>
      <c r="AA82" s="67"/>
      <c r="AB82" s="67">
        <f>IF(Z75,Z87,IF(AB75,AB87,Y82))</f>
        <v>1147.2863075642813</v>
      </c>
      <c r="AC82" s="67"/>
      <c r="AD82" s="67"/>
      <c r="AE82" s="67">
        <f>IF(AC75,AC87,IF(AE75,AE87,AB82))</f>
        <v>1147.2863075642813</v>
      </c>
      <c r="AF82" s="4"/>
      <c r="AG82" s="4"/>
      <c r="AJ82" s="4"/>
      <c r="AL82" s="4"/>
      <c r="AM82" s="4"/>
      <c r="AN82" s="4"/>
      <c r="AO82" s="4"/>
      <c r="AT82" s="63" t="str">
        <f>B82</f>
        <v>Magnum Youth Academy</v>
      </c>
      <c r="AU82" s="63">
        <f>AE82</f>
        <v>1147.2863075642813</v>
      </c>
      <c r="AW82" s="66"/>
    </row>
    <row r="83" spans="1:49" s="63" customFormat="1" hidden="1" x14ac:dyDescent="0.2">
      <c r="A83" s="67">
        <v>5</v>
      </c>
      <c r="B83" s="67">
        <f>E16</f>
        <v>0</v>
      </c>
      <c r="C83" s="67" t="e">
        <f>VLOOKUP(B83,AU$3:AW$33,3,FALSE)</f>
        <v>#N/A</v>
      </c>
      <c r="D83" s="67" t="e">
        <f>IF(B76,B87,IF(D76,D87,C83))</f>
        <v>#N/A</v>
      </c>
      <c r="E83" s="67"/>
      <c r="F83" s="67"/>
      <c r="G83" s="67" t="e">
        <f>IF(E76,E87,IF(G76,G87,D83))</f>
        <v>#N/A</v>
      </c>
      <c r="H83" s="67"/>
      <c r="I83" s="67"/>
      <c r="J83" s="67" t="e">
        <f>IF(H76,H87,IF(J76,J87,G83))</f>
        <v>#N/A</v>
      </c>
      <c r="K83" s="67"/>
      <c r="L83" s="67"/>
      <c r="M83" s="67" t="e">
        <f>IF(K76,K87,IF(M76,M87,J83))</f>
        <v>#N/A</v>
      </c>
      <c r="N83" s="67"/>
      <c r="O83" s="67"/>
      <c r="P83" s="67" t="e">
        <f>IF(N76,N87,IF(P76,P87,M83))</f>
        <v>#N/A</v>
      </c>
      <c r="Q83" s="67"/>
      <c r="R83" s="67"/>
      <c r="S83" s="67" t="e">
        <f>IF(Q76,Q87,IF(S76,S87,P83))</f>
        <v>#N/A</v>
      </c>
      <c r="T83" s="67"/>
      <c r="U83" s="67"/>
      <c r="V83" s="67" t="e">
        <f>IF(T76,T87,IF(V76,V87,S83))</f>
        <v>#N/A</v>
      </c>
      <c r="W83" s="67"/>
      <c r="X83" s="67"/>
      <c r="Y83" s="67" t="e">
        <f>IF(W76,W87,IF(Y76,Y87,V83))</f>
        <v>#N/A</v>
      </c>
      <c r="Z83" s="67"/>
      <c r="AA83" s="67"/>
      <c r="AB83" s="67" t="e">
        <f>IF(Z76,Z87,IF(AB76,AB87,Y83))</f>
        <v>#N/A</v>
      </c>
      <c r="AC83" s="67"/>
      <c r="AD83" s="67"/>
      <c r="AE83" s="67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63">
        <f>B83</f>
        <v>0</v>
      </c>
      <c r="AU83" s="63" t="e">
        <f>AE83</f>
        <v>#N/A</v>
      </c>
      <c r="AW83" s="66"/>
    </row>
    <row r="84" spans="1:49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</row>
    <row r="85" spans="1:49" s="63" customFormat="1" hidden="1" x14ac:dyDescent="0.2">
      <c r="A85" s="67" t="s">
        <v>116</v>
      </c>
      <c r="B85" s="67">
        <f>VLOOKUP(B24,$A79:$AE83,3,FALSE)</f>
        <v>1200</v>
      </c>
      <c r="C85" s="67">
        <v>1</v>
      </c>
      <c r="D85" s="67">
        <f>VLOOKUP(D24,$A79:$AE83,3,FALSE)</f>
        <v>1110.6532770275439</v>
      </c>
      <c r="E85" s="67">
        <f>VLOOKUP(E24,$A79:$AE83,4,FALSE)</f>
        <v>1202.1576214335375</v>
      </c>
      <c r="F85" s="67">
        <v>2</v>
      </c>
      <c r="G85" s="67">
        <f>VLOOKUP(G24,$A79:$AE83,4,FALSE)</f>
        <v>1158.7524498540417</v>
      </c>
      <c r="H85" s="67">
        <f>VLOOKUP(H24,$A79:$AE83,7,FALSE)</f>
        <v>1179.9737955465398</v>
      </c>
      <c r="I85" s="67">
        <v>3</v>
      </c>
      <c r="J85" s="67">
        <f>VLOOKUP(J24,$A79:$AE83,7,FALSE)</f>
        <v>1144.7409971816421</v>
      </c>
      <c r="K85" s="67">
        <f>VLOOKUP(K24,$A79:$AE83,10,FALSE)</f>
        <v>1216.1690741059372</v>
      </c>
      <c r="L85" s="67">
        <v>4</v>
      </c>
      <c r="M85" s="67">
        <f>VLOOKUP(M24,$A79:$AE83,10,FALSE)</f>
        <v>1130.6794814810041</v>
      </c>
      <c r="N85" s="67">
        <f>VLOOKUP(N24,$A79:$AE83,13,FALSE)</f>
        <v>1150.5388469357897</v>
      </c>
      <c r="O85" s="67">
        <v>5</v>
      </c>
      <c r="P85" s="67">
        <f>VLOOKUP(P24,$A79:$AE83,13,FALSE)</f>
        <v>1130.3579884669721</v>
      </c>
      <c r="Q85" s="67">
        <f>VLOOKUP(Q24,$A79:$AE83,16,FALSE)</f>
        <v>1196.3097086511516</v>
      </c>
      <c r="R85" s="67">
        <v>6</v>
      </c>
      <c r="S85" s="67">
        <f>VLOOKUP(S24,$A79:$AE83,16,FALSE)</f>
        <v>1194.3568042612098</v>
      </c>
      <c r="T85" s="67" t="e">
        <f>VLOOKUP(T24,$A79:$AE83,19,FALSE)</f>
        <v>#N/A</v>
      </c>
      <c r="U85" s="67">
        <v>7</v>
      </c>
      <c r="V85" s="67" t="e">
        <f>VLOOKUP(V24,$A79:$AE83,19,FALSE)</f>
        <v>#N/A</v>
      </c>
      <c r="W85" s="67" t="e">
        <f>VLOOKUP(W24,$A79:$AE83,22,FALSE)</f>
        <v>#N/A</v>
      </c>
      <c r="X85" s="67">
        <v>8</v>
      </c>
      <c r="Y85" s="67" t="e">
        <f>VLOOKUP(Y24,$A79:$AE83,22,FALSE)</f>
        <v>#N/A</v>
      </c>
      <c r="Z85" s="67" t="e">
        <f>VLOOKUP(Z24,$A79:$AE83,25,FALSE)</f>
        <v>#N/A</v>
      </c>
      <c r="AA85" s="67">
        <v>9</v>
      </c>
      <c r="AB85" s="67" t="e">
        <f>VLOOKUP(AB24,$A79:$AE83,25,FALSE)</f>
        <v>#N/A</v>
      </c>
      <c r="AC85" s="67" t="e">
        <f>VLOOKUP(AC24,$A79:$AE83,28,FALSE)</f>
        <v>#N/A</v>
      </c>
      <c r="AD85" s="67">
        <v>10</v>
      </c>
      <c r="AE85" s="67" t="e">
        <f>VLOOKUP(AE24,$A79:$AE83,28,FALSE)</f>
        <v>#N/A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</row>
    <row r="86" spans="1:49" s="72" customFormat="1" hidden="1" x14ac:dyDescent="0.2">
      <c r="A86" s="68" t="s">
        <v>117</v>
      </c>
      <c r="B86" s="68">
        <f>1/(1+(10^-((B85-D85)/400)))*(B36+D36)</f>
        <v>0.62581888917063133</v>
      </c>
      <c r="C86" s="68"/>
      <c r="D86" s="68">
        <f>1/(1+(10^-((D85-B85)/400)))*(B36+D36)</f>
        <v>0.37418111082936867</v>
      </c>
      <c r="E86" s="68">
        <f>1/(1+(10^-((E85-G85)/400)))*(E36+G36)</f>
        <v>0.56214210398750908</v>
      </c>
      <c r="F86" s="68"/>
      <c r="G86" s="68">
        <f>1/(1+(10^-((G85-E85)/400)))*(E36+G36)</f>
        <v>0.43785789601249098</v>
      </c>
      <c r="H86" s="68">
        <f>1/(1+(10^-((H85-J85)/400)))*(H36+J36)</f>
        <v>0.55053097766656112</v>
      </c>
      <c r="I86" s="68"/>
      <c r="J86" s="68">
        <f>1/(1+(10^-((J85-H85)/400)))*(H36+J36)</f>
        <v>0.44946902233343888</v>
      </c>
      <c r="K86" s="68">
        <f>1/(1+(10^-((K85-M85)/400)))*(K36+M36)</f>
        <v>0.62060517046204733</v>
      </c>
      <c r="L86" s="68"/>
      <c r="M86" s="68">
        <f>1/(1+(10^-((M85-K85)/400)))*(K36+M36)</f>
        <v>0.37939482953795267</v>
      </c>
      <c r="N86" s="68">
        <f>1/(1+(10^-((N85-P85)/400)))*(N36+P36)</f>
        <v>0.52900997179091069</v>
      </c>
      <c r="O86" s="68"/>
      <c r="P86" s="68">
        <f>1/(1+(10^-((P85-N85)/400)))*(N36+P36)</f>
        <v>0.47099002820908936</v>
      </c>
      <c r="Q86" s="68">
        <f>1/(1+(10^-((Q85-S85)/400)))*(Q36+S36)</f>
        <v>0.50281042573713719</v>
      </c>
      <c r="R86" s="68"/>
      <c r="S86" s="68">
        <f>1/(1+(10^-((S85-Q85)/400)))*(Q36+S36)</f>
        <v>0.49718957426286281</v>
      </c>
      <c r="T86" s="68" t="e">
        <f>1/(1+(10^-((T85-V85)/400)))*(T36+V36)</f>
        <v>#N/A</v>
      </c>
      <c r="U86" s="68"/>
      <c r="V86" s="68" t="e">
        <f>1/(1+(10^-((V85-T85)/400)))*(T36+V36)</f>
        <v>#N/A</v>
      </c>
      <c r="W86" s="68" t="e">
        <f>1/(1+(10^-((W85-Y85)/400)))*(W36+Y36)</f>
        <v>#N/A</v>
      </c>
      <c r="X86" s="68"/>
      <c r="Y86" s="68" t="e">
        <f>1/(1+(10^-((Y85-W85)/400)))*(W36+Y36)</f>
        <v>#N/A</v>
      </c>
      <c r="Z86" s="68" t="e">
        <f>1/(1+(10^-((Z85-AB85)/400)))*(Z36+AB36)</f>
        <v>#N/A</v>
      </c>
      <c r="AA86" s="68"/>
      <c r="AB86" s="68" t="e">
        <f>1/(1+(10^-((AB85-Z85)/400)))*(Z36+AB36)</f>
        <v>#N/A</v>
      </c>
      <c r="AC86" s="68" t="e">
        <f>1/(1+(10^-((AC85-AE85)/400)))*(AC36+AE36)</f>
        <v>#N/A</v>
      </c>
      <c r="AD86" s="68"/>
      <c r="AE86" s="68" t="e">
        <f>1/(1+(10^-((AE85-AC85)/400)))*(AC36+AE36)</f>
        <v>#N/A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</row>
    <row r="87" spans="1:49" s="78" customFormat="1" hidden="1" x14ac:dyDescent="0.2">
      <c r="A87" s="74" t="s">
        <v>118</v>
      </c>
      <c r="B87" s="74">
        <f>B85+(B36-B86)*$BA$1</f>
        <v>1179.9737955465398</v>
      </c>
      <c r="C87" s="74"/>
      <c r="D87" s="74">
        <f>D85+(D36-D86)*$BA$1</f>
        <v>1130.6794814810041</v>
      </c>
      <c r="E87" s="74">
        <f>E85+(E36-E86)*$BA$1</f>
        <v>1216.1690741059372</v>
      </c>
      <c r="F87" s="74"/>
      <c r="G87" s="74">
        <f>G85+(G36-G86)*$BA$1</f>
        <v>1144.7409971816421</v>
      </c>
      <c r="H87" s="74">
        <f>H85+(H36-H86)*$BA$1</f>
        <v>1194.3568042612098</v>
      </c>
      <c r="I87" s="74"/>
      <c r="J87" s="74">
        <f>J85+(J36-J86)*$BA$1</f>
        <v>1130.3579884669721</v>
      </c>
      <c r="K87" s="74">
        <f>K85+(K36-K86)*$BA$1</f>
        <v>1196.3097086511516</v>
      </c>
      <c r="L87" s="74"/>
      <c r="M87" s="74">
        <f>M85+(M36-M86)*$BA$1</f>
        <v>1150.5388469357897</v>
      </c>
      <c r="N87" s="74">
        <f>N85+(N36-N86)*$BA$1</f>
        <v>1133.6105278384805</v>
      </c>
      <c r="O87" s="74"/>
      <c r="P87" s="74">
        <f>P85+(P36-P86)*$BA$1</f>
        <v>1147.2863075642813</v>
      </c>
      <c r="Q87" s="74">
        <f>Q85+(Q36-Q86)*$BA$1</f>
        <v>1212.2197750275632</v>
      </c>
      <c r="R87" s="74"/>
      <c r="S87" s="74">
        <f>S85+(S36-S86)*$BA$1</f>
        <v>1178.4467378847983</v>
      </c>
      <c r="T87" s="74" t="e">
        <f>T85+(T36-T86)*$BA$1</f>
        <v>#N/A</v>
      </c>
      <c r="U87" s="74"/>
      <c r="V87" s="74" t="e">
        <f>V85+(V36-V86)*$BA$1</f>
        <v>#N/A</v>
      </c>
      <c r="W87" s="74" t="e">
        <f>W85+(W36-W86)*$BA$1</f>
        <v>#N/A</v>
      </c>
      <c r="X87" s="74"/>
      <c r="Y87" s="74" t="e">
        <f>Y85+(Y36-Y86)*$BA$1</f>
        <v>#N/A</v>
      </c>
      <c r="Z87" s="74" t="e">
        <f>Z85+(Z36-Z86)*$BA$1</f>
        <v>#N/A</v>
      </c>
      <c r="AA87" s="74"/>
      <c r="AB87" s="74" t="e">
        <f>AB85+(AB36-AB86)*$BA$1</f>
        <v>#N/A</v>
      </c>
      <c r="AC87" s="74" t="e">
        <f>AC85+(AC36-AC86)*$BA$1</f>
        <v>#N/A</v>
      </c>
      <c r="AD87" s="74"/>
      <c r="AE87" s="74" t="e">
        <f>AE85+(AE36-AE86)*$BA$1</f>
        <v>#N/A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</row>
    <row r="88" spans="1:49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</row>
    <row r="89" spans="1:49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</row>
    <row r="90" spans="1:49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T90" s="4"/>
      <c r="AU90" s="4"/>
      <c r="AV90" s="4"/>
    </row>
    <row r="91" spans="1:49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182"/>
      <c r="AK91" s="182"/>
      <c r="AL91" s="182"/>
      <c r="AM91" s="182"/>
      <c r="AN91" s="182"/>
      <c r="AO91" s="182"/>
      <c r="AP91" s="182"/>
      <c r="AQ91" s="182"/>
    </row>
    <row r="92" spans="1:49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Matches Won</v>
      </c>
      <c r="M92" s="255"/>
      <c r="N92" s="255"/>
      <c r="O92" s="255"/>
      <c r="P92" s="255"/>
      <c r="Q92" s="256"/>
      <c r="R92" s="254" t="str">
        <f>IF($AK95=0,"Games Lost","Matches Lost")</f>
        <v>Matches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1</v>
      </c>
      <c r="AL92" s="29" t="s">
        <v>46</v>
      </c>
      <c r="AM92" s="29"/>
      <c r="AN92" s="29"/>
      <c r="AO92" s="29"/>
      <c r="AP92" s="29"/>
      <c r="AQ92" s="29"/>
      <c r="AR92" s="30"/>
    </row>
    <row r="93" spans="1:49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Kershaw Dev 12 White</v>
      </c>
      <c r="F93" s="233"/>
      <c r="G93" s="233"/>
      <c r="H93" s="233"/>
      <c r="I93" s="233"/>
      <c r="J93" s="233"/>
      <c r="K93" s="234"/>
      <c r="L93" s="235">
        <f>IF($AK95=0,AF149,AF131)</f>
        <v>0</v>
      </c>
      <c r="M93" s="236"/>
      <c r="N93" s="236"/>
      <c r="O93" s="236"/>
      <c r="P93" s="236"/>
      <c r="Q93" s="256"/>
      <c r="R93" s="235">
        <f>IF($AK95=0,AG149,AG131)</f>
        <v>3</v>
      </c>
      <c r="S93" s="236"/>
      <c r="T93" s="236"/>
      <c r="U93" s="236"/>
      <c r="V93" s="236"/>
      <c r="W93" s="235">
        <f>AQ109</f>
        <v>-45</v>
      </c>
      <c r="X93" s="236"/>
      <c r="Y93" s="236"/>
      <c r="Z93" s="239">
        <f>IF(AF143&gt;0,(AQ109/AF143),0)</f>
        <v>-0.4838709677419355</v>
      </c>
      <c r="AA93" s="240"/>
      <c r="AB93" s="240"/>
      <c r="AC93" s="262">
        <f>IF(AF157=0,0,(AF149/AF157))</f>
        <v>0</v>
      </c>
      <c r="AD93" s="263"/>
      <c r="AE93" s="264"/>
      <c r="AF93" s="268">
        <v>1</v>
      </c>
      <c r="AG93" s="268">
        <v>1</v>
      </c>
      <c r="AH93" s="270"/>
      <c r="AI93" s="271"/>
      <c r="AJ93" s="27"/>
      <c r="AK93" s="28">
        <v>6</v>
      </c>
      <c r="AL93" s="29" t="s">
        <v>49</v>
      </c>
      <c r="AM93" s="29"/>
      <c r="AN93" s="29"/>
      <c r="AO93" s="29"/>
      <c r="AP93" s="29"/>
      <c r="AQ93" s="29"/>
      <c r="AR93" s="30"/>
    </row>
    <row r="94" spans="1:49" ht="18.75" customHeight="1" thickBot="1" x14ac:dyDescent="0.25">
      <c r="A94" s="228"/>
      <c r="B94" s="274" t="s">
        <v>11</v>
      </c>
      <c r="C94" s="275"/>
      <c r="D94" s="276"/>
      <c r="E94" s="277" t="str">
        <f>AV4</f>
        <v>fj2kersh4pm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4</v>
      </c>
      <c r="AL94" s="29" t="s">
        <v>52</v>
      </c>
      <c r="AM94" s="27"/>
      <c r="AN94" s="27"/>
      <c r="AO94" s="27"/>
      <c r="AP94" s="27"/>
      <c r="AQ94" s="27"/>
      <c r="AR94" s="3"/>
    </row>
    <row r="95" spans="1:49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SC Midlands KP Garnet</v>
      </c>
      <c r="F95" s="233"/>
      <c r="G95" s="233"/>
      <c r="H95" s="233"/>
      <c r="I95" s="233"/>
      <c r="J95" s="233"/>
      <c r="K95" s="234"/>
      <c r="L95" s="235">
        <f>IF($AK95=0,AF150,AF132)</f>
        <v>3</v>
      </c>
      <c r="M95" s="236"/>
      <c r="N95" s="236"/>
      <c r="O95" s="236"/>
      <c r="P95" s="236"/>
      <c r="Q95" s="256"/>
      <c r="R95" s="235">
        <f>IF($AK95=0,AG150,AG132)</f>
        <v>0</v>
      </c>
      <c r="S95" s="236"/>
      <c r="T95" s="236"/>
      <c r="U95" s="236"/>
      <c r="V95" s="236"/>
      <c r="W95" s="235">
        <f>AQ110</f>
        <v>37</v>
      </c>
      <c r="X95" s="236"/>
      <c r="Y95" s="236"/>
      <c r="Z95" s="239">
        <f>IF(AF144&gt;0,(AQ110/AF144),0)</f>
        <v>0.44578313253012047</v>
      </c>
      <c r="AA95" s="240"/>
      <c r="AB95" s="240"/>
      <c r="AC95" s="262">
        <f>IF(AF158=0,0,(AF150/AF158))</f>
        <v>1</v>
      </c>
      <c r="AD95" s="263"/>
      <c r="AE95" s="264"/>
      <c r="AF95" s="268">
        <v>3</v>
      </c>
      <c r="AG95" s="268">
        <v>1</v>
      </c>
      <c r="AH95" s="270"/>
      <c r="AI95" s="271"/>
      <c r="AJ95" s="27"/>
      <c r="AK95" s="28">
        <v>1</v>
      </c>
      <c r="AL95" s="29" t="s">
        <v>55</v>
      </c>
      <c r="AM95" s="29"/>
      <c r="AN95" s="29"/>
      <c r="AO95" s="29"/>
      <c r="AP95" s="29"/>
      <c r="AQ95" s="29"/>
      <c r="AR95" s="30"/>
    </row>
    <row r="96" spans="1:49" ht="18.75" customHeight="1" thickBot="1" x14ac:dyDescent="0.25">
      <c r="A96" s="228"/>
      <c r="B96" s="284" t="s">
        <v>11</v>
      </c>
      <c r="C96" s="285"/>
      <c r="D96" s="285"/>
      <c r="E96" s="277" t="str">
        <f>AV5</f>
        <v>fj2scmid5pm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Foothills 12 Steph</v>
      </c>
      <c r="F97" s="233"/>
      <c r="G97" s="233"/>
      <c r="H97" s="233"/>
      <c r="I97" s="233"/>
      <c r="J97" s="233"/>
      <c r="K97" s="234"/>
      <c r="L97" s="235">
        <f>IF($AK95=0,AF151,AF133)</f>
        <v>1</v>
      </c>
      <c r="M97" s="236"/>
      <c r="N97" s="236"/>
      <c r="O97" s="236"/>
      <c r="P97" s="236"/>
      <c r="Q97" s="256"/>
      <c r="R97" s="235">
        <f>IF($AK95=0,AG151,AG133)</f>
        <v>2</v>
      </c>
      <c r="S97" s="236"/>
      <c r="T97" s="236"/>
      <c r="U97" s="236"/>
      <c r="V97" s="236"/>
      <c r="W97" s="235">
        <f>AQ111</f>
        <v>-23</v>
      </c>
      <c r="X97" s="236"/>
      <c r="Y97" s="236"/>
      <c r="Z97" s="239">
        <f>IF(AF145&gt;0,(AQ111/AF145),0)</f>
        <v>-0.2839506172839506</v>
      </c>
      <c r="AA97" s="240"/>
      <c r="AB97" s="240"/>
      <c r="AC97" s="262">
        <f>IF(AF159=0,0,(AF151/AF159))</f>
        <v>0.33333333333333331</v>
      </c>
      <c r="AD97" s="263"/>
      <c r="AE97" s="264"/>
      <c r="AF97" s="268">
        <v>2</v>
      </c>
      <c r="AG97" s="268">
        <v>1</v>
      </c>
      <c r="AH97" s="270"/>
      <c r="AI97" s="271"/>
      <c r="AJ97" s="31"/>
      <c r="AK97" s="28">
        <v>4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fj2footh2pm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USA 12's Pink</v>
      </c>
      <c r="F99" s="233"/>
      <c r="G99" s="233"/>
      <c r="H99" s="233"/>
      <c r="I99" s="233"/>
      <c r="J99" s="233"/>
      <c r="K99" s="234"/>
      <c r="L99" s="235">
        <f>IF($AK95=0,AF152,AF134)</f>
        <v>2</v>
      </c>
      <c r="M99" s="236"/>
      <c r="N99" s="236"/>
      <c r="O99" s="236"/>
      <c r="P99" s="236"/>
      <c r="Q99" s="256"/>
      <c r="R99" s="235">
        <f>IF($AK95=0,AG152,AG134)</f>
        <v>1</v>
      </c>
      <c r="S99" s="236"/>
      <c r="T99" s="236"/>
      <c r="U99" s="236"/>
      <c r="V99" s="236"/>
      <c r="W99" s="235">
        <f>AQ112</f>
        <v>31</v>
      </c>
      <c r="X99" s="236"/>
      <c r="Y99" s="236"/>
      <c r="Z99" s="239">
        <f>IF(AF146&gt;0,(AQ112/AF146),0)</f>
        <v>0.36470588235294116</v>
      </c>
      <c r="AA99" s="240"/>
      <c r="AB99" s="240"/>
      <c r="AC99" s="262">
        <f>IF(AF160=0,0,(AF152/AF160))</f>
        <v>0.66666666666666663</v>
      </c>
      <c r="AD99" s="263"/>
      <c r="AE99" s="264"/>
      <c r="AF99" s="268"/>
      <c r="AG99" s="268"/>
      <c r="AH99" s="270"/>
      <c r="AI99" s="271"/>
      <c r="AJ99" s="182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fj2unsel3cr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182"/>
      <c r="AK100" s="37"/>
      <c r="AL100" s="37"/>
      <c r="AM100" s="37"/>
      <c r="AN100" s="37"/>
      <c r="AO100" s="37"/>
      <c r="AP100" s="37"/>
      <c r="AQ100" s="182"/>
      <c r="AR100" s="3"/>
    </row>
    <row r="101" spans="1:44" ht="18.75" customHeight="1" x14ac:dyDescent="0.2">
      <c r="A101" s="227" t="str">
        <f>IF($AK94&gt;4,"5","")</f>
        <v/>
      </c>
      <c r="B101" s="286" t="s">
        <v>10</v>
      </c>
      <c r="C101" s="287"/>
      <c r="D101" s="287"/>
      <c r="E101" s="300">
        <f>AU20</f>
        <v>0</v>
      </c>
      <c r="F101" s="301"/>
      <c r="G101" s="301"/>
      <c r="H101" s="301"/>
      <c r="I101" s="301"/>
      <c r="J101" s="301"/>
      <c r="K101" s="302"/>
      <c r="L101" s="235">
        <f>IF($AK95=0,AF153,AF135)</f>
        <v>0</v>
      </c>
      <c r="M101" s="236"/>
      <c r="N101" s="236"/>
      <c r="O101" s="236"/>
      <c r="P101" s="236"/>
      <c r="Q101" s="256"/>
      <c r="R101" s="235">
        <f>IF($AK95=0,AG153,AG135)</f>
        <v>0</v>
      </c>
      <c r="S101" s="236"/>
      <c r="T101" s="236"/>
      <c r="U101" s="236"/>
      <c r="V101" s="236"/>
      <c r="W101" s="235">
        <f>AQ113</f>
        <v>0</v>
      </c>
      <c r="X101" s="236"/>
      <c r="Y101" s="236"/>
      <c r="Z101" s="239">
        <f>IF(AF147&gt;0,(AQ113/AF147),0)</f>
        <v>0</v>
      </c>
      <c r="AA101" s="240"/>
      <c r="AB101" s="240"/>
      <c r="AC101" s="262">
        <f>IF(AF161=0,0,(AF153/AF161))</f>
        <v>0</v>
      </c>
      <c r="AD101" s="263"/>
      <c r="AE101" s="264"/>
      <c r="AF101" s="268"/>
      <c r="AG101" s="268"/>
      <c r="AH101" s="270"/>
      <c r="AI101" s="271"/>
      <c r="AJ101" s="182"/>
      <c r="AK101" s="37"/>
      <c r="AL101" s="37"/>
      <c r="AM101" s="37"/>
      <c r="AN101" s="37"/>
      <c r="AO101" s="37"/>
      <c r="AP101" s="37"/>
      <c r="AQ101" s="182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298">
        <f>AV20</f>
        <v>0</v>
      </c>
      <c r="F102" s="299"/>
      <c r="G102" s="299"/>
      <c r="H102" s="299"/>
      <c r="I102" s="299"/>
      <c r="J102" s="299"/>
      <c r="K102" s="299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182"/>
      <c r="AK102" s="37"/>
      <c r="AL102" s="37"/>
      <c r="AM102" s="37"/>
      <c r="AN102" s="37"/>
      <c r="AO102" s="37"/>
      <c r="AP102" s="37"/>
      <c r="AQ102" s="182"/>
      <c r="AR102" s="3"/>
    </row>
    <row r="103" spans="1:44" ht="21" customHeight="1" thickTop="1" thickBot="1" x14ac:dyDescent="0.25">
      <c r="A103" s="40"/>
      <c r="B103" s="305" t="s">
        <v>1020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182"/>
      <c r="AK103" s="37"/>
      <c r="AL103" s="37"/>
      <c r="AM103" s="37"/>
      <c r="AN103" s="37"/>
      <c r="AO103" s="37"/>
      <c r="AP103" s="37"/>
      <c r="AQ103" s="182"/>
      <c r="AR103" s="3"/>
    </row>
    <row r="104" spans="1:44" ht="13.5" thickTop="1" x14ac:dyDescent="0.2">
      <c r="A104" s="4" t="s">
        <v>66</v>
      </c>
      <c r="B104" s="308">
        <v>6.25E-2</v>
      </c>
      <c r="C104" s="309"/>
      <c r="D104" s="310"/>
      <c r="E104" s="308">
        <v>8.3333333333333329E-2</v>
      </c>
      <c r="F104" s="309"/>
      <c r="G104" s="310"/>
      <c r="H104" s="308">
        <v>0.10416666666666667</v>
      </c>
      <c r="I104" s="309"/>
      <c r="J104" s="310"/>
      <c r="K104" s="308"/>
      <c r="L104" s="309"/>
      <c r="M104" s="310"/>
      <c r="N104" s="308"/>
      <c r="O104" s="309"/>
      <c r="P104" s="310"/>
      <c r="Q104" s="308"/>
      <c r="R104" s="309"/>
      <c r="S104" s="310"/>
      <c r="T104" s="308"/>
      <c r="U104" s="309"/>
      <c r="V104" s="310"/>
      <c r="W104" s="308"/>
      <c r="X104" s="309"/>
      <c r="Y104" s="310"/>
      <c r="Z104" s="308"/>
      <c r="AA104" s="309"/>
      <c r="AB104" s="310"/>
      <c r="AC104" s="308"/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/>
      <c r="C105" s="320"/>
      <c r="D105" s="321"/>
      <c r="E105" s="319"/>
      <c r="F105" s="320"/>
      <c r="G105" s="321"/>
      <c r="H105" s="319"/>
      <c r="I105" s="320"/>
      <c r="J105" s="321"/>
      <c r="K105" s="319"/>
      <c r="L105" s="320"/>
      <c r="M105" s="321"/>
      <c r="N105" s="319"/>
      <c r="O105" s="320"/>
      <c r="P105" s="321"/>
      <c r="Q105" s="319"/>
      <c r="R105" s="320"/>
      <c r="S105" s="321"/>
      <c r="T105" s="319"/>
      <c r="U105" s="320"/>
      <c r="V105" s="321"/>
      <c r="W105" s="319"/>
      <c r="X105" s="320"/>
      <c r="Y105" s="321"/>
      <c r="Z105" s="319"/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/>
      <c r="C106" s="320"/>
      <c r="D106" s="321"/>
      <c r="E106" s="319"/>
      <c r="F106" s="320"/>
      <c r="G106" s="321"/>
      <c r="H106" s="319"/>
      <c r="I106" s="320"/>
      <c r="J106" s="321"/>
      <c r="K106" s="319"/>
      <c r="L106" s="320"/>
      <c r="M106" s="321"/>
      <c r="N106" s="319"/>
      <c r="O106" s="320"/>
      <c r="P106" s="321"/>
      <c r="Q106" s="319"/>
      <c r="R106" s="320"/>
      <c r="S106" s="321"/>
      <c r="T106" s="319"/>
      <c r="U106" s="320"/>
      <c r="V106" s="321"/>
      <c r="W106" s="319"/>
      <c r="X106" s="320"/>
      <c r="Y106" s="321"/>
      <c r="Z106" s="319"/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182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/>
      </c>
      <c r="U107" s="323"/>
      <c r="V107" s="324"/>
      <c r="W107" s="322" t="str">
        <f>IF(AK93&gt;7,"Match 8","")</f>
        <v/>
      </c>
      <c r="X107" s="323"/>
      <c r="Y107" s="324"/>
      <c r="Z107" s="322" t="str">
        <f>IF(AK93&gt;8,"Match 9","")</f>
        <v/>
      </c>
      <c r="AA107" s="323"/>
      <c r="AB107" s="324"/>
      <c r="AC107" s="322" t="str">
        <f>IF(AK93&gt;9,"Match 10","")</f>
        <v/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182"/>
      <c r="B108" s="325" t="s">
        <v>73</v>
      </c>
      <c r="C108" s="326"/>
      <c r="D108" s="327"/>
      <c r="E108" s="325" t="s">
        <v>75</v>
      </c>
      <c r="F108" s="326"/>
      <c r="G108" s="327"/>
      <c r="H108" s="325" t="s">
        <v>72</v>
      </c>
      <c r="I108" s="326"/>
      <c r="J108" s="327"/>
      <c r="K108" s="325" t="s">
        <v>71</v>
      </c>
      <c r="L108" s="326"/>
      <c r="M108" s="327"/>
      <c r="N108" s="325" t="s">
        <v>75</v>
      </c>
      <c r="O108" s="326"/>
      <c r="P108" s="327"/>
      <c r="Q108" s="325" t="s">
        <v>72</v>
      </c>
      <c r="R108" s="326"/>
      <c r="S108" s="327"/>
      <c r="T108" s="325"/>
      <c r="U108" s="326"/>
      <c r="V108" s="327"/>
      <c r="W108" s="325"/>
      <c r="X108" s="326"/>
      <c r="Y108" s="327"/>
      <c r="Z108" s="325"/>
      <c r="AA108" s="326"/>
      <c r="AB108" s="327"/>
      <c r="AC108" s="325"/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182"/>
      <c r="B109" s="45">
        <v>2</v>
      </c>
      <c r="C109" s="46" t="s">
        <v>78</v>
      </c>
      <c r="D109" s="47">
        <v>3</v>
      </c>
      <c r="E109" s="45">
        <v>1</v>
      </c>
      <c r="F109" s="46" t="str">
        <f>IF(AK93&gt;1,"v","")</f>
        <v>v</v>
      </c>
      <c r="G109" s="47">
        <v>4</v>
      </c>
      <c r="H109" s="45">
        <v>2</v>
      </c>
      <c r="I109" s="46" t="str">
        <f>IF(AK93&gt;2,"v","")</f>
        <v>v</v>
      </c>
      <c r="J109" s="47">
        <v>4</v>
      </c>
      <c r="K109" s="45">
        <v>1</v>
      </c>
      <c r="L109" s="46" t="str">
        <f>IF(AK93&gt;3,"v","")</f>
        <v>v</v>
      </c>
      <c r="M109" s="47">
        <v>3</v>
      </c>
      <c r="N109" s="45">
        <v>3</v>
      </c>
      <c r="O109" s="46" t="str">
        <f>IF(AK93&gt;4,"v","")</f>
        <v>v</v>
      </c>
      <c r="P109" s="47">
        <v>4</v>
      </c>
      <c r="Q109" s="45">
        <v>1</v>
      </c>
      <c r="R109" s="46" t="str">
        <f>IF(AK93&gt;5,"v","")</f>
        <v>v</v>
      </c>
      <c r="S109" s="47">
        <v>2</v>
      </c>
      <c r="T109" s="45"/>
      <c r="U109" s="46" t="str">
        <f>IF(AK93&gt;6,"v","")</f>
        <v/>
      </c>
      <c r="V109" s="47"/>
      <c r="W109" s="45"/>
      <c r="X109" s="46" t="str">
        <f>IF(AK93&gt;7,"v","")</f>
        <v/>
      </c>
      <c r="Y109" s="47"/>
      <c r="Z109" s="45"/>
      <c r="AA109" s="46" t="str">
        <f>IF(AK93&gt;8,"v","")</f>
        <v/>
      </c>
      <c r="AB109" s="47"/>
      <c r="AC109" s="45"/>
      <c r="AD109" s="46" t="str">
        <f>IF(AK93&gt;9,"v","")</f>
        <v/>
      </c>
      <c r="AE109" s="47"/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-14</v>
      </c>
      <c r="AI109" s="48" t="str">
        <f>IF(AK94&lt;1,"",IF(AK93&lt;3,"",IF(H109=1,H115-J115,IF(J109=1,J115-H115,""))))</f>
        <v/>
      </c>
      <c r="AJ109" s="48">
        <f>IF(AK94&lt;1,"",IF(AK93&lt;4,"",IF(K109=1,K115-M115,IF(M109=1,M115-K115,""))))</f>
        <v>-5</v>
      </c>
      <c r="AK109" s="48" t="str">
        <f>IF(AK94&lt;1,"",IF(AK93&lt;5,"",IF(N109=1,N115-P115,IF(P109=1,P115-N115,""))))</f>
        <v/>
      </c>
      <c r="AL109" s="48">
        <f>IF(AK94&lt;1,"",IF(AK93&lt;6,"",IF(Q109=1,Q115-S115,IF(S109=1,S115-Q115,""))))</f>
        <v>-26</v>
      </c>
      <c r="AM109" s="48" t="str">
        <f>IF(AK94&lt;1,"",IF(AK93&lt;7,"",IF(T109=1,T115-V115,IF(V109=1,V115-T115,""))))</f>
        <v/>
      </c>
      <c r="AN109" s="48" t="str">
        <f>IF(AK94&lt;1,"",IF(AK93&lt;8,"",IF(W109=1,W115-Y115,IF(Y109=1,Y115-W115,""))))</f>
        <v/>
      </c>
      <c r="AO109" s="48" t="str">
        <f>IF(AK94&lt;1,"",IF(AK93&lt;9,"",IF(Z109=1,Z115-AB115,IF(AB109=1,AB115-Z115,""))))</f>
        <v/>
      </c>
      <c r="AP109" s="48" t="str">
        <f>IF(AK94&lt;1,"",IF(AK93&lt;10,"",IF(AC109=1,AC115-AE115,IF(AE109=1,AE115-AC115,""))))</f>
        <v/>
      </c>
      <c r="AQ109" s="44">
        <f>SUM(AG109:AP109)</f>
        <v>-45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16</v>
      </c>
      <c r="E110" s="49">
        <v>18</v>
      </c>
      <c r="F110" s="50" t="str">
        <f>IF(AK93&gt;1,"/","")</f>
        <v>/</v>
      </c>
      <c r="G110" s="51">
        <v>32</v>
      </c>
      <c r="H110" s="49">
        <v>23</v>
      </c>
      <c r="I110" s="50" t="str">
        <f>IF(AK93&gt;2,"/","")</f>
        <v>/</v>
      </c>
      <c r="J110" s="51">
        <v>21</v>
      </c>
      <c r="K110" s="49">
        <v>21</v>
      </c>
      <c r="L110" s="50" t="str">
        <f>IF(AK93&gt;3,"/","")</f>
        <v>/</v>
      </c>
      <c r="M110" s="51">
        <v>26</v>
      </c>
      <c r="N110" s="49">
        <v>11</v>
      </c>
      <c r="O110" s="50" t="str">
        <f>IF(AK93&gt;4,"/","")</f>
        <v>/</v>
      </c>
      <c r="P110" s="51">
        <v>30</v>
      </c>
      <c r="Q110" s="49">
        <v>9</v>
      </c>
      <c r="R110" s="50" t="str">
        <f>IF(AK93&gt;5,"/","")</f>
        <v>/</v>
      </c>
      <c r="S110" s="51">
        <v>35</v>
      </c>
      <c r="T110" s="49"/>
      <c r="U110" s="50" t="str">
        <f>IF(AK93&gt;6,"/","")</f>
        <v/>
      </c>
      <c r="V110" s="51"/>
      <c r="W110" s="49"/>
      <c r="X110" s="50" t="str">
        <f>IF(AK93&gt;7,"/","")</f>
        <v/>
      </c>
      <c r="Y110" s="51"/>
      <c r="Z110" s="49"/>
      <c r="AA110" s="50" t="str">
        <f>IF(AK93&gt;8,"/","")</f>
        <v/>
      </c>
      <c r="AB110" s="51"/>
      <c r="AC110" s="49"/>
      <c r="AD110" s="50" t="str">
        <f>IF(AK93&gt;9,"/","")</f>
        <v/>
      </c>
      <c r="AE110" s="51"/>
      <c r="AF110" s="42" t="str">
        <f>IF(AK94&gt;1,"Team 2","")</f>
        <v>Team 2</v>
      </c>
      <c r="AG110" s="48">
        <f>IF(AK94&lt;2,"",IF(AK93&lt;1,"",IF(B109=2,B115-D115,IF(D109=2,D115-B115,""))))</f>
        <v>9</v>
      </c>
      <c r="AH110" s="48" t="str">
        <f>IF(AK94&lt;2,"",IF(AK93&lt;2,"",IF(E109=2,E115-G115,IF(G109=2,G115-E115,""))))</f>
        <v/>
      </c>
      <c r="AI110" s="48">
        <f>IF(AK94&lt;2,"",IF(AK93&lt;3,"",IF(H109=2,H115-J115,IF(J109=2,J115-H115,""))))</f>
        <v>2</v>
      </c>
      <c r="AJ110" s="48" t="str">
        <f>IF(AK94&lt;2,"",IF(AK93&lt;4,"",IF(K109=2,K115-M115,IF(M109=2,M115-K115,""))))</f>
        <v/>
      </c>
      <c r="AK110" s="48" t="str">
        <f>IF(AK94&lt;2,"",IF(AK93&lt;5,"",IF(N109=2,N115-P115,IF(P109=2,P115-N115,""))))</f>
        <v/>
      </c>
      <c r="AL110" s="48">
        <f>IF(AK94&lt;2,"",IF(AK93&lt;6,"",IF(Q109=2,Q115-S115,IF(S109=2,S115-Q115,""))))</f>
        <v>26</v>
      </c>
      <c r="AM110" s="48" t="str">
        <f>IF(AK94&lt;2,"",IF(AK93&lt;7,"",IF(T109=2,T115-V115,IF(V109=2,V115-T115,""))))</f>
        <v/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 t="str">
        <f>IF(AK94&lt;2,"",IF(AK93&lt;10,"",IF(AC109=2,AC115-AE115,IF(AE109=2,AE115-AC115,""))))</f>
        <v/>
      </c>
      <c r="AQ110" s="44">
        <f>SUM(AG110:AP110)</f>
        <v>37</v>
      </c>
    </row>
    <row r="111" spans="1:44" ht="15" x14ac:dyDescent="0.2">
      <c r="A111" s="3" t="str">
        <f>IF(AK92&gt;1,"Game 2","")</f>
        <v/>
      </c>
      <c r="B111" s="49">
        <v>25</v>
      </c>
      <c r="C111" s="50" t="s">
        <v>80</v>
      </c>
      <c r="D111" s="51">
        <v>15</v>
      </c>
      <c r="E111" s="49">
        <v>18</v>
      </c>
      <c r="F111" s="50" t="str">
        <f>IF(AK93&gt;1,IF(AK92&gt;1,"/",""),"")</f>
        <v/>
      </c>
      <c r="G111" s="51">
        <v>25</v>
      </c>
      <c r="H111" s="49">
        <v>30</v>
      </c>
      <c r="I111" s="50" t="str">
        <f>IF(AK93&gt;2,IF(AK92&gt;1,"/",""),"")</f>
        <v/>
      </c>
      <c r="J111" s="51">
        <v>22</v>
      </c>
      <c r="K111" s="49"/>
      <c r="L111" s="50" t="str">
        <f>IF(AK93&gt;3,IF(AK92&gt;1,"/",""),"")</f>
        <v/>
      </c>
      <c r="M111" s="51"/>
      <c r="N111" s="49"/>
      <c r="O111" s="50" t="str">
        <f>IF(AK93&gt;4,IF(AK92&gt;1,"/",""),"")</f>
        <v/>
      </c>
      <c r="P111" s="51"/>
      <c r="Q111" s="49"/>
      <c r="R111" s="50" t="str">
        <f>IF(AK93&gt;5,IF(AK92&gt;1,"/",""),"")</f>
        <v/>
      </c>
      <c r="S111" s="51"/>
      <c r="T111" s="49"/>
      <c r="U111" s="50" t="str">
        <f>IF(AK93&gt;6,IF(AK92&gt;1,"/",""),"")</f>
        <v/>
      </c>
      <c r="V111" s="51"/>
      <c r="W111" s="49"/>
      <c r="X111" s="50" t="str">
        <f>IF(AK93&gt;7,IF(AK92&gt;1,"/",""),"")</f>
        <v/>
      </c>
      <c r="Y111" s="51"/>
      <c r="Z111" s="49"/>
      <c r="AA111" s="50" t="str">
        <f>IF(AK93&gt;8,IF(AK92&gt;1,"/",""),"")</f>
        <v/>
      </c>
      <c r="AB111" s="51"/>
      <c r="AC111" s="49"/>
      <c r="AD111" s="50" t="str">
        <f>IF(AK93&gt;9,IF(AK92&gt;1,"/",""),"")</f>
        <v/>
      </c>
      <c r="AE111" s="51"/>
      <c r="AF111" s="42" t="str">
        <f>IF(AK94&gt;2,"Team 3","")</f>
        <v>Team 3</v>
      </c>
      <c r="AG111" s="48">
        <f>IF(AK94&lt;3,"",IF(AK93&lt;1,"",IF(B109=3,B115-D115,IF(D109=3,D115-B115,""))))</f>
        <v>-9</v>
      </c>
      <c r="AH111" s="48" t="str">
        <f>IF(AK94&lt;3,"",IF(AK93&lt;2,"",IF(E109=3,E115-G115,IF(G109=3,G115-E115,""))))</f>
        <v/>
      </c>
      <c r="AI111" s="48" t="str">
        <f>IF(AK94&lt;3,"",IF(AK93&lt;3,"",IF(H109=3,H115-J115,IF(J109=3,J115-H115,""))))</f>
        <v/>
      </c>
      <c r="AJ111" s="48">
        <f>IF(AK94&lt;3,"",IF(AK93&lt;4,"",IF(K109=3,K115-M115,IF(M109=3,M115-K115,""))))</f>
        <v>5</v>
      </c>
      <c r="AK111" s="48">
        <f>IF(AK94&lt;3,"",IF(AK93&lt;5,"",IF(N109=3,N115-P115,IF(P109=3,P115-N115,""))))</f>
        <v>-19</v>
      </c>
      <c r="AL111" s="48" t="str">
        <f>IF(AK94&lt;3,"",IF(AK93&lt;6,"",IF(Q109=3,Q115-S115,IF(S109=3,S115-Q115,""))))</f>
        <v/>
      </c>
      <c r="AM111" s="48" t="str">
        <f>IF(AK94&lt;3,"",IF(AK93&lt;7,"",IF(T109=3,T115-V115,IF(V109=3,V115-T115,""))))</f>
        <v/>
      </c>
      <c r="AN111" s="48" t="str">
        <f>IF(AK94&lt;3,"",IF(AK93&lt;8,"",IF(W109=3,W115-Y115,IF(Y109=3,Y115-W115,""))))</f>
        <v/>
      </c>
      <c r="AO111" s="48" t="str">
        <f>IF(AK94&lt;3,"",IF(AK93&lt;9,"",IF(Z109=3,Z115-AB115,IF(AB109=3,AB115-Z115,""))))</f>
        <v/>
      </c>
      <c r="AP111" s="48" t="str">
        <f>IF(AK94&lt;3,"",IF(AK93&lt;9,"",IF(AC109=3,AC115-AE115,IF(AE109=3,AE115-AC115,""))))</f>
        <v/>
      </c>
      <c r="AQ111" s="44">
        <f>SUM(AG111:AP111)</f>
        <v>-23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14</v>
      </c>
      <c r="AI112" s="48">
        <f>IF(AK94&lt;4,"",IF(AK93&lt;3,"",IF(H109=4,H115-J115,IF(J109=4,J115-H115,""))))</f>
        <v>-2</v>
      </c>
      <c r="AJ112" s="48" t="str">
        <f>IF(AK94&lt;4,"",IF(AK93&lt;4,"",IF(K109=4,K115-M115,IF(M109=4,M115-K115,""))))</f>
        <v/>
      </c>
      <c r="AK112" s="48">
        <f>IF(AK94&lt;4,"",IF(AK93&lt;5,"",IF(N109=4,N115-P115,IF(P109=4,P115-N115,""))))</f>
        <v>19</v>
      </c>
      <c r="AL112" s="48" t="str">
        <f>IF(AK94&lt;4,"",IF(AK93&lt;6,"",IF(Q109=4,Q115-S115,IF(S109=4,S115-Q115,""))))</f>
        <v/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 t="str">
        <f>IF(AK94&lt;4,"",IF(AK93&lt;9,"",IF(Z109=4,Z115-AB115,IF(AB109=4,AB115-Z115,""))))</f>
        <v/>
      </c>
      <c r="AP112" s="48" t="str">
        <f>IF(AK94&lt;4,"",IF(AK93&lt;10,"",IF(AC109=4,AC115-AE115,IF(AE109=4,AE115-AC115,""))))</f>
        <v/>
      </c>
      <c r="AQ112" s="44">
        <f>SUM(AG112:AP112)</f>
        <v>31</v>
      </c>
    </row>
    <row r="113" spans="1:48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/>
      </c>
      <c r="AG113" s="52" t="str">
        <f>IF(AK94&lt;5,"",IF(AK93&lt;1,"",IF(B109=5,B115-D115,IF(D109=5,D115-B115,""))))</f>
        <v/>
      </c>
      <c r="AH113" s="48" t="str">
        <f>IF(AK94&lt;5,"",IF(AK93&lt;2,"",IF(E109=5,E115-G115,IF(G109=5,G115-E115,""))))</f>
        <v/>
      </c>
      <c r="AI113" s="48" t="str">
        <f>IF(AK94&lt;5,"",IF(AK93&lt;3,"",IF(H109=5,H115-J115,IF(J109=5,J115-H115,""))))</f>
        <v/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 t="str">
        <f>IF(AK94&lt;5,"",IF(AK93&lt;6,"",IF(Q109=5,Q115-S115,IF(S109=5,S115-Q115,""))))</f>
        <v/>
      </c>
      <c r="AM113" s="48" t="str">
        <f>IF(AK94&lt;5,"",IF(AK93&lt;7,"",IF(T109=5,T115-V115,IF(V109=5,V115-T115,""))))</f>
        <v/>
      </c>
      <c r="AN113" s="48" t="str">
        <f>IF(AK94&lt;5,"",IF(AK93&lt;8,"",IF(W109=5,W115-Y115,IF(Y109=5,Y115-W115,""))))</f>
        <v/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0</v>
      </c>
    </row>
    <row r="114" spans="1:48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</row>
    <row r="115" spans="1:48" hidden="1" x14ac:dyDescent="0.2">
      <c r="A115" s="53"/>
      <c r="B115" s="53">
        <f>IF($AK92=5,SUM(B110:B114),IF($AK92=4,SUM(B110:B113),IF($AK92=3,SUM(B110:B112),IF($AK92=2,SUM(B110:B111),B110))))</f>
        <v>25</v>
      </c>
      <c r="C115" s="53"/>
      <c r="D115" s="53">
        <f>IF($AK92=5,SUM(D110:D114),IF($AK92=4,SUM(D110:D113),IF($AK92=3,SUM(D110:D112),IF($AK92=2,SUM(D110:D111),D110))))</f>
        <v>16</v>
      </c>
      <c r="E115" s="53">
        <f>IF($AK92=5,SUM(E110:E114),IF($AK92=4,SUM(E110:E113),IF($AK92=3,SUM(E110:E112),IF($AK92=2,SUM(E110:E111),E110))))</f>
        <v>18</v>
      </c>
      <c r="F115" s="53"/>
      <c r="G115" s="53">
        <f>IF($AK92=5,SUM(G110:G114),IF($AK92=4,SUM(G110:G113),IF($AK92=3,SUM(G110:G112),IF($AK92=2,SUM(G110:G111),G110))))</f>
        <v>32</v>
      </c>
      <c r="H115" s="53">
        <f>IF($AK92=5,SUM(H110:H114),IF($AK92=4,SUM(H110:H113),IF($AK92=3,SUM(H110:H112),IF($AK92=2,SUM(H110:H111),H110))))</f>
        <v>23</v>
      </c>
      <c r="I115" s="53"/>
      <c r="J115" s="53">
        <f>IF($AK92=5,SUM(J110:J114),IF($AK92=4,SUM(J110:J113),IF($AK92=3,SUM(J110:J112),IF($AK92=2,SUM(J110:J111),J110))))</f>
        <v>21</v>
      </c>
      <c r="K115" s="53">
        <f>IF($AK92=5,SUM(K110:K114),IF($AK92=4,SUM(K110:K113),IF($AK92=3,SUM(K110:K112),IF($AK92=2,SUM(K110:K111),K110))))</f>
        <v>21</v>
      </c>
      <c r="L115" s="53"/>
      <c r="M115" s="53">
        <f>IF($AK92=5,SUM(M110:M114),IF($AK92=4,SUM(M110:M113),IF($AK92=3,SUM(M110:M112),IF($AK92=2,SUM(M110:M111),M110))))</f>
        <v>26</v>
      </c>
      <c r="N115" s="53">
        <f>IF($AK92=5,SUM(N110:N114),IF($AK92=4,SUM(N110:N113),IF($AK92=3,SUM(N110:N112),IF($AK92=2,SUM(N110:N111),N110))))</f>
        <v>11</v>
      </c>
      <c r="O115" s="53"/>
      <c r="P115" s="53">
        <f>IF($AK92=5,SUM(P110:P114),IF($AK92=4,SUM(P110:P113),IF($AK92=3,SUM(P110:P112),IF($AK92=2,SUM(P110:P111),P110))))</f>
        <v>30</v>
      </c>
      <c r="Q115" s="53">
        <f>IF($AK92=5,SUM(Q110:Q114),IF($AK92=4,SUM(Q110:Q113),IF($AK92=3,SUM(Q110:Q112),IF($AK92=2,SUM(Q110:Q111),Q110))))</f>
        <v>9</v>
      </c>
      <c r="R115" s="53"/>
      <c r="S115" s="53">
        <f>IF($AK92=5,SUM(S110:S114),IF($AK92=4,SUM(S110:S113),IF($AK92=3,SUM(S110:S112),IF($AK92=2,SUM(S110:S111),S110))))</f>
        <v>35</v>
      </c>
      <c r="T115" s="53">
        <f>IF($AK92=5,SUM(T110:T114),IF($AK92=4,SUM(T110:T113),IF($AK92=3,SUM(T110:T112),IF($AK92=2,SUM(T110:T111),T110))))</f>
        <v>0</v>
      </c>
      <c r="U115" s="53"/>
      <c r="V115" s="53">
        <f>IF($AK92=5,SUM(V110:V114),IF($AK92=4,SUM(V110:V113),IF($AK92=3,SUM(V110:V112),IF($AK92=2,SUM(V110:V111),V110))))</f>
        <v>0</v>
      </c>
      <c r="W115" s="53">
        <f>IF($AK92=5,SUM(W110:W114),IF($AK92=4,SUM(W110:W113),IF($AK92=3,SUM(W110:W112),IF($AK92=2,SUM(W110:W111),W110))))</f>
        <v>0</v>
      </c>
      <c r="X115" s="53"/>
      <c r="Y115" s="53">
        <f>IF($AK92=5,SUM(Y110:Y114),IF($AK92=4,SUM(Y110:Y113),IF($AK92=3,SUM(Y110:Y112),IF($AK92=2,SUM(Y110:Y111),Y110))))</f>
        <v>0</v>
      </c>
      <c r="Z115" s="53">
        <f>IF($AK92=5,SUM(Z110:Z114),IF($AK92=4,SUM(Z110:Z113),IF($AK92=3,SUM(Z110:Z112),IF($AK92=2,SUM(Z110:Z111),Z110))))</f>
        <v>0</v>
      </c>
      <c r="AA115" s="53"/>
      <c r="AB115" s="53">
        <f>IF($AK92=5,SUM(AB110:AB114),IF($AK92=4,SUM(AB110:AB113),IF($AK92=3,SUM(AB110:AB112),IF($AK92=2,SUM(AB110:AB111),AB110))))</f>
        <v>0</v>
      </c>
      <c r="AC115" s="53">
        <f>IF($AK92=5,SUM(AC110:AC114),IF($AK92=4,SUM(AC110:AC113),IF($AK92=3,SUM(AC110:AC112),IF($AK92=2,SUM(AC110:AC111),AC110))))</f>
        <v>0</v>
      </c>
      <c r="AD115" s="53"/>
      <c r="AE115" s="53">
        <f>IF($AK92=5,SUM(AE110:AE114),IF($AK92=4,SUM(AE110:AE113),IF($AK92=3,SUM(AE110:AE112),IF($AK92=2,SUM(AE110:AE111),AE110))))</f>
        <v>0</v>
      </c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T115" s="55"/>
      <c r="AU115" s="55"/>
      <c r="AV115" s="55"/>
    </row>
    <row r="116" spans="1:48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0</v>
      </c>
      <c r="F116" s="56"/>
      <c r="G116" s="57">
        <f>IF(AND(G110&gt;E110,$AK93&gt;1,ISNUMBER(E110),ISNUMBER(G110)),1,0)</f>
        <v>1</v>
      </c>
      <c r="H116" s="56">
        <f>IF(AND(H110&gt;J110,$AK93&gt;2,ISNUMBER(H110),ISNUMBER(J110)),1,0)</f>
        <v>1</v>
      </c>
      <c r="I116" s="56"/>
      <c r="J116" s="57">
        <f>IF(AND(J110&gt;H110,$AK93&gt;2,ISNUMBER(H110),ISNUMBER(J110)),1,0)</f>
        <v>0</v>
      </c>
      <c r="K116" s="56">
        <f>IF(AND(K110&gt;M110,$AK93&gt;3,ISNUMBER(K110),ISNUMBER(M110)),1,0)</f>
        <v>0</v>
      </c>
      <c r="L116" s="56"/>
      <c r="M116" s="57">
        <f>IF(AND(M110&gt;K110,$AK93&gt;3,ISNUMBER(K110),ISNUMBER(M110)),1,0)</f>
        <v>1</v>
      </c>
      <c r="N116" s="56">
        <f>IF(AND(N110&gt;P110,$AK93&gt;4,ISNUMBER(N110),ISNUMBER(P110)),1,0)</f>
        <v>0</v>
      </c>
      <c r="O116" s="56"/>
      <c r="P116" s="57">
        <f>IF(AND(P110&gt;N110,$AK93&gt;4,ISNUMBER(N110),ISNUMBER(P110)),1,0)</f>
        <v>1</v>
      </c>
      <c r="Q116" s="56">
        <f>IF(AND(Q110&gt;S110,$AK93&gt;5,ISNUMBER(Q110),ISNUMBER(S110)),1,0)</f>
        <v>0</v>
      </c>
      <c r="R116" s="56"/>
      <c r="S116" s="57">
        <f>IF(AND(S110&gt;Q110,$AK93&gt;5,ISNUMBER(Q110),ISNUMBER(S110)),1,0)</f>
        <v>1</v>
      </c>
      <c r="T116" s="56">
        <f>IF(AND(T110&gt;V110,$AK93&gt;6,ISNUMBER(T110),ISNUMBER(V110)),1,0)</f>
        <v>0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0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0</v>
      </c>
      <c r="AD116" s="56"/>
      <c r="AE116" s="57">
        <f>IF(AND(AE110&gt;AC110,$AK93&gt;9,ISNUMBER(AC110),ISNUMBER(AE110)),1,0)</f>
        <v>0</v>
      </c>
    </row>
    <row r="117" spans="1:48" s="55" customFormat="1" ht="12.75" hidden="1" customHeight="1" x14ac:dyDescent="0.2">
      <c r="A117" s="55" t="s">
        <v>82</v>
      </c>
      <c r="B117" s="56">
        <f>IF(AND(B111&gt;D111,$AK93&gt;0,$AK92&gt;1,ISNUMBER(B111),ISNUMBER(D111)),1,0)</f>
        <v>0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0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0</v>
      </c>
      <c r="I117" s="56"/>
      <c r="J117" s="57">
        <f>IF(AND(J111&gt;H111,$AK93&gt;2,$AK92&gt;1,ISNUMBER(H111),ISNUMBER(J111)),1,0)</f>
        <v>0</v>
      </c>
      <c r="K117" s="56">
        <f>IF(AND(K111&gt;M111,$AK93&gt;3,$AK92&gt;1,ISNUMBER(K111),ISNUMBER(M111)),1,0)</f>
        <v>0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0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0</v>
      </c>
      <c r="R117" s="56"/>
      <c r="S117" s="57">
        <f>IF(AND(S111&gt;Q111,$AK93&gt;5,$AK92&gt;1,ISNUMBER(Q111),ISNUMBER(S111)),1,0)</f>
        <v>0</v>
      </c>
      <c r="T117" s="56">
        <f>IF(AND(T111&gt;V111,$AK93&gt;6,$AK92&gt;1,ISNUMBER(T111),ISNUMBER(V111)),1,0)</f>
        <v>0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0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0</v>
      </c>
      <c r="AD117" s="56"/>
      <c r="AE117" s="57">
        <f>IF(AND(AE111&gt;AC111,$AK93&gt;9,$AK92&gt;1,ISNUMBER(AC111),ISNUMBER(AE111)),1,0)</f>
        <v>0</v>
      </c>
    </row>
    <row r="118" spans="1:48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</row>
    <row r="119" spans="1:48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</row>
    <row r="120" spans="1:48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</row>
    <row r="121" spans="1:48" s="55" customFormat="1" ht="38.25" hidden="1" customHeight="1" x14ac:dyDescent="0.2">
      <c r="A121" s="59" t="s">
        <v>86</v>
      </c>
      <c r="B121" s="55">
        <f>SUM(B116:B120)</f>
        <v>1</v>
      </c>
      <c r="D121" s="60">
        <f>SUM(D116:D120)</f>
        <v>0</v>
      </c>
      <c r="E121" s="55">
        <f>SUM(E116:E120)</f>
        <v>0</v>
      </c>
      <c r="G121" s="60">
        <f>SUM(G116:G120)</f>
        <v>1</v>
      </c>
      <c r="H121" s="55">
        <f>SUM(H116:H120)</f>
        <v>1</v>
      </c>
      <c r="J121" s="60">
        <f>SUM(J116:J120)</f>
        <v>0</v>
      </c>
      <c r="K121" s="55">
        <f>SUM(K116:K120)</f>
        <v>0</v>
      </c>
      <c r="M121" s="60">
        <f>SUM(M116:M120)</f>
        <v>1</v>
      </c>
      <c r="N121" s="55">
        <f>SUM(N116:N120)</f>
        <v>0</v>
      </c>
      <c r="P121" s="60">
        <f>SUM(P116:P120)</f>
        <v>1</v>
      </c>
      <c r="Q121" s="55">
        <f>SUM(Q116:Q120)</f>
        <v>0</v>
      </c>
      <c r="S121" s="60">
        <f>SUM(S116:S120)</f>
        <v>1</v>
      </c>
      <c r="T121" s="55">
        <f>SUM(T116:T120)</f>
        <v>0</v>
      </c>
      <c r="V121" s="60">
        <f>SUM(V116:V120)</f>
        <v>0</v>
      </c>
      <c r="W121" s="55">
        <f>SUM(W116:W120)</f>
        <v>0</v>
      </c>
      <c r="Y121" s="60">
        <f>SUM(Y116:Y120)</f>
        <v>0</v>
      </c>
      <c r="Z121" s="55">
        <f>SUM(Z116:Z120)</f>
        <v>0</v>
      </c>
      <c r="AB121" s="60">
        <f>SUM(AB116:AB120)</f>
        <v>0</v>
      </c>
      <c r="AC121" s="55">
        <f>SUM(AC116:AC120)</f>
        <v>0</v>
      </c>
      <c r="AE121" s="60">
        <f>SUM(AE116:AE120)</f>
        <v>0</v>
      </c>
    </row>
    <row r="122" spans="1:48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0</v>
      </c>
      <c r="F122" s="55">
        <f>E122+G122</f>
        <v>1</v>
      </c>
      <c r="G122" s="60">
        <f>IF(G121&gt;E121,IF(F156=AK92,1,IF(F156=AK92-1,1,0)),0)</f>
        <v>1</v>
      </c>
      <c r="H122" s="55">
        <f>IF(H121&gt;J121,IF(I156=AK92,1,IF(I156=AK92-1,1,0)),0)</f>
        <v>1</v>
      </c>
      <c r="I122" s="55">
        <f>H122+J122</f>
        <v>1</v>
      </c>
      <c r="J122" s="60">
        <f>IF(J121&gt;H121,IF(I156=AK92,1,IF(I156=AK92-1,1,0)),0)</f>
        <v>0</v>
      </c>
      <c r="K122" s="55">
        <f>IF(K121&gt;M121,IF(L156=AK92,1,IF(L156=AK92-1,1,0)),0)</f>
        <v>0</v>
      </c>
      <c r="L122" s="55">
        <f>K122+M122</f>
        <v>1</v>
      </c>
      <c r="M122" s="60">
        <f>IF(M121&gt;K121,IF(L156=AK92,1,IF(L156=AK92-1,1,0)),0)</f>
        <v>1</v>
      </c>
      <c r="N122" s="55">
        <f>IF(N121&gt;P121,IF(O156=AK92,1,IF(O156=AK92-1,1,0)),0)</f>
        <v>0</v>
      </c>
      <c r="O122" s="55">
        <f>N122+P122</f>
        <v>1</v>
      </c>
      <c r="P122" s="60">
        <f>IF(P121&gt;N121,IF(O156=AK92,1,IF(O156=AK92-1,1,0)),0)</f>
        <v>1</v>
      </c>
      <c r="Q122" s="55">
        <f>IF(Q121&gt;S121,IF(R156=AK92,1,IF(R156=AK92-1,1,0)),0)</f>
        <v>0</v>
      </c>
      <c r="R122" s="55">
        <f>Q122+S122</f>
        <v>1</v>
      </c>
      <c r="S122" s="60">
        <f>IF(S121&gt;Q121,IF(R156=AK92,1,IF(R156=AK92-1,1,0)),0)</f>
        <v>1</v>
      </c>
      <c r="T122" s="55">
        <f>IF(T121&gt;V121,IF(U156=AK92,1,IF(U156=AK92-1,1,0)),0)</f>
        <v>0</v>
      </c>
      <c r="U122" s="55">
        <f>T122+V122</f>
        <v>0</v>
      </c>
      <c r="V122" s="60">
        <f>IF(V121&gt;T121,IF(U156=AK92,1,IF(U156=AK92-1,1,0)),0)</f>
        <v>0</v>
      </c>
      <c r="W122" s="55">
        <f>IF(W121&gt;Y121,IF(X156=AK92,1,IF(X156=AK92-1,1,0)),0)</f>
        <v>0</v>
      </c>
      <c r="X122" s="55">
        <f>W122+Y122</f>
        <v>0</v>
      </c>
      <c r="Y122" s="60">
        <f>IF(Y121&gt;W121,IF(X156=AK92,1,IF(X156=AK92-1,1,0)),0)</f>
        <v>0</v>
      </c>
      <c r="Z122" s="55">
        <f>IF(Z121&gt;AB121,IF(AA156=AK92,1,IF(AA156=AK92-1,1,0)),0)</f>
        <v>0</v>
      </c>
      <c r="AA122" s="55">
        <f>Z122+AB122</f>
        <v>0</v>
      </c>
      <c r="AB122" s="60">
        <f>IF(AB121&gt;Z121,IF(AA156=AK92,1,IF(AA156=AK92-1,1,0)),0)</f>
        <v>0</v>
      </c>
      <c r="AC122" s="55">
        <f>IF(AC121&gt;AE121,IF(AD156=AK92,1,IF(AD156=AK92-1,1,0)),0)</f>
        <v>0</v>
      </c>
      <c r="AD122" s="55">
        <f>AC122+AE122</f>
        <v>0</v>
      </c>
      <c r="AE122" s="60">
        <f>IF(AE121&gt;AC121,IF(AD156=AK92,1,IF(AD156=AK92-1,1,0)),0)</f>
        <v>0</v>
      </c>
    </row>
    <row r="123" spans="1:48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</row>
    <row r="124" spans="1:48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0</v>
      </c>
      <c r="G124" s="60">
        <f t="shared" ref="G124:H128" si="12">IF(G116=1,G110,0)</f>
        <v>32</v>
      </c>
      <c r="H124" s="55">
        <f t="shared" si="12"/>
        <v>23</v>
      </c>
      <c r="J124" s="60">
        <f t="shared" ref="J124:K128" si="13">IF(J116=1,J110,0)</f>
        <v>0</v>
      </c>
      <c r="K124" s="55">
        <f t="shared" si="13"/>
        <v>0</v>
      </c>
      <c r="M124" s="60">
        <f t="shared" ref="M124:N128" si="14">IF(M116=1,M110,0)</f>
        <v>26</v>
      </c>
      <c r="N124" s="55">
        <f t="shared" si="14"/>
        <v>0</v>
      </c>
      <c r="P124" s="60">
        <f t="shared" ref="P124:Q128" si="15">IF(P116=1,P110,0)</f>
        <v>30</v>
      </c>
      <c r="Q124" s="55">
        <f t="shared" si="15"/>
        <v>0</v>
      </c>
      <c r="S124" s="60">
        <f t="shared" ref="S124:T128" si="16">IF(S116=1,S110,0)</f>
        <v>35</v>
      </c>
      <c r="T124" s="55">
        <f t="shared" si="16"/>
        <v>0</v>
      </c>
      <c r="V124" s="60">
        <f t="shared" ref="V124:W128" si="17">IF(V116=1,V110,0)</f>
        <v>0</v>
      </c>
      <c r="W124" s="55">
        <f t="shared" si="17"/>
        <v>0</v>
      </c>
      <c r="Y124" s="60">
        <f t="shared" ref="Y124:Z128" si="18">IF(Y116=1,Y110,0)</f>
        <v>0</v>
      </c>
      <c r="Z124" s="55">
        <f t="shared" si="18"/>
        <v>0</v>
      </c>
      <c r="AB124" s="60">
        <f t="shared" ref="AB124:AC128" si="19">IF(AB116=1,AB110,0)</f>
        <v>0</v>
      </c>
      <c r="AC124" s="55">
        <f t="shared" si="19"/>
        <v>0</v>
      </c>
      <c r="AE124" s="60">
        <f>IF(AE116=1,AE110,0)</f>
        <v>0</v>
      </c>
    </row>
    <row r="125" spans="1:48" s="55" customFormat="1" ht="12.75" hidden="1" customHeight="1" x14ac:dyDescent="0.2">
      <c r="A125" s="55" t="s">
        <v>89</v>
      </c>
      <c r="B125" s="55">
        <f>IF(B117=1,B111,0)</f>
        <v>0</v>
      </c>
      <c r="D125" s="60">
        <f t="shared" si="11"/>
        <v>0</v>
      </c>
      <c r="E125" s="55">
        <f t="shared" si="11"/>
        <v>0</v>
      </c>
      <c r="G125" s="60">
        <f t="shared" si="12"/>
        <v>0</v>
      </c>
      <c r="H125" s="55">
        <f t="shared" si="12"/>
        <v>0</v>
      </c>
      <c r="J125" s="60">
        <f t="shared" si="13"/>
        <v>0</v>
      </c>
      <c r="K125" s="55">
        <f t="shared" si="13"/>
        <v>0</v>
      </c>
      <c r="M125" s="60">
        <f t="shared" si="14"/>
        <v>0</v>
      </c>
      <c r="N125" s="55">
        <f t="shared" si="14"/>
        <v>0</v>
      </c>
      <c r="P125" s="60">
        <f t="shared" si="15"/>
        <v>0</v>
      </c>
      <c r="Q125" s="55">
        <f t="shared" si="15"/>
        <v>0</v>
      </c>
      <c r="S125" s="60">
        <f t="shared" si="16"/>
        <v>0</v>
      </c>
      <c r="T125" s="55">
        <f t="shared" si="16"/>
        <v>0</v>
      </c>
      <c r="V125" s="60">
        <f t="shared" si="17"/>
        <v>0</v>
      </c>
      <c r="W125" s="55">
        <f t="shared" si="17"/>
        <v>0</v>
      </c>
      <c r="Y125" s="60">
        <f t="shared" si="18"/>
        <v>0</v>
      </c>
      <c r="Z125" s="55">
        <f t="shared" si="18"/>
        <v>0</v>
      </c>
      <c r="AB125" s="60">
        <f t="shared" si="19"/>
        <v>0</v>
      </c>
      <c r="AC125" s="55">
        <f t="shared" si="19"/>
        <v>0</v>
      </c>
      <c r="AE125" s="60">
        <f>IF(AE117=1,AE111,0)</f>
        <v>0</v>
      </c>
    </row>
    <row r="126" spans="1:48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</row>
    <row r="127" spans="1:48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</row>
    <row r="128" spans="1:48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</row>
    <row r="129" spans="1:37" s="55" customFormat="1" ht="38.25" hidden="1" customHeight="1" x14ac:dyDescent="0.2">
      <c r="A129" s="59" t="s">
        <v>93</v>
      </c>
      <c r="B129" s="55">
        <f>SUM(B124:D128)</f>
        <v>25</v>
      </c>
      <c r="D129" s="60"/>
      <c r="E129" s="55">
        <f>SUM(E124:G128)</f>
        <v>32</v>
      </c>
      <c r="G129" s="60"/>
      <c r="H129" s="55">
        <f>SUM(H124:J128)</f>
        <v>23</v>
      </c>
      <c r="J129" s="60"/>
      <c r="K129" s="55">
        <f>SUM(K124:M128)</f>
        <v>26</v>
      </c>
      <c r="M129" s="60"/>
      <c r="N129" s="55">
        <f>SUM(N124:P128)</f>
        <v>30</v>
      </c>
      <c r="P129" s="60"/>
      <c r="Q129" s="55">
        <f>SUM(Q124:S128)</f>
        <v>35</v>
      </c>
      <c r="S129" s="60"/>
      <c r="T129" s="55">
        <f>SUM(T124:V128)</f>
        <v>0</v>
      </c>
      <c r="V129" s="60"/>
      <c r="W129" s="55">
        <f>SUM(W124:Y128)</f>
        <v>0</v>
      </c>
      <c r="Y129" s="60"/>
      <c r="Z129" s="55">
        <f>SUM(Z124:AB128)</f>
        <v>0</v>
      </c>
      <c r="AB129" s="60"/>
      <c r="AC129" s="55">
        <f>SUM(AC124:AE128)</f>
        <v>0</v>
      </c>
      <c r="AE129" s="60"/>
    </row>
    <row r="130" spans="1:37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</row>
    <row r="131" spans="1:37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0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0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0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0</v>
      </c>
      <c r="AG131" s="55">
        <f>AF137-AF131</f>
        <v>3</v>
      </c>
    </row>
    <row r="132" spans="1:37" s="55" customFormat="1" ht="12.75" hidden="1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1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1</v>
      </c>
      <c r="T132" s="55">
        <f>IF(T109=2,IF(T122=1,1,0),0)</f>
        <v>0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3</v>
      </c>
      <c r="AG132" s="55">
        <f>AF138-AF132</f>
        <v>0</v>
      </c>
    </row>
    <row r="133" spans="1:37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1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1</v>
      </c>
      <c r="AG133" s="55">
        <f>AF139-AF133</f>
        <v>2</v>
      </c>
    </row>
    <row r="134" spans="1:37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1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1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2</v>
      </c>
      <c r="AG134" s="55">
        <f>AF140-AF134</f>
        <v>1</v>
      </c>
    </row>
    <row r="135" spans="1:37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0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0</v>
      </c>
      <c r="AG135" s="55">
        <f>AF141-AF135</f>
        <v>0</v>
      </c>
    </row>
    <row r="136" spans="1:37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</row>
    <row r="137" spans="1:37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1</v>
      </c>
      <c r="M137" s="60">
        <f>IF(M109=1,IF(L122=1,1,0),0)</f>
        <v>0</v>
      </c>
      <c r="N137" s="55">
        <f>IF(N109=1,IF(O122=1,1,0),0)</f>
        <v>0</v>
      </c>
      <c r="P137" s="60">
        <f>IF(P109=1,IF(O122=1,1,0),0)</f>
        <v>0</v>
      </c>
      <c r="Q137" s="55">
        <f>IF(Q109=1,IF(R122=1,1,0),0)</f>
        <v>1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0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0</v>
      </c>
      <c r="AE137" s="60">
        <f>IF(AE109=1,IF(AD122=1,1,0),0)</f>
        <v>0</v>
      </c>
      <c r="AF137" s="55">
        <f>SUM(B137:AE137)</f>
        <v>3</v>
      </c>
    </row>
    <row r="138" spans="1:37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1</v>
      </c>
      <c r="J138" s="60">
        <f>IF(J109=2,IF(I122=1,1,0),0)</f>
        <v>0</v>
      </c>
      <c r="K138" s="55">
        <f>IF(K109=2,IF(L122=1,1,0),0)</f>
        <v>0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1</v>
      </c>
      <c r="T138" s="55">
        <f>IF(T109=2,IF(U122=1,1,0),0)</f>
        <v>0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0</v>
      </c>
      <c r="AF138" s="55">
        <f>SUM(B138:AE138)</f>
        <v>3</v>
      </c>
    </row>
    <row r="139" spans="1:37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1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0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1</v>
      </c>
      <c r="N139" s="55">
        <f>IF(N109=3,IF(O122=1,1,0),0)</f>
        <v>1</v>
      </c>
      <c r="P139" s="60">
        <f>IF(P109=3,IF(O122=1,1,0),0)</f>
        <v>0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0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0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3</v>
      </c>
    </row>
    <row r="140" spans="1:37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1</v>
      </c>
      <c r="K140" s="55">
        <f>IF(K109=4,IF(L122=1,1,0),0)</f>
        <v>0</v>
      </c>
      <c r="M140" s="60">
        <f>IF(M109=4,IF(L122=1,1,0),0)</f>
        <v>0</v>
      </c>
      <c r="N140" s="55">
        <f>IF(N109=4,IF(O122=1,1,0),0)</f>
        <v>0</v>
      </c>
      <c r="P140" s="60">
        <f>IF(P109=4,IF(O122=1,1,0),0)</f>
        <v>1</v>
      </c>
      <c r="Q140" s="55">
        <f>IF(Q109=4,IF(R122=1,1,0),0)</f>
        <v>0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0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3</v>
      </c>
    </row>
    <row r="141" spans="1:37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0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0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0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0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0</v>
      </c>
    </row>
    <row r="142" spans="1:37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</row>
    <row r="143" spans="1:37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32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26</v>
      </c>
      <c r="M143" s="60">
        <f>IF(M109=1,K129,0)</f>
        <v>0</v>
      </c>
      <c r="N143" s="55">
        <f>IF(N109=1,N129,0)</f>
        <v>0</v>
      </c>
      <c r="P143" s="60">
        <f>IF(P109=1,N129,0)</f>
        <v>0</v>
      </c>
      <c r="Q143" s="55">
        <f>IF(Q109=1,Q129,0)</f>
        <v>35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0</v>
      </c>
      <c r="AE143" s="60">
        <f>IF(AE109=1,AC129,0)</f>
        <v>0</v>
      </c>
      <c r="AF143" s="55">
        <f>SUM(B143:AE143)</f>
        <v>93</v>
      </c>
    </row>
    <row r="144" spans="1:37" s="55" customFormat="1" ht="12.75" hidden="1" customHeight="1" x14ac:dyDescent="0.2">
      <c r="A144" s="55" t="s">
        <v>104</v>
      </c>
      <c r="B144" s="55">
        <f>IF(B109=2,B129,0)</f>
        <v>25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23</v>
      </c>
      <c r="J144" s="60">
        <f>IF(J109=2,H129,0)</f>
        <v>0</v>
      </c>
      <c r="K144" s="55">
        <f>IF(K109=2,K129,0)</f>
        <v>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35</v>
      </c>
      <c r="T144" s="55">
        <f>IF(T109=2,T129,0)</f>
        <v>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0</v>
      </c>
      <c r="AF144" s="55">
        <f>SUM(B144:AE144)</f>
        <v>83</v>
      </c>
    </row>
    <row r="145" spans="1:33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25</v>
      </c>
      <c r="E145" s="55">
        <f>IF(E109=3,E129,0)</f>
        <v>0</v>
      </c>
      <c r="G145" s="60">
        <f>IF(G109=3,E129,0)</f>
        <v>0</v>
      </c>
      <c r="H145" s="55">
        <f>IF(H109=3,H129,0)</f>
        <v>0</v>
      </c>
      <c r="J145" s="60">
        <f>IF(J109=3,H129,0)</f>
        <v>0</v>
      </c>
      <c r="K145" s="55">
        <f>IF(K109=3,K129,0)</f>
        <v>0</v>
      </c>
      <c r="M145" s="60">
        <f>IF(M109=3,K129,0)</f>
        <v>26</v>
      </c>
      <c r="N145" s="55">
        <f>IF(N109=3,N129,0)</f>
        <v>30</v>
      </c>
      <c r="P145" s="60">
        <f>IF(P109=3,N129,0)</f>
        <v>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0</v>
      </c>
      <c r="W145" s="55">
        <f>IF(W109=3,W129,0)</f>
        <v>0</v>
      </c>
      <c r="Y145" s="60">
        <f>IF(Y109=3,W129,0)</f>
        <v>0</v>
      </c>
      <c r="Z145" s="55">
        <f>IF(Z109=3,Z129,0)</f>
        <v>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81</v>
      </c>
    </row>
    <row r="146" spans="1:33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32</v>
      </c>
      <c r="H146" s="55">
        <f>IF(H109=4,H129,0)</f>
        <v>0</v>
      </c>
      <c r="J146" s="60">
        <f>IF(J109=4,H129,0)</f>
        <v>23</v>
      </c>
      <c r="K146" s="55">
        <f>IF(K109=4,K129,0)</f>
        <v>0</v>
      </c>
      <c r="M146" s="60">
        <f>IF(M109=4,K129,0)</f>
        <v>0</v>
      </c>
      <c r="N146" s="55">
        <f>IF(N109=4,N129,0)</f>
        <v>0</v>
      </c>
      <c r="P146" s="60">
        <f>IF(P109=4,N129,0)</f>
        <v>30</v>
      </c>
      <c r="Q146" s="55">
        <f>IF(Q109=4,Q129,0)</f>
        <v>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0</v>
      </c>
      <c r="AC146" s="55">
        <f>IF(AC109=4,AC129,0)</f>
        <v>0</v>
      </c>
      <c r="AE146" s="60">
        <f>IF(AE109=4,AC129,0)</f>
        <v>0</v>
      </c>
      <c r="AF146" s="55">
        <f>SUM(B146:AE146)</f>
        <v>85</v>
      </c>
    </row>
    <row r="147" spans="1:33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0</v>
      </c>
    </row>
    <row r="148" spans="1:33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</row>
    <row r="149" spans="1:33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0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0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0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0</v>
      </c>
      <c r="AE149" s="60">
        <f>IF(AE109=1,SUMIF(AE116:AE120,"&gt;0"),0)</f>
        <v>0</v>
      </c>
      <c r="AF149" s="55">
        <f>SUM(B149:AE149)</f>
        <v>0</v>
      </c>
      <c r="AG149" s="55">
        <f>AF157-AF149</f>
        <v>3</v>
      </c>
    </row>
    <row r="150" spans="1:33" s="55" customFormat="1" ht="12.75" hidden="1" customHeight="1" x14ac:dyDescent="0.2">
      <c r="A150" s="55" t="s">
        <v>98</v>
      </c>
      <c r="B150" s="55">
        <f>IF(B109=2,SUMIF(B116:B120,"&gt;0"),0)</f>
        <v>1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1</v>
      </c>
      <c r="J150" s="60">
        <f>IF(J109=2,SUMIF(J116:J120,"&gt;0"),0)</f>
        <v>0</v>
      </c>
      <c r="K150" s="55">
        <f>IF(K109=2,SUMIF(K116:K120,"&gt;0"),0)</f>
        <v>0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1</v>
      </c>
      <c r="T150" s="55">
        <f>IF(T109=2,SUMIF(T116:T120,"&gt;0"),0)</f>
        <v>0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3</v>
      </c>
      <c r="AG150" s="55">
        <f>AF158-AF150</f>
        <v>0</v>
      </c>
    </row>
    <row r="151" spans="1:33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1</v>
      </c>
      <c r="N151" s="55">
        <f>IF(N109=3,SUMIF(N116:N120,"&gt;0"),0)</f>
        <v>0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0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1</v>
      </c>
      <c r="AG151" s="55">
        <f>AF159-AF151</f>
        <v>2</v>
      </c>
    </row>
    <row r="152" spans="1:33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1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1</v>
      </c>
      <c r="Q152" s="55">
        <f>IF(Q109=4,SUMIF(Q116:Q120,"&gt;0"),0)</f>
        <v>0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0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2</v>
      </c>
      <c r="AG152" s="55">
        <f>AF160-AF152</f>
        <v>1</v>
      </c>
    </row>
    <row r="153" spans="1:33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0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0</v>
      </c>
      <c r="AG153" s="55">
        <f>AF161-AF153</f>
        <v>0</v>
      </c>
    </row>
    <row r="154" spans="1:33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</row>
    <row r="155" spans="1:33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</row>
    <row r="156" spans="1:33" s="55" customFormat="1" ht="51" hidden="1" customHeight="1" x14ac:dyDescent="0.2">
      <c r="A156" s="59" t="s">
        <v>112</v>
      </c>
      <c r="C156" s="55">
        <f>SUMIF(B149:D153,"&gt;0")</f>
        <v>1</v>
      </c>
      <c r="D156" s="60"/>
      <c r="F156" s="55">
        <f>SUMIF(E149:G153,"&gt;0")</f>
        <v>1</v>
      </c>
      <c r="G156" s="60"/>
      <c r="I156" s="55">
        <f>SUMIF(H149:J153,"&gt;0")</f>
        <v>1</v>
      </c>
      <c r="J156" s="60"/>
      <c r="L156" s="55">
        <f>SUMIF(K149:M153,"&gt;0")</f>
        <v>1</v>
      </c>
      <c r="M156" s="60"/>
      <c r="O156" s="55">
        <f>SUMIF(N149:P153,"&gt;0")</f>
        <v>1</v>
      </c>
      <c r="P156" s="60"/>
      <c r="R156" s="55">
        <f>SUMIF(Q149:S153,"&gt;0")</f>
        <v>1</v>
      </c>
      <c r="S156" s="60"/>
      <c r="U156" s="55">
        <f>SUMIF(T149:V153,"&gt;0")</f>
        <v>0</v>
      </c>
      <c r="V156" s="60"/>
      <c r="X156" s="55">
        <f>SUMIF(W149:Y153,"&gt;0")</f>
        <v>0</v>
      </c>
      <c r="Y156" s="60"/>
      <c r="AA156" s="55">
        <f>SUMIF(Z149:AB153,"&gt;0")</f>
        <v>0</v>
      </c>
      <c r="AB156" s="60"/>
      <c r="AD156" s="55">
        <f>SUMIF(AC149:AE153,"&gt;0")</f>
        <v>0</v>
      </c>
      <c r="AE156" s="60"/>
      <c r="AF156" s="59" t="s">
        <v>113</v>
      </c>
    </row>
    <row r="157" spans="1:33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1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1</v>
      </c>
      <c r="M157" s="60">
        <f>IF(M109=1,L156,0)</f>
        <v>0</v>
      </c>
      <c r="N157" s="55">
        <f>IF(N109=1,O156,0)</f>
        <v>0</v>
      </c>
      <c r="P157" s="60">
        <f>IF(P109=1,O156,0)</f>
        <v>0</v>
      </c>
      <c r="Q157" s="55">
        <f>IF(Q109=1,R156,0)</f>
        <v>1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0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0</v>
      </c>
      <c r="AE157" s="60">
        <f>IF(AE109=1,AD156,0)</f>
        <v>0</v>
      </c>
      <c r="AF157" s="55">
        <f>SUM(B157:AE157)</f>
        <v>3</v>
      </c>
    </row>
    <row r="158" spans="1:33" s="55" customFormat="1" ht="12.75" hidden="1" customHeight="1" x14ac:dyDescent="0.2">
      <c r="A158" s="55" t="s">
        <v>104</v>
      </c>
      <c r="B158" s="55">
        <f>IF(B109=2,C156,0)</f>
        <v>1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1</v>
      </c>
      <c r="J158" s="60">
        <f>IF(J109=2,I156,0)</f>
        <v>0</v>
      </c>
      <c r="K158" s="55">
        <f>IF(K109=2,L156,0)</f>
        <v>0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1</v>
      </c>
      <c r="T158" s="55">
        <f>IF(T109=2,U156,0)</f>
        <v>0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0</v>
      </c>
      <c r="AF158" s="55">
        <f>SUM(B158:AE158)</f>
        <v>3</v>
      </c>
    </row>
    <row r="159" spans="1:33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1</v>
      </c>
      <c r="E159" s="55">
        <f>IF(E109=3,F156,0)</f>
        <v>0</v>
      </c>
      <c r="G159" s="60">
        <f>IF(G109=3,F156,0)</f>
        <v>0</v>
      </c>
      <c r="H159" s="55">
        <f>IF(H109=3,I156,0)</f>
        <v>0</v>
      </c>
      <c r="J159" s="60">
        <f>IF(J109=3,I156,0)</f>
        <v>0</v>
      </c>
      <c r="K159" s="55">
        <f>IF(K109=3,L156,0)</f>
        <v>0</v>
      </c>
      <c r="M159" s="60">
        <f>IF(M109=3,L156,0)</f>
        <v>1</v>
      </c>
      <c r="N159" s="55">
        <f>IF(N109=3,O156,0)</f>
        <v>1</v>
      </c>
      <c r="P159" s="60">
        <f>IF(P109=3,O156,0)</f>
        <v>0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0</v>
      </c>
      <c r="W159" s="55">
        <f>IF(W109=3,X156,0)</f>
        <v>0</v>
      </c>
      <c r="Y159" s="60">
        <f>IF(Y109=3,X156,0)</f>
        <v>0</v>
      </c>
      <c r="Z159" s="55">
        <f>IF(Z109=3,AA156,0)</f>
        <v>0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3</v>
      </c>
    </row>
    <row r="160" spans="1:33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1</v>
      </c>
      <c r="H160" s="55">
        <f>IF(H109=4,I156,0)</f>
        <v>0</v>
      </c>
      <c r="J160" s="60">
        <f>IF(J109=4,I156,0)</f>
        <v>1</v>
      </c>
      <c r="K160" s="55">
        <f>IF(K109=4,L156,0)</f>
        <v>0</v>
      </c>
      <c r="M160" s="60">
        <f>IF(M109=4,L156,0)</f>
        <v>0</v>
      </c>
      <c r="N160" s="55">
        <f>IF(N109=4,O156,0)</f>
        <v>0</v>
      </c>
      <c r="P160" s="60">
        <f>IF(P109=4,O156,0)</f>
        <v>1</v>
      </c>
      <c r="Q160" s="55">
        <f>IF(Q109=4,R156,0)</f>
        <v>0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0</v>
      </c>
      <c r="AC160" s="55">
        <f>IF(AC109=4,AD156,0)</f>
        <v>0</v>
      </c>
      <c r="AE160" s="60">
        <f>IF(AE109=4,AD156,0)</f>
        <v>0</v>
      </c>
      <c r="AF160" s="55">
        <f>SUM(B160:AE160)</f>
        <v>3</v>
      </c>
    </row>
    <row r="161" spans="1:49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0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0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0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0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0</v>
      </c>
      <c r="AT161" s="63"/>
      <c r="AU161" s="63"/>
      <c r="AV161" s="63"/>
    </row>
    <row r="162" spans="1:49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AW162" s="130"/>
    </row>
    <row r="163" spans="1:49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</row>
    <row r="164" spans="1:49" s="63" customFormat="1" hidden="1" x14ac:dyDescent="0.2">
      <c r="A164" s="67">
        <v>1</v>
      </c>
      <c r="B164" s="67" t="str">
        <f>E93</f>
        <v>Kershaw Dev 12 White</v>
      </c>
      <c r="C164" s="67">
        <f>VLOOKUP(B164,AU$3:AW$33,3,FALSE)</f>
        <v>1200</v>
      </c>
      <c r="D164" s="67">
        <f>IF(B157,B172,IF(D157,D172,C164))</f>
        <v>1200</v>
      </c>
      <c r="E164" s="67"/>
      <c r="F164" s="67"/>
      <c r="G164" s="67">
        <f>IF(E157,E172,IF(G157,G172,D164))</f>
        <v>1181.3579735091491</v>
      </c>
      <c r="H164" s="67"/>
      <c r="I164" s="67"/>
      <c r="J164" s="67">
        <f>IF(H157,H172,IF(J157,J172,G164))</f>
        <v>1181.3579735091491</v>
      </c>
      <c r="K164" s="67"/>
      <c r="L164" s="67"/>
      <c r="M164" s="67">
        <f>IF(K157,K172,IF(M157,M172,J164))</f>
        <v>1163.5676619945557</v>
      </c>
      <c r="N164" s="67"/>
      <c r="O164" s="67"/>
      <c r="P164" s="67">
        <f>IF(N157,N172,IF(P157,P172,M164))</f>
        <v>1163.5676619945557</v>
      </c>
      <c r="Q164" s="67"/>
      <c r="R164" s="67"/>
      <c r="S164" s="67">
        <f>IF(Q157,Q172,IF(S157,S172,P164))</f>
        <v>1149.1012907267443</v>
      </c>
      <c r="T164" s="67"/>
      <c r="U164" s="67"/>
      <c r="V164" s="67">
        <f>IF(T157,T172,IF(V157,V172,S164))</f>
        <v>1149.1012907267443</v>
      </c>
      <c r="W164" s="67"/>
      <c r="X164" s="67"/>
      <c r="Y164" s="67">
        <f>IF(W157,W172,IF(Y157,Y172,V164))</f>
        <v>1149.1012907267443</v>
      </c>
      <c r="Z164" s="67"/>
      <c r="AA164" s="67"/>
      <c r="AB164" s="67">
        <f>IF(Z157,Z172,IF(AB157,AB172,Y164))</f>
        <v>1149.1012907267443</v>
      </c>
      <c r="AC164" s="67"/>
      <c r="AD164" s="67"/>
      <c r="AE164" s="67">
        <f>IF(AC157,AC172,IF(AE157,AE172,AB164))</f>
        <v>1149.1012907267443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Kershaw Dev 12 White</v>
      </c>
      <c r="AU164" s="63">
        <f>AE164</f>
        <v>1149.1012907267443</v>
      </c>
      <c r="AW164" s="66"/>
    </row>
    <row r="165" spans="1:49" s="63" customFormat="1" hidden="1" x14ac:dyDescent="0.2">
      <c r="A165" s="67">
        <v>2</v>
      </c>
      <c r="B165" s="67" t="str">
        <f>E95</f>
        <v>SC Midlands KP Garnet</v>
      </c>
      <c r="C165" s="67">
        <f>VLOOKUP(B165,AU$3:AW$33,3,FALSE)</f>
        <v>1166.3348618337313</v>
      </c>
      <c r="D165" s="67">
        <f>IF(B158,B172,IF(D158,D172,C165))</f>
        <v>1181.9479463115183</v>
      </c>
      <c r="E165" s="67"/>
      <c r="F165" s="67"/>
      <c r="G165" s="67">
        <f>IF(E158,E172,IF(G158,G172,D165))</f>
        <v>1181.9479463115183</v>
      </c>
      <c r="H165" s="67"/>
      <c r="I165" s="67"/>
      <c r="J165" s="67">
        <f>IF(H158,H172,IF(J158,J172,G165))</f>
        <v>1196.9725418242922</v>
      </c>
      <c r="K165" s="67"/>
      <c r="L165" s="67"/>
      <c r="M165" s="67">
        <f>IF(K158,K172,IF(M158,M172,J165))</f>
        <v>1196.9725418242922</v>
      </c>
      <c r="N165" s="67"/>
      <c r="O165" s="67"/>
      <c r="P165" s="67">
        <f>IF(N158,N172,IF(P158,P172,M165))</f>
        <v>1196.9725418242922</v>
      </c>
      <c r="Q165" s="67"/>
      <c r="R165" s="67"/>
      <c r="S165" s="67">
        <f>IF(Q158,Q172,IF(S158,S172,P165))</f>
        <v>1211.4389130921036</v>
      </c>
      <c r="T165" s="67"/>
      <c r="U165" s="67"/>
      <c r="V165" s="67">
        <f>IF(T158,T172,IF(V158,V172,S165))</f>
        <v>1211.4389130921036</v>
      </c>
      <c r="W165" s="67"/>
      <c r="X165" s="67"/>
      <c r="Y165" s="67">
        <f>IF(W158,W172,IF(Y158,Y172,V165))</f>
        <v>1211.4389130921036</v>
      </c>
      <c r="Z165" s="67"/>
      <c r="AA165" s="67"/>
      <c r="AB165" s="67">
        <f>IF(Z158,Z172,IF(AB158,AB172,Y165))</f>
        <v>1211.4389130921036</v>
      </c>
      <c r="AC165" s="67"/>
      <c r="AD165" s="67"/>
      <c r="AE165" s="67">
        <f>IF(AC158,AC172,IF(AE158,AE172,AB165))</f>
        <v>1211.4389130921036</v>
      </c>
      <c r="AF165" s="4"/>
      <c r="AG165" s="4"/>
      <c r="AJ165" s="4"/>
      <c r="AL165" s="4"/>
      <c r="AM165" s="4"/>
      <c r="AN165" s="4"/>
      <c r="AO165" s="4"/>
      <c r="AT165" s="63" t="str">
        <f>B165</f>
        <v>SC Midlands KP Garnet</v>
      </c>
      <c r="AU165" s="63">
        <f>AE165</f>
        <v>1211.4389130921036</v>
      </c>
      <c r="AW165" s="66"/>
    </row>
    <row r="166" spans="1:49" s="63" customFormat="1" hidden="1" x14ac:dyDescent="0.2">
      <c r="A166" s="67">
        <v>3</v>
      </c>
      <c r="B166" s="67" t="str">
        <f>E97</f>
        <v>Foothills 12 Steph</v>
      </c>
      <c r="C166" s="67">
        <f>VLOOKUP(B166,AU$3:AW$33,3,FALSE)</f>
        <v>1157.9314597187015</v>
      </c>
      <c r="D166" s="67">
        <f>IF(B159,B172,IF(D159,D172,C166))</f>
        <v>1142.3183752409145</v>
      </c>
      <c r="E166" s="67"/>
      <c r="F166" s="67"/>
      <c r="G166" s="67">
        <f>IF(E159,E172,IF(G159,G172,D166))</f>
        <v>1142.3183752409145</v>
      </c>
      <c r="H166" s="67"/>
      <c r="I166" s="67"/>
      <c r="J166" s="67">
        <f>IF(H159,H172,IF(J159,J172,G166))</f>
        <v>1142.3183752409145</v>
      </c>
      <c r="K166" s="67"/>
      <c r="L166" s="67"/>
      <c r="M166" s="67">
        <f>IF(K159,K172,IF(M159,M172,J166))</f>
        <v>1160.108686755508</v>
      </c>
      <c r="N166" s="67"/>
      <c r="O166" s="67"/>
      <c r="P166" s="67">
        <f>IF(N159,N172,IF(P159,P172,M166))</f>
        <v>1143.4462769415238</v>
      </c>
      <c r="Q166" s="67"/>
      <c r="R166" s="67"/>
      <c r="S166" s="67">
        <f>IF(Q159,Q172,IF(S159,S172,P166))</f>
        <v>1143.4462769415238</v>
      </c>
      <c r="T166" s="67"/>
      <c r="U166" s="67"/>
      <c r="V166" s="67">
        <f>IF(T159,T172,IF(V159,V172,S166))</f>
        <v>1143.4462769415238</v>
      </c>
      <c r="W166" s="67"/>
      <c r="X166" s="67"/>
      <c r="Y166" s="67">
        <f>IF(W159,W172,IF(Y159,Y172,V166))</f>
        <v>1143.4462769415238</v>
      </c>
      <c r="Z166" s="67"/>
      <c r="AA166" s="67"/>
      <c r="AB166" s="67">
        <f>IF(Z159,Z172,IF(AB159,AB172,Y166))</f>
        <v>1143.4462769415238</v>
      </c>
      <c r="AC166" s="67"/>
      <c r="AD166" s="67"/>
      <c r="AE166" s="67">
        <f>IF(AC159,AC172,IF(AE159,AE172,AB166))</f>
        <v>1143.4462769415238</v>
      </c>
      <c r="AF166" s="4"/>
      <c r="AG166" s="4"/>
      <c r="AJ166" s="4"/>
      <c r="AL166" s="4"/>
      <c r="AM166" s="4"/>
      <c r="AN166" s="4"/>
      <c r="AO166" s="4"/>
      <c r="AT166" s="63" t="str">
        <f>B166</f>
        <v>Foothills 12 Steph</v>
      </c>
      <c r="AU166" s="63">
        <f>AE166</f>
        <v>1143.4462769415238</v>
      </c>
      <c r="AW166" s="66"/>
    </row>
    <row r="167" spans="1:49" s="63" customFormat="1" hidden="1" x14ac:dyDescent="0.2">
      <c r="A167" s="67">
        <v>4</v>
      </c>
      <c r="B167" s="67" t="str">
        <f>E99</f>
        <v>USA 12's Pink</v>
      </c>
      <c r="C167" s="67">
        <f>VLOOKUP(B167,AU$3:AW$33,3,FALSE)</f>
        <v>1142.0989828300185</v>
      </c>
      <c r="D167" s="67">
        <f>IF(B160,B172,IF(D160,D172,C167))</f>
        <v>1142.0989828300185</v>
      </c>
      <c r="E167" s="67"/>
      <c r="F167" s="67"/>
      <c r="G167" s="67">
        <f>IF(E160,E172,IF(G160,G172,D167))</f>
        <v>1160.7410093208694</v>
      </c>
      <c r="H167" s="67"/>
      <c r="I167" s="67"/>
      <c r="J167" s="67">
        <f>IF(H160,H172,IF(J160,J172,G167))</f>
        <v>1145.7164138080955</v>
      </c>
      <c r="K167" s="67"/>
      <c r="L167" s="67"/>
      <c r="M167" s="67">
        <f>IF(K160,K172,IF(M160,M172,J167))</f>
        <v>1145.7164138080955</v>
      </c>
      <c r="N167" s="67"/>
      <c r="O167" s="67"/>
      <c r="P167" s="67">
        <f>IF(N160,N172,IF(P160,P172,M167))</f>
        <v>1162.3788236220796</v>
      </c>
      <c r="Q167" s="67"/>
      <c r="R167" s="67"/>
      <c r="S167" s="67">
        <f>IF(Q160,Q172,IF(S160,S172,P167))</f>
        <v>1162.3788236220796</v>
      </c>
      <c r="T167" s="67"/>
      <c r="U167" s="67"/>
      <c r="V167" s="67">
        <f>IF(T160,T172,IF(V160,V172,S167))</f>
        <v>1162.3788236220796</v>
      </c>
      <c r="W167" s="67"/>
      <c r="X167" s="67"/>
      <c r="Y167" s="67">
        <f>IF(W160,W172,IF(Y160,Y172,V167))</f>
        <v>1162.3788236220796</v>
      </c>
      <c r="Z167" s="67"/>
      <c r="AA167" s="67"/>
      <c r="AB167" s="67">
        <f>IF(Z160,Z172,IF(AB160,AB172,Y167))</f>
        <v>1162.3788236220796</v>
      </c>
      <c r="AC167" s="67"/>
      <c r="AD167" s="67"/>
      <c r="AE167" s="67">
        <f>IF(AC160,AC172,IF(AE160,AE172,AB167))</f>
        <v>1162.3788236220796</v>
      </c>
      <c r="AF167" s="4"/>
      <c r="AG167" s="4"/>
      <c r="AJ167" s="4"/>
      <c r="AL167" s="4"/>
      <c r="AM167" s="4"/>
      <c r="AN167" s="4"/>
      <c r="AO167" s="4"/>
      <c r="AT167" s="63" t="str">
        <f>B167</f>
        <v>USA 12's Pink</v>
      </c>
      <c r="AU167" s="63">
        <f>AE167</f>
        <v>1162.3788236220796</v>
      </c>
      <c r="AW167" s="66"/>
    </row>
    <row r="168" spans="1:49" s="63" customFormat="1" hidden="1" x14ac:dyDescent="0.2">
      <c r="A168" s="67">
        <v>5</v>
      </c>
      <c r="B168" s="67">
        <f>E101</f>
        <v>0</v>
      </c>
      <c r="C168" s="67" t="e">
        <f>VLOOKUP(B168,AU$3:AW$33,3,FALSE)</f>
        <v>#N/A</v>
      </c>
      <c r="D168" s="67" t="e">
        <f>IF(B161,B172,IF(D161,D172,C168))</f>
        <v>#N/A</v>
      </c>
      <c r="E168" s="67"/>
      <c r="F168" s="67"/>
      <c r="G168" s="67" t="e">
        <f>IF(E161,E172,IF(G161,G172,D168))</f>
        <v>#N/A</v>
      </c>
      <c r="H168" s="67"/>
      <c r="I168" s="67"/>
      <c r="J168" s="67" t="e">
        <f>IF(H161,H172,IF(J161,J172,G168))</f>
        <v>#N/A</v>
      </c>
      <c r="K168" s="67"/>
      <c r="L168" s="67"/>
      <c r="M168" s="67" t="e">
        <f>IF(K161,K172,IF(M161,M172,J168))</f>
        <v>#N/A</v>
      </c>
      <c r="N168" s="67"/>
      <c r="O168" s="67"/>
      <c r="P168" s="67" t="e">
        <f>IF(N161,N172,IF(P161,P172,M168))</f>
        <v>#N/A</v>
      </c>
      <c r="Q168" s="67"/>
      <c r="R168" s="67"/>
      <c r="S168" s="67" t="e">
        <f>IF(Q161,Q172,IF(S161,S172,P168))</f>
        <v>#N/A</v>
      </c>
      <c r="T168" s="67"/>
      <c r="U168" s="67"/>
      <c r="V168" s="67" t="e">
        <f>IF(T161,T172,IF(V161,V172,S168))</f>
        <v>#N/A</v>
      </c>
      <c r="W168" s="67"/>
      <c r="X168" s="67"/>
      <c r="Y168" s="67" t="e">
        <f>IF(W161,W172,IF(Y161,Y172,V168))</f>
        <v>#N/A</v>
      </c>
      <c r="Z168" s="67"/>
      <c r="AA168" s="67"/>
      <c r="AB168" s="67" t="e">
        <f>IF(Z161,Z172,IF(AB161,AB172,Y168))</f>
        <v>#N/A</v>
      </c>
      <c r="AC168" s="67"/>
      <c r="AD168" s="67"/>
      <c r="AE168" s="67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63">
        <f>B168</f>
        <v>0</v>
      </c>
      <c r="AU168" s="63" t="e">
        <f>AE168</f>
        <v>#N/A</v>
      </c>
      <c r="AW168" s="66"/>
    </row>
    <row r="169" spans="1:49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</row>
    <row r="170" spans="1:49" s="63" customFormat="1" hidden="1" x14ac:dyDescent="0.2">
      <c r="A170" s="67" t="s">
        <v>116</v>
      </c>
      <c r="B170" s="67">
        <f>VLOOKUP(B109,$A164:$AE168,3,FALSE)</f>
        <v>1166.3348618337313</v>
      </c>
      <c r="C170" s="67">
        <v>1</v>
      </c>
      <c r="D170" s="67">
        <f>VLOOKUP(D109,$A164:$AE168,3,FALSE)</f>
        <v>1157.9314597187015</v>
      </c>
      <c r="E170" s="67">
        <f>VLOOKUP(E109,$A164:$AE168,4,FALSE)</f>
        <v>1200</v>
      </c>
      <c r="F170" s="67">
        <v>2</v>
      </c>
      <c r="G170" s="67">
        <f>VLOOKUP(G109,$A164:$AE168,4,FALSE)</f>
        <v>1142.0989828300185</v>
      </c>
      <c r="H170" s="67">
        <f>VLOOKUP(H109,$A164:$AE168,7,FALSE)</f>
        <v>1181.9479463115183</v>
      </c>
      <c r="I170" s="67">
        <v>3</v>
      </c>
      <c r="J170" s="67">
        <f>VLOOKUP(J109,$A164:$AE168,7,FALSE)</f>
        <v>1160.7410093208694</v>
      </c>
      <c r="K170" s="67">
        <f>VLOOKUP(K109,$A164:$AE168,10,FALSE)</f>
        <v>1181.3579735091491</v>
      </c>
      <c r="L170" s="67">
        <v>4</v>
      </c>
      <c r="M170" s="67">
        <f>VLOOKUP(M109,$A164:$AE168,10,FALSE)</f>
        <v>1142.3183752409145</v>
      </c>
      <c r="N170" s="67">
        <f>VLOOKUP(N109,$A164:$AE168,13,FALSE)</f>
        <v>1160.108686755508</v>
      </c>
      <c r="O170" s="67">
        <v>5</v>
      </c>
      <c r="P170" s="67">
        <f>VLOOKUP(P109,$A164:$AE168,13,FALSE)</f>
        <v>1145.7164138080955</v>
      </c>
      <c r="Q170" s="67">
        <f>VLOOKUP(Q109,$A164:$AE168,16,FALSE)</f>
        <v>1163.5676619945557</v>
      </c>
      <c r="R170" s="67">
        <v>6</v>
      </c>
      <c r="S170" s="67">
        <f>VLOOKUP(S109,$A164:$AE168,16,FALSE)</f>
        <v>1196.9725418242922</v>
      </c>
      <c r="T170" s="67" t="e">
        <f>VLOOKUP(T109,$A164:$AE168,19,FALSE)</f>
        <v>#N/A</v>
      </c>
      <c r="U170" s="67">
        <v>7</v>
      </c>
      <c r="V170" s="67" t="e">
        <f>VLOOKUP(V109,$A164:$AE168,19,FALSE)</f>
        <v>#N/A</v>
      </c>
      <c r="W170" s="67" t="e">
        <f>VLOOKUP(W109,$A164:$AE168,22,FALSE)</f>
        <v>#N/A</v>
      </c>
      <c r="X170" s="67">
        <v>8</v>
      </c>
      <c r="Y170" s="67" t="e">
        <f>VLOOKUP(Y109,$A164:$AE168,22,FALSE)</f>
        <v>#N/A</v>
      </c>
      <c r="Z170" s="67" t="e">
        <f>VLOOKUP(Z109,$A164:$AE168,25,FALSE)</f>
        <v>#N/A</v>
      </c>
      <c r="AA170" s="67">
        <v>9</v>
      </c>
      <c r="AB170" s="67" t="e">
        <f>VLOOKUP(AB109,$A164:$AE168,25,FALSE)</f>
        <v>#N/A</v>
      </c>
      <c r="AC170" s="67" t="e">
        <f>VLOOKUP(AC109,$A164:$AE168,28,FALSE)</f>
        <v>#N/A</v>
      </c>
      <c r="AD170" s="67">
        <v>10</v>
      </c>
      <c r="AE170" s="67" t="e">
        <f>VLOOKUP(AE109,$A164:$AE168,28,FALSE)</f>
        <v>#N/A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</row>
    <row r="171" spans="1:49" s="72" customFormat="1" hidden="1" x14ac:dyDescent="0.2">
      <c r="A171" s="68" t="s">
        <v>117</v>
      </c>
      <c r="B171" s="68">
        <f>1/(1+(10^-((B170-D170)/400)))*(B121+D121)</f>
        <v>0.51209111006915697</v>
      </c>
      <c r="C171" s="68"/>
      <c r="D171" s="68">
        <f>1/(1+(10^-((D170-B170)/400)))*(B121+D121)</f>
        <v>0.48790888993084308</v>
      </c>
      <c r="E171" s="68">
        <f>1/(1+(10^-((E170-G170)/400)))*(E121+G121)</f>
        <v>0.58256332783908704</v>
      </c>
      <c r="F171" s="68"/>
      <c r="G171" s="68">
        <f>1/(1+(10^-((G170-E170)/400)))*(E121+G121)</f>
        <v>0.41743667216091301</v>
      </c>
      <c r="H171" s="68">
        <f>1/(1+(10^-((H170-J170)/400)))*(H121+J121)</f>
        <v>0.53048139022581886</v>
      </c>
      <c r="I171" s="68"/>
      <c r="J171" s="68">
        <f>1/(1+(10^-((J170-H170)/400)))*(H121+J121)</f>
        <v>0.46951860977418119</v>
      </c>
      <c r="K171" s="68">
        <f>1/(1+(10^-((K170-M170)/400)))*(K121+M121)</f>
        <v>0.55594723483104724</v>
      </c>
      <c r="L171" s="68"/>
      <c r="M171" s="68">
        <f>1/(1+(10^-((M170-K170)/400)))*(K121+M121)</f>
        <v>0.44405276516895276</v>
      </c>
      <c r="N171" s="68">
        <f>1/(1+(10^-((N170-P170)/400)))*(N121+P121)</f>
        <v>0.52070030668700695</v>
      </c>
      <c r="O171" s="68"/>
      <c r="P171" s="68">
        <f>1/(1+(10^-((P170-N170)/400)))*(N121+P121)</f>
        <v>0.47929969331299305</v>
      </c>
      <c r="Q171" s="68">
        <f>1/(1+(10^-((Q170-S170)/400)))*(Q121+S121)</f>
        <v>0.4520741021191067</v>
      </c>
      <c r="R171" s="68"/>
      <c r="S171" s="68">
        <f>1/(1+(10^-((S170-Q170)/400)))*(Q121+S121)</f>
        <v>0.5479258978808933</v>
      </c>
      <c r="T171" s="68" t="e">
        <f>1/(1+(10^-((T170-V170)/400)))*(T121+V121)</f>
        <v>#N/A</v>
      </c>
      <c r="U171" s="68"/>
      <c r="V171" s="68" t="e">
        <f>1/(1+(10^-((V170-T170)/400)))*(T121+V121)</f>
        <v>#N/A</v>
      </c>
      <c r="W171" s="68" t="e">
        <f>1/(1+(10^-((W170-Y170)/400)))*(W121+Y121)</f>
        <v>#N/A</v>
      </c>
      <c r="X171" s="68"/>
      <c r="Y171" s="68" t="e">
        <f>1/(1+(10^-((Y170-W170)/400)))*(W121+Y121)</f>
        <v>#N/A</v>
      </c>
      <c r="Z171" s="68" t="e">
        <f>1/(1+(10^-((Z170-AB170)/400)))*(Z121+AB121)</f>
        <v>#N/A</v>
      </c>
      <c r="AA171" s="68"/>
      <c r="AB171" s="68" t="e">
        <f>1/(1+(10^-((AB170-Z170)/400)))*(Z121+AB121)</f>
        <v>#N/A</v>
      </c>
      <c r="AC171" s="68" t="e">
        <f>1/(1+(10^-((AC170-AE170)/400)))*(AC121+AE121)</f>
        <v>#N/A</v>
      </c>
      <c r="AD171" s="68"/>
      <c r="AE171" s="68" t="e">
        <f>1/(1+(10^-((AE170-AC170)/400)))*(AC121+AE121)</f>
        <v>#N/A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</row>
    <row r="172" spans="1:49" s="78" customFormat="1" hidden="1" x14ac:dyDescent="0.2">
      <c r="A172" s="74" t="s">
        <v>118</v>
      </c>
      <c r="B172" s="74">
        <f>B170+(B121-B171)*$BA$1</f>
        <v>1181.9479463115183</v>
      </c>
      <c r="C172" s="74"/>
      <c r="D172" s="74">
        <f>D170+(D121-D171)*$BA$1</f>
        <v>1142.3183752409145</v>
      </c>
      <c r="E172" s="74">
        <f>E170+(E121-E171)*$BA$1</f>
        <v>1181.3579735091491</v>
      </c>
      <c r="F172" s="74"/>
      <c r="G172" s="74">
        <f>G170+(G121-G171)*$BA$1</f>
        <v>1160.7410093208694</v>
      </c>
      <c r="H172" s="74">
        <f>H170+(H121-H171)*$BA$1</f>
        <v>1196.9725418242922</v>
      </c>
      <c r="I172" s="74"/>
      <c r="J172" s="74">
        <f>J170+(J121-J171)*$BA$1</f>
        <v>1145.7164138080955</v>
      </c>
      <c r="K172" s="74">
        <f>K170+(K121-K171)*$BA$1</f>
        <v>1163.5676619945557</v>
      </c>
      <c r="L172" s="74"/>
      <c r="M172" s="74">
        <f>M170+(M121-M171)*$BA$1</f>
        <v>1160.108686755508</v>
      </c>
      <c r="N172" s="74">
        <f>N170+(N121-N171)*$BA$1</f>
        <v>1143.4462769415238</v>
      </c>
      <c r="O172" s="74"/>
      <c r="P172" s="74">
        <f>P170+(P121-P171)*$BA$1</f>
        <v>1162.3788236220796</v>
      </c>
      <c r="Q172" s="74">
        <f>Q170+(Q121-Q171)*$BA$1</f>
        <v>1149.1012907267443</v>
      </c>
      <c r="R172" s="74"/>
      <c r="S172" s="74">
        <f>S170+(S121-S171)*$BA$1</f>
        <v>1211.4389130921036</v>
      </c>
      <c r="T172" s="74" t="e">
        <f>T170+(T121-T171)*$BA$1</f>
        <v>#N/A</v>
      </c>
      <c r="U172" s="74"/>
      <c r="V172" s="74" t="e">
        <f>V170+(V121-V171)*$BA$1</f>
        <v>#N/A</v>
      </c>
      <c r="W172" s="74" t="e">
        <f>W170+(W121-W171)*$BA$1</f>
        <v>#N/A</v>
      </c>
      <c r="X172" s="74"/>
      <c r="Y172" s="74" t="e">
        <f>Y170+(Y121-Y171)*$BA$1</f>
        <v>#N/A</v>
      </c>
      <c r="Z172" s="74" t="e">
        <f>Z170+(Z121-Z171)*$BA$1</f>
        <v>#N/A</v>
      </c>
      <c r="AA172" s="74"/>
      <c r="AB172" s="74" t="e">
        <f>AB170+(AB121-AB171)*$BA$1</f>
        <v>#N/A</v>
      </c>
      <c r="AC172" s="74" t="e">
        <f>AC170+(AC121-AC171)*$BA$1</f>
        <v>#N/A</v>
      </c>
      <c r="AD172" s="74"/>
      <c r="AE172" s="74" t="e">
        <f>AE170+(AE121-AE171)*$BA$1</f>
        <v>#N/A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</row>
    <row r="173" spans="1:49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</row>
    <row r="174" spans="1:49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</row>
    <row r="175" spans="1:49" s="63" customFormat="1" ht="13.5" thickBot="1" x14ac:dyDescent="0.25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T175" s="4"/>
      <c r="AU175" s="4"/>
      <c r="AV175" s="4"/>
    </row>
    <row r="176" spans="1:49" ht="24" customHeight="1" thickBot="1" x14ac:dyDescent="0.25">
      <c r="A176" s="22" t="s">
        <v>35</v>
      </c>
      <c r="B176" s="23" t="s">
        <v>1025</v>
      </c>
      <c r="C176" s="246" t="s">
        <v>37</v>
      </c>
      <c r="D176" s="247"/>
      <c r="E176" s="247"/>
      <c r="F176" s="247"/>
      <c r="G176" s="247"/>
      <c r="H176" s="248"/>
      <c r="I176" s="249">
        <v>3</v>
      </c>
      <c r="J176" s="250"/>
      <c r="K176" s="251" t="str">
        <f>"Pool "&amp;B176&amp;" - Round 1 - Court "&amp;I176</f>
        <v>Pool C - Round 1 - Court 3</v>
      </c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3"/>
      <c r="AJ176" s="182"/>
      <c r="AK176" s="182"/>
      <c r="AL176" s="182"/>
      <c r="AM176" s="182"/>
      <c r="AN176" s="182"/>
      <c r="AO176" s="182"/>
      <c r="AP176" s="182"/>
      <c r="AQ176" s="182"/>
    </row>
    <row r="177" spans="1:44" ht="27" customHeight="1" thickBot="1" x14ac:dyDescent="0.25">
      <c r="A177" s="24" t="s">
        <v>40</v>
      </c>
      <c r="B177" s="254" t="s">
        <v>10</v>
      </c>
      <c r="C177" s="255"/>
      <c r="D177" s="255"/>
      <c r="E177" s="255"/>
      <c r="F177" s="255"/>
      <c r="G177" s="255"/>
      <c r="H177" s="255"/>
      <c r="I177" s="255"/>
      <c r="J177" s="255"/>
      <c r="K177" s="255"/>
      <c r="L177" s="254" t="str">
        <f>IF($AK180=0,"Games Won","Matches Won")</f>
        <v>Matches Won</v>
      </c>
      <c r="M177" s="255"/>
      <c r="N177" s="255"/>
      <c r="O177" s="255"/>
      <c r="P177" s="255"/>
      <c r="Q177" s="256"/>
      <c r="R177" s="254" t="str">
        <f>IF($AK180=0,"Games Lost","Matches Lost")</f>
        <v>Matches Lost</v>
      </c>
      <c r="S177" s="257"/>
      <c r="T177" s="257"/>
      <c r="U177" s="257"/>
      <c r="V177" s="258"/>
      <c r="W177" s="259" t="s">
        <v>41</v>
      </c>
      <c r="X177" s="260"/>
      <c r="Y177" s="261"/>
      <c r="Z177" s="259" t="s">
        <v>42</v>
      </c>
      <c r="AA177" s="260"/>
      <c r="AB177" s="261"/>
      <c r="AC177" s="279" t="s">
        <v>43</v>
      </c>
      <c r="AD177" s="280"/>
      <c r="AE177" s="281"/>
      <c r="AF177" s="25" t="s">
        <v>44</v>
      </c>
      <c r="AG177" s="26" t="s">
        <v>9</v>
      </c>
      <c r="AH177" s="282" t="s">
        <v>45</v>
      </c>
      <c r="AI177" s="283"/>
      <c r="AJ177" s="27"/>
      <c r="AK177" s="28">
        <v>2</v>
      </c>
      <c r="AL177" s="29" t="s">
        <v>46</v>
      </c>
      <c r="AM177" s="29"/>
      <c r="AN177" s="29"/>
      <c r="AO177" s="29"/>
      <c r="AP177" s="29"/>
      <c r="AQ177" s="29"/>
      <c r="AR177" s="30"/>
    </row>
    <row r="178" spans="1:44" ht="18.75" customHeight="1" x14ac:dyDescent="0.2">
      <c r="A178" s="227" t="str">
        <f>IF($AK179&gt;0,"1","")</f>
        <v>1</v>
      </c>
      <c r="B178" s="229" t="s">
        <v>10</v>
      </c>
      <c r="C178" s="230"/>
      <c r="D178" s="231"/>
      <c r="E178" s="232" t="str">
        <f>AU5</f>
        <v>SC Midlands KP Garnet</v>
      </c>
      <c r="F178" s="233"/>
      <c r="G178" s="233"/>
      <c r="H178" s="233"/>
      <c r="I178" s="233"/>
      <c r="J178" s="233"/>
      <c r="K178" s="234"/>
      <c r="L178" s="235">
        <f>IF($AK180=0,AF234,AF216)</f>
        <v>1</v>
      </c>
      <c r="M178" s="236"/>
      <c r="N178" s="236"/>
      <c r="O178" s="236"/>
      <c r="P178" s="236"/>
      <c r="Q178" s="256"/>
      <c r="R178" s="235">
        <f>IF($AK180=0,AG234,AG216)</f>
        <v>1</v>
      </c>
      <c r="S178" s="236"/>
      <c r="T178" s="236"/>
      <c r="U178" s="236"/>
      <c r="V178" s="236"/>
      <c r="W178" s="235">
        <f>AQ194</f>
        <v>10</v>
      </c>
      <c r="X178" s="236"/>
      <c r="Y178" s="236"/>
      <c r="Z178" s="239">
        <f>IF(AF228&gt;0,(AQ194/AF228),0)</f>
        <v>0.125</v>
      </c>
      <c r="AA178" s="240"/>
      <c r="AB178" s="240"/>
      <c r="AC178" s="262">
        <f>IF(AF242=0,0,(AF234/AF242))</f>
        <v>0.66666666666666663</v>
      </c>
      <c r="AD178" s="263"/>
      <c r="AE178" s="264"/>
      <c r="AF178" s="268">
        <v>2</v>
      </c>
      <c r="AG178" s="268">
        <v>1</v>
      </c>
      <c r="AH178" s="270"/>
      <c r="AI178" s="271"/>
      <c r="AJ178" s="27"/>
      <c r="AK178" s="28">
        <v>3</v>
      </c>
      <c r="AL178" s="29" t="s">
        <v>49</v>
      </c>
      <c r="AM178" s="29"/>
      <c r="AN178" s="29"/>
      <c r="AO178" s="29"/>
      <c r="AP178" s="29"/>
      <c r="AQ178" s="29"/>
      <c r="AR178" s="30"/>
    </row>
    <row r="179" spans="1:44" ht="18.75" customHeight="1" thickBot="1" x14ac:dyDescent="0.25">
      <c r="A179" s="228"/>
      <c r="B179" s="274" t="s">
        <v>11</v>
      </c>
      <c r="C179" s="275"/>
      <c r="D179" s="276"/>
      <c r="E179" s="277" t="str">
        <f>AV5</f>
        <v>fj2scmid5pm</v>
      </c>
      <c r="F179" s="278"/>
      <c r="G179" s="278"/>
      <c r="H179" s="278"/>
      <c r="I179" s="278"/>
      <c r="J179" s="278"/>
      <c r="K179" s="278"/>
      <c r="L179" s="237"/>
      <c r="M179" s="238"/>
      <c r="N179" s="238"/>
      <c r="O179" s="238"/>
      <c r="P179" s="238"/>
      <c r="Q179" s="256"/>
      <c r="R179" s="237"/>
      <c r="S179" s="238"/>
      <c r="T179" s="238"/>
      <c r="U179" s="238"/>
      <c r="V179" s="238"/>
      <c r="W179" s="237"/>
      <c r="X179" s="238"/>
      <c r="Y179" s="238"/>
      <c r="Z179" s="241"/>
      <c r="AA179" s="242"/>
      <c r="AB179" s="242"/>
      <c r="AC179" s="265"/>
      <c r="AD179" s="266"/>
      <c r="AE179" s="267"/>
      <c r="AF179" s="269"/>
      <c r="AG179" s="269"/>
      <c r="AH179" s="272"/>
      <c r="AI179" s="273"/>
      <c r="AJ179" s="27"/>
      <c r="AK179" s="28">
        <v>3</v>
      </c>
      <c r="AL179" s="29" t="s">
        <v>52</v>
      </c>
      <c r="AM179" s="27"/>
      <c r="AN179" s="27"/>
      <c r="AO179" s="27"/>
      <c r="AP179" s="27"/>
      <c r="AQ179" s="27"/>
      <c r="AR179" s="3"/>
    </row>
    <row r="180" spans="1:44" ht="18.75" customHeight="1" x14ac:dyDescent="0.2">
      <c r="A180" s="227" t="str">
        <f>IF($AK179&gt;1,"2","")</f>
        <v>2</v>
      </c>
      <c r="B180" s="229" t="s">
        <v>10</v>
      </c>
      <c r="C180" s="230"/>
      <c r="D180" s="231"/>
      <c r="E180" s="232" t="str">
        <f>AU6</f>
        <v>Kershaw Dev 12 Black</v>
      </c>
      <c r="F180" s="233"/>
      <c r="G180" s="233"/>
      <c r="H180" s="233"/>
      <c r="I180" s="233"/>
      <c r="J180" s="233"/>
      <c r="K180" s="234"/>
      <c r="L180" s="235">
        <f>IF($AK180=0,AF235,AF217)</f>
        <v>0</v>
      </c>
      <c r="M180" s="236"/>
      <c r="N180" s="236"/>
      <c r="O180" s="236"/>
      <c r="P180" s="236"/>
      <c r="Q180" s="256"/>
      <c r="R180" s="235">
        <f>IF($AK180=0,AG235,AG217)</f>
        <v>2</v>
      </c>
      <c r="S180" s="236"/>
      <c r="T180" s="236"/>
      <c r="U180" s="236"/>
      <c r="V180" s="236"/>
      <c r="W180" s="235">
        <f>AQ195</f>
        <v>-28</v>
      </c>
      <c r="X180" s="236"/>
      <c r="Y180" s="236"/>
      <c r="Z180" s="239">
        <f>IF(AF229&gt;0,(AQ195/AF229),0)</f>
        <v>-0.26415094339622641</v>
      </c>
      <c r="AA180" s="240"/>
      <c r="AB180" s="240"/>
      <c r="AC180" s="262">
        <f>IF(AF243=0,0,(AF235/AF243))</f>
        <v>0</v>
      </c>
      <c r="AD180" s="263"/>
      <c r="AE180" s="264"/>
      <c r="AF180" s="268">
        <v>3</v>
      </c>
      <c r="AG180" s="268">
        <v>1</v>
      </c>
      <c r="AH180" s="270"/>
      <c r="AI180" s="271"/>
      <c r="AJ180" s="27"/>
      <c r="AK180" s="28">
        <v>1</v>
      </c>
      <c r="AL180" s="29" t="s">
        <v>55</v>
      </c>
      <c r="AM180" s="29"/>
      <c r="AN180" s="29"/>
      <c r="AO180" s="29"/>
      <c r="AP180" s="29"/>
      <c r="AQ180" s="29"/>
      <c r="AR180" s="30"/>
    </row>
    <row r="181" spans="1:44" ht="18.75" customHeight="1" thickBot="1" x14ac:dyDescent="0.25">
      <c r="A181" s="228"/>
      <c r="B181" s="284" t="s">
        <v>11</v>
      </c>
      <c r="C181" s="285"/>
      <c r="D181" s="285"/>
      <c r="E181" s="277" t="str">
        <f>AV6</f>
        <v>fj2kersh3pm</v>
      </c>
      <c r="F181" s="278"/>
      <c r="G181" s="278"/>
      <c r="H181" s="278"/>
      <c r="I181" s="278"/>
      <c r="J181" s="278"/>
      <c r="K181" s="278"/>
      <c r="L181" s="237"/>
      <c r="M181" s="238"/>
      <c r="N181" s="238"/>
      <c r="O181" s="238"/>
      <c r="P181" s="238"/>
      <c r="Q181" s="256"/>
      <c r="R181" s="237"/>
      <c r="S181" s="238"/>
      <c r="T181" s="238"/>
      <c r="U181" s="238"/>
      <c r="V181" s="238"/>
      <c r="W181" s="237"/>
      <c r="X181" s="238"/>
      <c r="Y181" s="238"/>
      <c r="Z181" s="241"/>
      <c r="AA181" s="242"/>
      <c r="AB181" s="242"/>
      <c r="AC181" s="265"/>
      <c r="AD181" s="266"/>
      <c r="AE181" s="267"/>
      <c r="AF181" s="269"/>
      <c r="AG181" s="269"/>
      <c r="AH181" s="272"/>
      <c r="AI181" s="273"/>
      <c r="AJ181" s="27"/>
      <c r="AK181" s="28">
        <v>1</v>
      </c>
      <c r="AL181" s="29" t="s">
        <v>58</v>
      </c>
      <c r="AM181" s="27"/>
      <c r="AN181" s="27"/>
      <c r="AO181" s="27"/>
      <c r="AP181" s="27"/>
      <c r="AQ181" s="27"/>
      <c r="AR181" s="3"/>
    </row>
    <row r="182" spans="1:44" ht="18.75" customHeight="1" x14ac:dyDescent="0.2">
      <c r="A182" s="227" t="str">
        <f>IF($AK179&gt;2,"3","")</f>
        <v>3</v>
      </c>
      <c r="B182" s="286" t="s">
        <v>10</v>
      </c>
      <c r="C182" s="287"/>
      <c r="D182" s="287"/>
      <c r="E182" s="232">
        <f>AU11</f>
        <v>0</v>
      </c>
      <c r="F182" s="233"/>
      <c r="G182" s="233"/>
      <c r="H182" s="233"/>
      <c r="I182" s="233"/>
      <c r="J182" s="233"/>
      <c r="K182" s="234"/>
      <c r="L182" s="235">
        <f>IF($AK180=0,AF236,AF218)</f>
        <v>2</v>
      </c>
      <c r="M182" s="236"/>
      <c r="N182" s="236"/>
      <c r="O182" s="236"/>
      <c r="P182" s="236"/>
      <c r="Q182" s="256"/>
      <c r="R182" s="235">
        <f>IF($AK180=0,AG236,AG218)</f>
        <v>0</v>
      </c>
      <c r="S182" s="236"/>
      <c r="T182" s="236"/>
      <c r="U182" s="236"/>
      <c r="V182" s="236"/>
      <c r="W182" s="235">
        <f>AQ196</f>
        <v>18</v>
      </c>
      <c r="X182" s="236"/>
      <c r="Y182" s="236"/>
      <c r="Z182" s="239">
        <f>IF(AF230&gt;0,(AQ196/AF230),0)</f>
        <v>0.23076923076923078</v>
      </c>
      <c r="AA182" s="240"/>
      <c r="AB182" s="240"/>
      <c r="AC182" s="262">
        <f>IF(AF244=0,0,(AF236/AF244))</f>
        <v>1</v>
      </c>
      <c r="AD182" s="263"/>
      <c r="AE182" s="264"/>
      <c r="AF182" s="268">
        <v>1</v>
      </c>
      <c r="AG182" s="268">
        <v>1</v>
      </c>
      <c r="AH182" s="270"/>
      <c r="AI182" s="271"/>
      <c r="AJ182" s="31"/>
      <c r="AK182" s="28">
        <v>2</v>
      </c>
      <c r="AL182" s="32" t="s">
        <v>61</v>
      </c>
      <c r="AM182" s="29"/>
      <c r="AN182" s="29"/>
      <c r="AO182" s="29"/>
      <c r="AP182" s="29"/>
      <c r="AQ182" s="29"/>
      <c r="AR182" s="30"/>
    </row>
    <row r="183" spans="1:44" ht="18.75" customHeight="1" thickBot="1" x14ac:dyDescent="0.25">
      <c r="A183" s="228"/>
      <c r="B183" s="284" t="s">
        <v>11</v>
      </c>
      <c r="C183" s="285"/>
      <c r="D183" s="285"/>
      <c r="E183" s="277">
        <f>AV11</f>
        <v>0</v>
      </c>
      <c r="F183" s="278"/>
      <c r="G183" s="278"/>
      <c r="H183" s="278"/>
      <c r="I183" s="278"/>
      <c r="J183" s="278"/>
      <c r="K183" s="278"/>
      <c r="L183" s="237"/>
      <c r="M183" s="238"/>
      <c r="N183" s="238"/>
      <c r="O183" s="238"/>
      <c r="P183" s="238"/>
      <c r="Q183" s="256"/>
      <c r="R183" s="237"/>
      <c r="S183" s="238"/>
      <c r="T183" s="238"/>
      <c r="U183" s="238"/>
      <c r="V183" s="238"/>
      <c r="W183" s="237"/>
      <c r="X183" s="238"/>
      <c r="Y183" s="238"/>
      <c r="Z183" s="241"/>
      <c r="AA183" s="242"/>
      <c r="AB183" s="242"/>
      <c r="AC183" s="265"/>
      <c r="AD183" s="266"/>
      <c r="AE183" s="267"/>
      <c r="AF183" s="269"/>
      <c r="AG183" s="269"/>
      <c r="AH183" s="272"/>
      <c r="AI183" s="273"/>
      <c r="AJ183" s="31"/>
      <c r="AK183" s="36"/>
      <c r="AL183" s="37"/>
      <c r="AM183" s="37"/>
      <c r="AN183" s="37"/>
      <c r="AO183" s="37"/>
      <c r="AP183" s="37"/>
      <c r="AQ183" s="27"/>
      <c r="AR183" s="3"/>
    </row>
    <row r="184" spans="1:44" ht="18.75" customHeight="1" x14ac:dyDescent="0.2">
      <c r="A184" s="227" t="str">
        <f>IF($AK179&gt;3,"4","")</f>
        <v/>
      </c>
      <c r="B184" s="286" t="s">
        <v>10</v>
      </c>
      <c r="C184" s="287"/>
      <c r="D184" s="287"/>
      <c r="E184" s="232" t="str">
        <f>AU12</f>
        <v>Team 10</v>
      </c>
      <c r="F184" s="233"/>
      <c r="G184" s="233"/>
      <c r="H184" s="233"/>
      <c r="I184" s="233"/>
      <c r="J184" s="233"/>
      <c r="K184" s="234"/>
      <c r="L184" s="235">
        <f>IF($AK180=0,AF237,AF219)</f>
        <v>0</v>
      </c>
      <c r="M184" s="236"/>
      <c r="N184" s="236"/>
      <c r="O184" s="236"/>
      <c r="P184" s="236"/>
      <c r="Q184" s="256"/>
      <c r="R184" s="235">
        <f>IF($AK180=0,AG237,AG219)</f>
        <v>0</v>
      </c>
      <c r="S184" s="236"/>
      <c r="T184" s="236"/>
      <c r="U184" s="236"/>
      <c r="V184" s="236"/>
      <c r="W184" s="235">
        <f>AQ197</f>
        <v>0</v>
      </c>
      <c r="X184" s="236"/>
      <c r="Y184" s="236"/>
      <c r="Z184" s="239">
        <f>IF(AF231&gt;0,(AQ197/AF231),0)</f>
        <v>0</v>
      </c>
      <c r="AA184" s="240"/>
      <c r="AB184" s="240"/>
      <c r="AC184" s="262">
        <f>IF(AF245=0,0,(AF237/AF245))</f>
        <v>0</v>
      </c>
      <c r="AD184" s="263"/>
      <c r="AE184" s="264"/>
      <c r="AF184" s="268"/>
      <c r="AG184" s="268"/>
      <c r="AH184" s="270"/>
      <c r="AI184" s="271"/>
      <c r="AJ184" s="182"/>
      <c r="AK184" s="37"/>
      <c r="AL184" s="37"/>
      <c r="AM184" s="37"/>
      <c r="AN184" s="37"/>
      <c r="AO184" s="37"/>
      <c r="AP184" s="37"/>
      <c r="AQ184" s="29"/>
      <c r="AR184" s="30"/>
    </row>
    <row r="185" spans="1:44" ht="18.75" customHeight="1" thickBot="1" x14ac:dyDescent="0.25">
      <c r="A185" s="228"/>
      <c r="B185" s="284" t="s">
        <v>11</v>
      </c>
      <c r="C185" s="285"/>
      <c r="D185" s="285"/>
      <c r="E185" s="277" t="str">
        <f>AV12</f>
        <v>Code 10</v>
      </c>
      <c r="F185" s="278"/>
      <c r="G185" s="278"/>
      <c r="H185" s="278"/>
      <c r="I185" s="278"/>
      <c r="J185" s="278"/>
      <c r="K185" s="278"/>
      <c r="L185" s="237"/>
      <c r="M185" s="238"/>
      <c r="N185" s="238"/>
      <c r="O185" s="238"/>
      <c r="P185" s="238"/>
      <c r="Q185" s="256"/>
      <c r="R185" s="237"/>
      <c r="S185" s="238"/>
      <c r="T185" s="238"/>
      <c r="U185" s="238"/>
      <c r="V185" s="238"/>
      <c r="W185" s="237"/>
      <c r="X185" s="238"/>
      <c r="Y185" s="238"/>
      <c r="Z185" s="241"/>
      <c r="AA185" s="242"/>
      <c r="AB185" s="242"/>
      <c r="AC185" s="265"/>
      <c r="AD185" s="266"/>
      <c r="AE185" s="267"/>
      <c r="AF185" s="269"/>
      <c r="AG185" s="269"/>
      <c r="AH185" s="272"/>
      <c r="AI185" s="273"/>
      <c r="AJ185" s="182"/>
      <c r="AK185" s="37"/>
      <c r="AL185" s="37"/>
      <c r="AM185" s="37"/>
      <c r="AN185" s="37"/>
      <c r="AO185" s="37"/>
      <c r="AP185" s="37"/>
      <c r="AQ185" s="182"/>
      <c r="AR185" s="3"/>
    </row>
    <row r="186" spans="1:44" ht="18.75" customHeight="1" x14ac:dyDescent="0.2">
      <c r="A186" s="227" t="str">
        <f>IF($AK179&gt;4,"5","")</f>
        <v/>
      </c>
      <c r="B186" s="286" t="s">
        <v>10</v>
      </c>
      <c r="C186" s="287"/>
      <c r="D186" s="287"/>
      <c r="E186" s="300">
        <f>AU21</f>
        <v>0</v>
      </c>
      <c r="F186" s="301"/>
      <c r="G186" s="301"/>
      <c r="H186" s="301"/>
      <c r="I186" s="301"/>
      <c r="J186" s="301"/>
      <c r="K186" s="302"/>
      <c r="L186" s="235">
        <f>IF($AK180=0,AF238,AF220)</f>
        <v>0</v>
      </c>
      <c r="M186" s="236"/>
      <c r="N186" s="236"/>
      <c r="O186" s="236"/>
      <c r="P186" s="236"/>
      <c r="Q186" s="256"/>
      <c r="R186" s="235">
        <f>IF($AK180=0,AG238,AG220)</f>
        <v>0</v>
      </c>
      <c r="S186" s="236"/>
      <c r="T186" s="236"/>
      <c r="U186" s="236"/>
      <c r="V186" s="236"/>
      <c r="W186" s="235">
        <f>AQ198</f>
        <v>0</v>
      </c>
      <c r="X186" s="236"/>
      <c r="Y186" s="236"/>
      <c r="Z186" s="239">
        <f>IF(AF232&gt;0,(AQ198/AF232),0)</f>
        <v>0</v>
      </c>
      <c r="AA186" s="240"/>
      <c r="AB186" s="240"/>
      <c r="AC186" s="262">
        <f>IF(AF246=0,0,(AF238/AF246))</f>
        <v>0</v>
      </c>
      <c r="AD186" s="263"/>
      <c r="AE186" s="264"/>
      <c r="AF186" s="268"/>
      <c r="AG186" s="268"/>
      <c r="AH186" s="270"/>
      <c r="AI186" s="271"/>
      <c r="AJ186" s="182"/>
      <c r="AK186" s="37"/>
      <c r="AL186" s="37"/>
      <c r="AM186" s="37"/>
      <c r="AN186" s="37"/>
      <c r="AO186" s="37"/>
      <c r="AP186" s="37"/>
      <c r="AQ186" s="182"/>
      <c r="AR186" s="3"/>
    </row>
    <row r="187" spans="1:44" ht="18.75" customHeight="1" thickBot="1" x14ac:dyDescent="0.25">
      <c r="A187" s="228"/>
      <c r="B187" s="296" t="s">
        <v>11</v>
      </c>
      <c r="C187" s="297"/>
      <c r="D187" s="297"/>
      <c r="E187" s="298">
        <f>AV21</f>
        <v>0</v>
      </c>
      <c r="F187" s="299"/>
      <c r="G187" s="299"/>
      <c r="H187" s="299"/>
      <c r="I187" s="299"/>
      <c r="J187" s="299"/>
      <c r="K187" s="299"/>
      <c r="L187" s="303"/>
      <c r="M187" s="304"/>
      <c r="N187" s="304"/>
      <c r="O187" s="304"/>
      <c r="P187" s="304"/>
      <c r="Q187" s="256"/>
      <c r="R187" s="303"/>
      <c r="S187" s="304"/>
      <c r="T187" s="304"/>
      <c r="U187" s="304"/>
      <c r="V187" s="304"/>
      <c r="W187" s="303"/>
      <c r="X187" s="304"/>
      <c r="Y187" s="304"/>
      <c r="Z187" s="288"/>
      <c r="AA187" s="289"/>
      <c r="AB187" s="289"/>
      <c r="AC187" s="290"/>
      <c r="AD187" s="291"/>
      <c r="AE187" s="292"/>
      <c r="AF187" s="293"/>
      <c r="AG187" s="293"/>
      <c r="AH187" s="294"/>
      <c r="AI187" s="295"/>
      <c r="AJ187" s="182"/>
      <c r="AK187" s="37"/>
      <c r="AL187" s="37"/>
      <c r="AM187" s="37"/>
      <c r="AN187" s="37"/>
      <c r="AO187" s="37"/>
      <c r="AP187" s="37"/>
      <c r="AQ187" s="182"/>
      <c r="AR187" s="3"/>
    </row>
    <row r="188" spans="1:44" ht="21" customHeight="1" thickTop="1" thickBot="1" x14ac:dyDescent="0.25">
      <c r="A188" s="40"/>
      <c r="B188" s="305" t="s">
        <v>1020</v>
      </c>
      <c r="C188" s="306"/>
      <c r="D188" s="306"/>
      <c r="E188" s="306"/>
      <c r="F188" s="306"/>
      <c r="G188" s="306"/>
      <c r="H188" s="306"/>
      <c r="I188" s="306"/>
      <c r="J188" s="306"/>
      <c r="K188" s="306"/>
      <c r="L188" s="306"/>
      <c r="M188" s="306"/>
      <c r="N188" s="306"/>
      <c r="O188" s="306"/>
      <c r="P188" s="306"/>
      <c r="Q188" s="306"/>
      <c r="R188" s="306"/>
      <c r="S188" s="306"/>
      <c r="T188" s="306"/>
      <c r="U188" s="306"/>
      <c r="V188" s="306"/>
      <c r="W188" s="306"/>
      <c r="X188" s="306"/>
      <c r="Y188" s="306"/>
      <c r="Z188" s="306"/>
      <c r="AA188" s="306"/>
      <c r="AB188" s="306"/>
      <c r="AC188" s="306"/>
      <c r="AD188" s="306"/>
      <c r="AE188" s="306"/>
      <c r="AF188" s="306"/>
      <c r="AG188" s="306"/>
      <c r="AH188" s="306"/>
      <c r="AI188" s="307"/>
      <c r="AJ188" s="182"/>
      <c r="AK188" s="37"/>
      <c r="AL188" s="37"/>
      <c r="AM188" s="37"/>
      <c r="AN188" s="37"/>
      <c r="AO188" s="37"/>
      <c r="AP188" s="37"/>
      <c r="AQ188" s="182"/>
      <c r="AR188" s="3"/>
    </row>
    <row r="189" spans="1:44" ht="13.5" thickTop="1" x14ac:dyDescent="0.2">
      <c r="A189" s="4" t="s">
        <v>66</v>
      </c>
      <c r="B189" s="308">
        <v>6.25E-2</v>
      </c>
      <c r="C189" s="309"/>
      <c r="D189" s="310"/>
      <c r="E189" s="308">
        <v>8.3333333333333329E-2</v>
      </c>
      <c r="F189" s="309"/>
      <c r="G189" s="310"/>
      <c r="H189" s="308">
        <v>0.10416666666666667</v>
      </c>
      <c r="I189" s="309"/>
      <c r="J189" s="310"/>
      <c r="K189" s="308"/>
      <c r="L189" s="309"/>
      <c r="M189" s="310"/>
      <c r="N189" s="308"/>
      <c r="O189" s="309"/>
      <c r="P189" s="310"/>
      <c r="Q189" s="308"/>
      <c r="R189" s="309"/>
      <c r="S189" s="310"/>
      <c r="T189" s="308"/>
      <c r="U189" s="309"/>
      <c r="V189" s="310"/>
      <c r="W189" s="308"/>
      <c r="X189" s="309"/>
      <c r="Y189" s="310"/>
      <c r="Z189" s="308"/>
      <c r="AA189" s="309"/>
      <c r="AB189" s="310"/>
      <c r="AC189" s="308"/>
      <c r="AD189" s="309"/>
      <c r="AE189" s="310"/>
      <c r="AF189" s="311" t="s">
        <v>67</v>
      </c>
      <c r="AG189" s="312"/>
      <c r="AH189" s="312"/>
      <c r="AI189" s="312"/>
      <c r="AJ189" s="313"/>
      <c r="AK189" s="313"/>
      <c r="AL189" s="313"/>
      <c r="AM189" s="313"/>
      <c r="AN189" s="313"/>
      <c r="AO189" s="313"/>
      <c r="AP189" s="313"/>
      <c r="AQ189" s="314"/>
    </row>
    <row r="190" spans="1:44" x14ac:dyDescent="0.2">
      <c r="A190" s="41" t="s">
        <v>68</v>
      </c>
      <c r="B190" s="319"/>
      <c r="C190" s="320"/>
      <c r="D190" s="321"/>
      <c r="E190" s="319"/>
      <c r="F190" s="320"/>
      <c r="G190" s="321"/>
      <c r="H190" s="319"/>
      <c r="I190" s="320"/>
      <c r="J190" s="321"/>
      <c r="K190" s="319"/>
      <c r="L190" s="320"/>
      <c r="M190" s="321"/>
      <c r="N190" s="319"/>
      <c r="O190" s="320"/>
      <c r="P190" s="321"/>
      <c r="Q190" s="319"/>
      <c r="R190" s="320"/>
      <c r="S190" s="321"/>
      <c r="T190" s="319"/>
      <c r="U190" s="320"/>
      <c r="V190" s="321"/>
      <c r="W190" s="319"/>
      <c r="X190" s="320"/>
      <c r="Y190" s="321"/>
      <c r="Z190" s="319"/>
      <c r="AA190" s="320"/>
      <c r="AB190" s="321"/>
      <c r="AC190" s="319"/>
      <c r="AD190" s="320"/>
      <c r="AE190" s="321"/>
      <c r="AF190" s="311"/>
      <c r="AG190" s="312"/>
      <c r="AH190" s="312"/>
      <c r="AI190" s="312"/>
      <c r="AJ190" s="312"/>
      <c r="AK190" s="312"/>
      <c r="AL190" s="312"/>
      <c r="AM190" s="312"/>
      <c r="AN190" s="312"/>
      <c r="AO190" s="312"/>
      <c r="AP190" s="312"/>
      <c r="AQ190" s="315"/>
    </row>
    <row r="191" spans="1:44" x14ac:dyDescent="0.2">
      <c r="A191" s="41" t="s">
        <v>69</v>
      </c>
      <c r="B191" s="319"/>
      <c r="C191" s="320"/>
      <c r="D191" s="321"/>
      <c r="E191" s="319"/>
      <c r="F191" s="320"/>
      <c r="G191" s="321"/>
      <c r="H191" s="319"/>
      <c r="I191" s="320"/>
      <c r="J191" s="321"/>
      <c r="K191" s="319"/>
      <c r="L191" s="320"/>
      <c r="M191" s="321"/>
      <c r="N191" s="319"/>
      <c r="O191" s="320"/>
      <c r="P191" s="321"/>
      <c r="Q191" s="319"/>
      <c r="R191" s="320"/>
      <c r="S191" s="321"/>
      <c r="T191" s="319"/>
      <c r="U191" s="320"/>
      <c r="V191" s="321"/>
      <c r="W191" s="319"/>
      <c r="X191" s="320"/>
      <c r="Y191" s="321"/>
      <c r="Z191" s="319"/>
      <c r="AA191" s="320"/>
      <c r="AB191" s="321"/>
      <c r="AC191" s="319"/>
      <c r="AD191" s="320"/>
      <c r="AE191" s="321"/>
      <c r="AF191" s="311"/>
      <c r="AG191" s="312"/>
      <c r="AH191" s="312"/>
      <c r="AI191" s="312"/>
      <c r="AJ191" s="312"/>
      <c r="AK191" s="312"/>
      <c r="AL191" s="312"/>
      <c r="AM191" s="312"/>
      <c r="AN191" s="312"/>
      <c r="AO191" s="312"/>
      <c r="AP191" s="312"/>
      <c r="AQ191" s="315"/>
    </row>
    <row r="192" spans="1:44" ht="13.5" thickBot="1" x14ac:dyDescent="0.25">
      <c r="A192" s="182"/>
      <c r="B192" s="322" t="s">
        <v>70</v>
      </c>
      <c r="C192" s="323"/>
      <c r="D192" s="324"/>
      <c r="E192" s="322" t="str">
        <f>IF(AK178&gt;1,"Match 2","")</f>
        <v>Match 2</v>
      </c>
      <c r="F192" s="323"/>
      <c r="G192" s="324"/>
      <c r="H192" s="322" t="str">
        <f>IF(AK178&gt;2,"Match 3","")</f>
        <v>Match 3</v>
      </c>
      <c r="I192" s="323"/>
      <c r="J192" s="324"/>
      <c r="K192" s="322" t="str">
        <f>IF(AK178&gt;3,"Match 4","")</f>
        <v/>
      </c>
      <c r="L192" s="323"/>
      <c r="M192" s="324"/>
      <c r="N192" s="322" t="str">
        <f>IF(AK178&gt;4,"Match 5","")</f>
        <v/>
      </c>
      <c r="O192" s="323"/>
      <c r="P192" s="324"/>
      <c r="Q192" s="322" t="str">
        <f>IF(AK178&gt;5,"Match 6","")</f>
        <v/>
      </c>
      <c r="R192" s="323"/>
      <c r="S192" s="324"/>
      <c r="T192" s="322" t="str">
        <f>IF(AK178&gt;6,"Match 7","")</f>
        <v/>
      </c>
      <c r="U192" s="323"/>
      <c r="V192" s="324"/>
      <c r="W192" s="322" t="str">
        <f>IF(AK178&gt;7,"Match 8","")</f>
        <v/>
      </c>
      <c r="X192" s="323"/>
      <c r="Y192" s="324"/>
      <c r="Z192" s="322" t="str">
        <f>IF(AK178&gt;8,"Match 9","")</f>
        <v/>
      </c>
      <c r="AA192" s="323"/>
      <c r="AB192" s="324"/>
      <c r="AC192" s="322" t="str">
        <f>IF(AK178&gt;9,"Match 10","")</f>
        <v/>
      </c>
      <c r="AD192" s="323"/>
      <c r="AE192" s="324"/>
      <c r="AF192" s="316"/>
      <c r="AG192" s="317"/>
      <c r="AH192" s="317"/>
      <c r="AI192" s="317"/>
      <c r="AJ192" s="317"/>
      <c r="AK192" s="317"/>
      <c r="AL192" s="317"/>
      <c r="AM192" s="317"/>
      <c r="AN192" s="317"/>
      <c r="AO192" s="317"/>
      <c r="AP192" s="317"/>
      <c r="AQ192" s="318"/>
    </row>
    <row r="193" spans="1:48" ht="15.75" x14ac:dyDescent="0.25">
      <c r="A193" s="182"/>
      <c r="B193" s="325" t="s">
        <v>75</v>
      </c>
      <c r="C193" s="326"/>
      <c r="D193" s="327"/>
      <c r="E193" s="325" t="s">
        <v>73</v>
      </c>
      <c r="F193" s="326"/>
      <c r="G193" s="327"/>
      <c r="H193" s="325" t="s">
        <v>72</v>
      </c>
      <c r="I193" s="326"/>
      <c r="J193" s="327"/>
      <c r="K193" s="325" t="s">
        <v>71</v>
      </c>
      <c r="L193" s="326"/>
      <c r="M193" s="327"/>
      <c r="N193" s="325" t="s">
        <v>75</v>
      </c>
      <c r="O193" s="326"/>
      <c r="P193" s="327"/>
      <c r="Q193" s="325" t="s">
        <v>72</v>
      </c>
      <c r="R193" s="326"/>
      <c r="S193" s="327"/>
      <c r="T193" s="325"/>
      <c r="U193" s="326"/>
      <c r="V193" s="327"/>
      <c r="W193" s="325"/>
      <c r="X193" s="326"/>
      <c r="Y193" s="327"/>
      <c r="Z193" s="325"/>
      <c r="AA193" s="326"/>
      <c r="AB193" s="327"/>
      <c r="AC193" s="325"/>
      <c r="AD193" s="326"/>
      <c r="AE193" s="327"/>
      <c r="AF193" s="42" t="s">
        <v>76</v>
      </c>
      <c r="AG193" s="43">
        <v>1</v>
      </c>
      <c r="AH193" s="43">
        <v>2</v>
      </c>
      <c r="AI193" s="43">
        <v>3</v>
      </c>
      <c r="AJ193" s="43">
        <v>4</v>
      </c>
      <c r="AK193" s="43">
        <v>5</v>
      </c>
      <c r="AL193" s="43">
        <v>6</v>
      </c>
      <c r="AM193" s="43">
        <v>7</v>
      </c>
      <c r="AN193" s="43">
        <v>8</v>
      </c>
      <c r="AO193" s="43">
        <v>9</v>
      </c>
      <c r="AP193" s="43">
        <v>10</v>
      </c>
      <c r="AQ193" s="44" t="s">
        <v>77</v>
      </c>
    </row>
    <row r="194" spans="1:48" ht="15.75" x14ac:dyDescent="0.25">
      <c r="A194" s="182"/>
      <c r="B194" s="45">
        <v>1</v>
      </c>
      <c r="C194" s="46" t="s">
        <v>78</v>
      </c>
      <c r="D194" s="47">
        <v>3</v>
      </c>
      <c r="E194" s="45">
        <v>2</v>
      </c>
      <c r="F194" s="46" t="str">
        <f>IF(AK178&gt;1,"v","")</f>
        <v>v</v>
      </c>
      <c r="G194" s="47">
        <v>3</v>
      </c>
      <c r="H194" s="45">
        <v>1</v>
      </c>
      <c r="I194" s="46" t="str">
        <f>IF(AK178&gt;2,"v","")</f>
        <v>v</v>
      </c>
      <c r="J194" s="47">
        <v>2</v>
      </c>
      <c r="K194" s="45">
        <v>1</v>
      </c>
      <c r="L194" s="46" t="str">
        <f>IF(AK178&gt;3,"v","")</f>
        <v/>
      </c>
      <c r="M194" s="47">
        <v>3</v>
      </c>
      <c r="N194" s="45">
        <v>3</v>
      </c>
      <c r="O194" s="46" t="str">
        <f>IF(AK178&gt;4,"v","")</f>
        <v/>
      </c>
      <c r="P194" s="47">
        <v>4</v>
      </c>
      <c r="Q194" s="45">
        <v>1</v>
      </c>
      <c r="R194" s="46" t="str">
        <f>IF(AK178&gt;5,"v","")</f>
        <v/>
      </c>
      <c r="S194" s="47">
        <v>2</v>
      </c>
      <c r="T194" s="45"/>
      <c r="U194" s="46" t="str">
        <f>IF(AK178&gt;6,"v","")</f>
        <v/>
      </c>
      <c r="V194" s="47"/>
      <c r="W194" s="45"/>
      <c r="X194" s="46" t="str">
        <f>IF(AK178&gt;7,"v","")</f>
        <v/>
      </c>
      <c r="Y194" s="47"/>
      <c r="Z194" s="45"/>
      <c r="AA194" s="46" t="str">
        <f>IF(AK178&gt;8,"v","")</f>
        <v/>
      </c>
      <c r="AB194" s="47"/>
      <c r="AC194" s="45"/>
      <c r="AD194" s="46" t="str">
        <f>IF(AK178&gt;9,"v","")</f>
        <v/>
      </c>
      <c r="AE194" s="47"/>
      <c r="AF194" s="42" t="str">
        <f>IF(AK179&gt;0,"Team 1","")</f>
        <v>Team 1</v>
      </c>
      <c r="AG194" s="48">
        <f>IF(AK179&lt;1,"",IF(AK178&lt;1,"",IF(B194=1,B200-D200,IF(D194=1,D200-B200,""))))</f>
        <v>-10</v>
      </c>
      <c r="AH194" s="48" t="str">
        <f>IF(AK179&lt;1,"",IF(AK178&lt;2,"",IF(E194=1,E200-G200,IF(G194=1,G200-E200,""))))</f>
        <v/>
      </c>
      <c r="AI194" s="48">
        <f>IF(AK179&lt;1,"",IF(AK178&lt;3,"",IF(H194=1,H200-J200,IF(J194=1,J200-H200,""))))</f>
        <v>20</v>
      </c>
      <c r="AJ194" s="48" t="str">
        <f>IF(AK179&lt;1,"",IF(AK178&lt;4,"",IF(K194=1,K200-M200,IF(M194=1,M200-K200,""))))</f>
        <v/>
      </c>
      <c r="AK194" s="48" t="str">
        <f>IF(AK179&lt;1,"",IF(AK178&lt;5,"",IF(N194=1,N200-P200,IF(P194=1,P200-N200,""))))</f>
        <v/>
      </c>
      <c r="AL194" s="48" t="str">
        <f>IF(AK179&lt;1,"",IF(AK178&lt;6,"",IF(Q194=1,Q200-S200,IF(S194=1,S200-Q200,""))))</f>
        <v/>
      </c>
      <c r="AM194" s="48" t="str">
        <f>IF(AK179&lt;1,"",IF(AK178&lt;7,"",IF(T194=1,T200-V200,IF(V194=1,V200-T200,""))))</f>
        <v/>
      </c>
      <c r="AN194" s="48" t="str">
        <f>IF(AK179&lt;1,"",IF(AK178&lt;8,"",IF(W194=1,W200-Y200,IF(Y194=1,Y200-W200,""))))</f>
        <v/>
      </c>
      <c r="AO194" s="48" t="str">
        <f>IF(AK179&lt;1,"",IF(AK178&lt;9,"",IF(Z194=1,Z200-AB200,IF(AB194=1,AB200-Z200,""))))</f>
        <v/>
      </c>
      <c r="AP194" s="48" t="str">
        <f>IF(AK179&lt;1,"",IF(AK178&lt;10,"",IF(AC194=1,AC200-AE200,IF(AE194=1,AE200-AC200,""))))</f>
        <v/>
      </c>
      <c r="AQ194" s="44">
        <f>SUM(AG194:AP194)</f>
        <v>10</v>
      </c>
    </row>
    <row r="195" spans="1:48" ht="15" x14ac:dyDescent="0.2">
      <c r="A195" s="4" t="s">
        <v>79</v>
      </c>
      <c r="B195" s="49">
        <v>16</v>
      </c>
      <c r="C195" s="50" t="s">
        <v>80</v>
      </c>
      <c r="D195" s="51">
        <v>26</v>
      </c>
      <c r="E195" s="49">
        <v>22</v>
      </c>
      <c r="F195" s="50" t="str">
        <f>IF(AK178&gt;1,"/","")</f>
        <v>/</v>
      </c>
      <c r="G195" s="51">
        <v>26</v>
      </c>
      <c r="H195" s="49">
        <v>24</v>
      </c>
      <c r="I195" s="50" t="str">
        <f>IF(AK178&gt;2,"/","")</f>
        <v>/</v>
      </c>
      <c r="J195" s="51">
        <v>17</v>
      </c>
      <c r="K195" s="49"/>
      <c r="L195" s="50" t="str">
        <f>IF(AK178&gt;3,"/","")</f>
        <v/>
      </c>
      <c r="M195" s="51"/>
      <c r="N195" s="49"/>
      <c r="O195" s="50" t="str">
        <f>IF(AK178&gt;4,"/","")</f>
        <v/>
      </c>
      <c r="P195" s="51"/>
      <c r="Q195" s="49"/>
      <c r="R195" s="50" t="str">
        <f>IF(AK178&gt;5,"/","")</f>
        <v/>
      </c>
      <c r="S195" s="51"/>
      <c r="T195" s="49"/>
      <c r="U195" s="50" t="str">
        <f>IF(AK178&gt;6,"/","")</f>
        <v/>
      </c>
      <c r="V195" s="51"/>
      <c r="W195" s="49"/>
      <c r="X195" s="50" t="str">
        <f>IF(AK178&gt;7,"/","")</f>
        <v/>
      </c>
      <c r="Y195" s="51"/>
      <c r="Z195" s="49"/>
      <c r="AA195" s="50" t="str">
        <f>IF(AK178&gt;8,"/","")</f>
        <v/>
      </c>
      <c r="AB195" s="51"/>
      <c r="AC195" s="49"/>
      <c r="AD195" s="50" t="str">
        <f>IF(AK178&gt;9,"/","")</f>
        <v/>
      </c>
      <c r="AE195" s="51"/>
      <c r="AF195" s="42" t="str">
        <f>IF(AK179&gt;1,"Team 2","")</f>
        <v>Team 2</v>
      </c>
      <c r="AG195" s="48" t="str">
        <f>IF(AK179&lt;2,"",IF(AK178&lt;1,"",IF(B194=2,B200-D200,IF(D194=2,D200-B200,""))))</f>
        <v/>
      </c>
      <c r="AH195" s="48">
        <f>IF(AK179&lt;2,"",IF(AK178&lt;2,"",IF(E194=2,E200-G200,IF(G194=2,G200-E200,""))))</f>
        <v>-8</v>
      </c>
      <c r="AI195" s="48">
        <f>IF(AK179&lt;2,"",IF(AK178&lt;3,"",IF(H194=2,H200-J200,IF(J194=2,J200-H200,""))))</f>
        <v>-20</v>
      </c>
      <c r="AJ195" s="48" t="str">
        <f>IF(AK179&lt;2,"",IF(AK178&lt;4,"",IF(K194=2,K200-M200,IF(M194=2,M200-K200,""))))</f>
        <v/>
      </c>
      <c r="AK195" s="48" t="str">
        <f>IF(AK179&lt;2,"",IF(AK178&lt;5,"",IF(N194=2,N200-P200,IF(P194=2,P200-N200,""))))</f>
        <v/>
      </c>
      <c r="AL195" s="48" t="str">
        <f>IF(AK179&lt;2,"",IF(AK178&lt;6,"",IF(Q194=2,Q200-S200,IF(S194=2,S200-Q200,""))))</f>
        <v/>
      </c>
      <c r="AM195" s="48" t="str">
        <f>IF(AK179&lt;2,"",IF(AK178&lt;7,"",IF(T194=2,T200-V200,IF(V194=2,V200-T200,""))))</f>
        <v/>
      </c>
      <c r="AN195" s="48" t="str">
        <f>IF(AK179&lt;2,"",IF(AK178&lt;8,"",IF(W194=2,W200-Y200,IF(Y194=2,Y200-W200,""))))</f>
        <v/>
      </c>
      <c r="AO195" s="48" t="str">
        <f>IF(AK179&lt;2,"",IF(AK178&lt;9,"",IF(Z194=2,Z200-AB200,IF(AB194=2,AB200-Z200,""))))</f>
        <v/>
      </c>
      <c r="AP195" s="48" t="str">
        <f>IF(AK179&lt;2,"",IF(AK178&lt;10,"",IF(AC194=2,AC200-AE200,IF(AE194=2,AE200-AC200,""))))</f>
        <v/>
      </c>
      <c r="AQ195" s="44">
        <f>SUM(AG195:AP195)</f>
        <v>-28</v>
      </c>
    </row>
    <row r="196" spans="1:48" ht="15" x14ac:dyDescent="0.2">
      <c r="A196" s="3" t="str">
        <f>IF(AK177&gt;1,"Game 2","")</f>
        <v>Game 2</v>
      </c>
      <c r="B196" s="49"/>
      <c r="C196" s="50" t="s">
        <v>80</v>
      </c>
      <c r="D196" s="51"/>
      <c r="E196" s="49">
        <v>22</v>
      </c>
      <c r="F196" s="50" t="str">
        <f>IF(AK178&gt;1,IF(AK177&gt;1,"/",""),"")</f>
        <v>/</v>
      </c>
      <c r="G196" s="51">
        <v>26</v>
      </c>
      <c r="H196" s="49">
        <v>30</v>
      </c>
      <c r="I196" s="50" t="str">
        <f>IF(AK178&gt;2,IF(AK177&gt;1,"/",""),"")</f>
        <v>/</v>
      </c>
      <c r="J196" s="51">
        <v>17</v>
      </c>
      <c r="K196" s="49"/>
      <c r="L196" s="50" t="str">
        <f>IF(AK178&gt;3,IF(AK177&gt;1,"/",""),"")</f>
        <v/>
      </c>
      <c r="M196" s="51"/>
      <c r="N196" s="49"/>
      <c r="O196" s="50" t="str">
        <f>IF(AK178&gt;4,IF(AK177&gt;1,"/",""),"")</f>
        <v/>
      </c>
      <c r="P196" s="51"/>
      <c r="Q196" s="49"/>
      <c r="R196" s="50" t="str">
        <f>IF(AK178&gt;5,IF(AK177&gt;1,"/",""),"")</f>
        <v/>
      </c>
      <c r="S196" s="51"/>
      <c r="T196" s="49"/>
      <c r="U196" s="50" t="str">
        <f>IF(AK178&gt;6,IF(AK177&gt;1,"/",""),"")</f>
        <v/>
      </c>
      <c r="V196" s="51"/>
      <c r="W196" s="49"/>
      <c r="X196" s="50" t="str">
        <f>IF(AK178&gt;7,IF(AK177&gt;1,"/",""),"")</f>
        <v/>
      </c>
      <c r="Y196" s="51"/>
      <c r="Z196" s="49"/>
      <c r="AA196" s="50" t="str">
        <f>IF(AK178&gt;8,IF(AK177&gt;1,"/",""),"")</f>
        <v/>
      </c>
      <c r="AB196" s="51"/>
      <c r="AC196" s="49"/>
      <c r="AD196" s="50" t="str">
        <f>IF(AK178&gt;9,IF(AK177&gt;1,"/",""),"")</f>
        <v/>
      </c>
      <c r="AE196" s="51"/>
      <c r="AF196" s="42" t="str">
        <f>IF(AK179&gt;2,"Team 3","")</f>
        <v>Team 3</v>
      </c>
      <c r="AG196" s="48">
        <f>IF(AK179&lt;3,"",IF(AK178&lt;1,"",IF(B194=3,B200-D200,IF(D194=3,D200-B200,""))))</f>
        <v>10</v>
      </c>
      <c r="AH196" s="48">
        <f>IF(AK179&lt;3,"",IF(AK178&lt;2,"",IF(E194=3,E200-G200,IF(G194=3,G200-E200,""))))</f>
        <v>8</v>
      </c>
      <c r="AI196" s="48" t="str">
        <f>IF(AK179&lt;3,"",IF(AK178&lt;3,"",IF(H194=3,H200-J200,IF(J194=3,J200-H200,""))))</f>
        <v/>
      </c>
      <c r="AJ196" s="48" t="str">
        <f>IF(AK179&lt;3,"",IF(AK178&lt;4,"",IF(K194=3,K200-M200,IF(M194=3,M200-K200,""))))</f>
        <v/>
      </c>
      <c r="AK196" s="48" t="str">
        <f>IF(AK179&lt;3,"",IF(AK178&lt;5,"",IF(N194=3,N200-P200,IF(P194=3,P200-N200,""))))</f>
        <v/>
      </c>
      <c r="AL196" s="48" t="str">
        <f>IF(AK179&lt;3,"",IF(AK178&lt;6,"",IF(Q194=3,Q200-S200,IF(S194=3,S200-Q200,""))))</f>
        <v/>
      </c>
      <c r="AM196" s="48" t="str">
        <f>IF(AK179&lt;3,"",IF(AK178&lt;7,"",IF(T194=3,T200-V200,IF(V194=3,V200-T200,""))))</f>
        <v/>
      </c>
      <c r="AN196" s="48" t="str">
        <f>IF(AK179&lt;3,"",IF(AK178&lt;8,"",IF(W194=3,W200-Y200,IF(Y194=3,Y200-W200,""))))</f>
        <v/>
      </c>
      <c r="AO196" s="48" t="str">
        <f>IF(AK179&lt;3,"",IF(AK178&lt;9,"",IF(Z194=3,Z200-AB200,IF(AB194=3,AB200-Z200,""))))</f>
        <v/>
      </c>
      <c r="AP196" s="48" t="str">
        <f>IF(AK179&lt;3,"",IF(AK178&lt;9,"",IF(AC194=3,AC200-AE200,IF(AE194=3,AE200-AC200,""))))</f>
        <v/>
      </c>
      <c r="AQ196" s="44">
        <f>SUM(AG196:AP196)</f>
        <v>18</v>
      </c>
    </row>
    <row r="197" spans="1:48" ht="15" x14ac:dyDescent="0.2">
      <c r="A197" s="3" t="str">
        <f>IF(AK177&gt;2,"Game 3","")</f>
        <v/>
      </c>
      <c r="B197" s="49"/>
      <c r="C197" s="50" t="s">
        <v>80</v>
      </c>
      <c r="D197" s="51"/>
      <c r="E197" s="49"/>
      <c r="F197" s="50" t="str">
        <f>IF(AK178&gt;1,IF(AK177&gt;2,"/",""),"")</f>
        <v/>
      </c>
      <c r="G197" s="51"/>
      <c r="H197" s="49"/>
      <c r="I197" s="50" t="str">
        <f>IF(AK178&gt;2,IF(AK177&gt;2,"/",""),"")</f>
        <v/>
      </c>
      <c r="J197" s="51"/>
      <c r="K197" s="49"/>
      <c r="L197" s="50" t="str">
        <f>IF(AK178&gt;3,IF(AK177&gt;2,"/",""),"")</f>
        <v/>
      </c>
      <c r="M197" s="51"/>
      <c r="N197" s="49"/>
      <c r="O197" s="50" t="str">
        <f>IF(AK178&gt;4,IF(AK177&gt;2,"/",""),"")</f>
        <v/>
      </c>
      <c r="P197" s="51"/>
      <c r="Q197" s="49"/>
      <c r="R197" s="50" t="str">
        <f>IF(AK178&gt;5,IF(AK177&gt;2,"/",""),"")</f>
        <v/>
      </c>
      <c r="S197" s="51"/>
      <c r="T197" s="49"/>
      <c r="U197" s="50" t="str">
        <f>IF(AK178&gt;6,IF(AK177&gt;2,"/",""),"")</f>
        <v/>
      </c>
      <c r="V197" s="51"/>
      <c r="W197" s="49"/>
      <c r="X197" s="50" t="str">
        <f>IF(AK178&gt;7,IF(AK177&gt;2,"/",""),"")</f>
        <v/>
      </c>
      <c r="Y197" s="51"/>
      <c r="Z197" s="49"/>
      <c r="AA197" s="50" t="str">
        <f>IF(AK178&gt;8,IF(AK177&gt;2,"/",""),"")</f>
        <v/>
      </c>
      <c r="AB197" s="51"/>
      <c r="AC197" s="49"/>
      <c r="AD197" s="50" t="str">
        <f>IF(AK178&gt;9,IF(AK177&gt;2,"/",""),"")</f>
        <v/>
      </c>
      <c r="AE197" s="51"/>
      <c r="AF197" s="42" t="str">
        <f>IF(AK179&gt;3,"Team 4","")</f>
        <v/>
      </c>
      <c r="AG197" s="48" t="str">
        <f>IF(AK179&lt;4,"",IF(AK178&lt;1,"",IF(B194=4,B200-D200,IF(D194=4,D200-B200,""))))</f>
        <v/>
      </c>
      <c r="AH197" s="48" t="str">
        <f>IF(AK179&lt;4,"",IF(AK178&lt;2,"",IF(E194=4,E200-G200,IF(G194=4,G200-E200,""))))</f>
        <v/>
      </c>
      <c r="AI197" s="48" t="str">
        <f>IF(AK179&lt;4,"",IF(AK178&lt;3,"",IF(H194=4,H200-J200,IF(J194=4,J200-H200,""))))</f>
        <v/>
      </c>
      <c r="AJ197" s="48" t="str">
        <f>IF(AK179&lt;4,"",IF(AK178&lt;4,"",IF(K194=4,K200-M200,IF(M194=4,M200-K200,""))))</f>
        <v/>
      </c>
      <c r="AK197" s="48" t="str">
        <f>IF(AK179&lt;4,"",IF(AK178&lt;5,"",IF(N194=4,N200-P200,IF(P194=4,P200-N200,""))))</f>
        <v/>
      </c>
      <c r="AL197" s="48" t="str">
        <f>IF(AK179&lt;4,"",IF(AK178&lt;6,"",IF(Q194=4,Q200-S200,IF(S194=4,S200-Q200,""))))</f>
        <v/>
      </c>
      <c r="AM197" s="48" t="str">
        <f>IF(AK179&lt;4,"",IF(AK178&lt;7,"",IF(T194=4,T200-V200,IF(V194=4,V200-T200,""))))</f>
        <v/>
      </c>
      <c r="AN197" s="48" t="str">
        <f>IF(AK179&lt;4,"",IF(AK178&lt;8,"",IF(W194=4,W200-Y200,IF(Y194=4,Y200-W200,""))))</f>
        <v/>
      </c>
      <c r="AO197" s="48" t="str">
        <f>IF(AK179&lt;4,"",IF(AK178&lt;9,"",IF(Z194=4,Z200-AB200,IF(AB194=4,AB200-Z200,""))))</f>
        <v/>
      </c>
      <c r="AP197" s="48" t="str">
        <f>IF(AK179&lt;4,"",IF(AK178&lt;10,"",IF(AC194=4,AC200-AE200,IF(AE194=4,AE200-AC200,""))))</f>
        <v/>
      </c>
      <c r="AQ197" s="44">
        <f>SUM(AG197:AP197)</f>
        <v>0</v>
      </c>
    </row>
    <row r="198" spans="1:48" ht="15" x14ac:dyDescent="0.2">
      <c r="A198" s="3" t="str">
        <f>IF(AK177&gt;3,"Game 4","")</f>
        <v/>
      </c>
      <c r="B198" s="49"/>
      <c r="C198" s="50" t="s">
        <v>80</v>
      </c>
      <c r="D198" s="51"/>
      <c r="E198" s="49"/>
      <c r="F198" s="50" t="str">
        <f>IF(AK178&gt;1,IF(AK177&gt;3,"/",""),"")</f>
        <v/>
      </c>
      <c r="G198" s="51"/>
      <c r="H198" s="49"/>
      <c r="I198" s="50" t="str">
        <f>IF(AK178&gt;2,IF(AK177&gt;3,"/",""),"")</f>
        <v/>
      </c>
      <c r="J198" s="51"/>
      <c r="K198" s="49"/>
      <c r="L198" s="50" t="str">
        <f>IF(AK178&gt;3,IF(AK177&gt;3,"/",""),"")</f>
        <v/>
      </c>
      <c r="M198" s="51"/>
      <c r="N198" s="49"/>
      <c r="O198" s="50" t="str">
        <f>IF(AK178&gt;4,IF(AK177&gt;3,"/",""),"")</f>
        <v/>
      </c>
      <c r="P198" s="51"/>
      <c r="Q198" s="49"/>
      <c r="R198" s="50" t="str">
        <f>IF(AK178&gt;5,IF(AK177&gt;3,"/",""),"")</f>
        <v/>
      </c>
      <c r="S198" s="51"/>
      <c r="T198" s="49"/>
      <c r="U198" s="50" t="str">
        <f>IF(AK178&gt;6,IF(AK177&gt;3,"/",""),"")</f>
        <v/>
      </c>
      <c r="V198" s="51"/>
      <c r="W198" s="49"/>
      <c r="X198" s="50" t="str">
        <f>IF(AK178&gt;7,IF(AK177&gt;3,"/",""),"")</f>
        <v/>
      </c>
      <c r="Y198" s="51"/>
      <c r="Z198" s="49"/>
      <c r="AA198" s="50" t="str">
        <f>IF(AK178&gt;8,IF(AK177&gt;3,"/",""),"")</f>
        <v/>
      </c>
      <c r="AB198" s="51"/>
      <c r="AC198" s="49"/>
      <c r="AD198" s="50" t="str">
        <f>IF(AK178&gt;9,IF(AK177&gt;3,"/",""),"")</f>
        <v/>
      </c>
      <c r="AE198" s="51"/>
      <c r="AF198" s="42" t="str">
        <f>IF(AK179&gt;4,"Team 5","")</f>
        <v/>
      </c>
      <c r="AG198" s="52" t="str">
        <f>IF(AK179&lt;5,"",IF(AK178&lt;1,"",IF(B194=5,B200-D200,IF(D194=5,D200-B200,""))))</f>
        <v/>
      </c>
      <c r="AH198" s="48" t="str">
        <f>IF(AK179&lt;5,"",IF(AK178&lt;2,"",IF(E194=5,E200-G200,IF(G194=5,G200-E200,""))))</f>
        <v/>
      </c>
      <c r="AI198" s="48" t="str">
        <f>IF(AK179&lt;5,"",IF(AK178&lt;3,"",IF(H194=5,H200-J200,IF(J194=5,J200-H200,""))))</f>
        <v/>
      </c>
      <c r="AJ198" s="48" t="str">
        <f>IF(AK179&lt;5,"",IF(AK178&lt;4,"",IF(K194=5,K200-M200,IF(M194=5,M200-K200,""))))</f>
        <v/>
      </c>
      <c r="AK198" s="48" t="str">
        <f>IF(AK179&lt;5,"",IF(AK178&lt;5,"",IF(N194=5,N200-P200,IF(P194=5,P200-N200,""))))</f>
        <v/>
      </c>
      <c r="AL198" s="48" t="str">
        <f>IF(AK179&lt;5,"",IF(AK178&lt;6,"",IF(Q194=5,Q200-S200,IF(S194=5,S200-Q200,""))))</f>
        <v/>
      </c>
      <c r="AM198" s="48" t="str">
        <f>IF(AK179&lt;5,"",IF(AK178&lt;7,"",IF(T194=5,T200-V200,IF(V194=5,V200-T200,""))))</f>
        <v/>
      </c>
      <c r="AN198" s="48" t="str">
        <f>IF(AK179&lt;5,"",IF(AK178&lt;8,"",IF(W194=5,W200-Y200,IF(Y194=5,Y200-W200,""))))</f>
        <v/>
      </c>
      <c r="AO198" s="48" t="str">
        <f>IF(AK179&lt;5,"",IF(AK178&lt;9,"",IF(Z194=5,Z200-AB200,IF(AB194=5,AB200-Z200,""))))</f>
        <v/>
      </c>
      <c r="AP198" s="48" t="str">
        <f>IF(AK179&lt;5,"",IF(AK178&lt;10,"",IF(AC194=5,AC200-AE200,IF(AE194=5,AE200-AC200,""))))</f>
        <v/>
      </c>
      <c r="AQ198" s="44">
        <f>SUM(AG198:AP198)</f>
        <v>0</v>
      </c>
    </row>
    <row r="199" spans="1:48" ht="15" x14ac:dyDescent="0.2">
      <c r="A199" s="3" t="str">
        <f>IF(AK177&gt;4,"Game 5","")</f>
        <v/>
      </c>
      <c r="B199" s="49"/>
      <c r="C199" s="50" t="s">
        <v>80</v>
      </c>
      <c r="D199" s="51"/>
      <c r="E199" s="49"/>
      <c r="F199" s="50" t="str">
        <f>IF(AK178&gt;1,IF(AK177&gt;4,"/",""),"")</f>
        <v/>
      </c>
      <c r="G199" s="51"/>
      <c r="H199" s="49"/>
      <c r="I199" s="50" t="str">
        <f>IF(AK178&gt;2,IF(AK177&gt;4,"/",""),"")</f>
        <v/>
      </c>
      <c r="J199" s="51"/>
      <c r="K199" s="49"/>
      <c r="L199" s="50" t="str">
        <f>IF(AK178&gt;3,IF(AK177&gt;4,"/",""),"")</f>
        <v/>
      </c>
      <c r="M199" s="51"/>
      <c r="N199" s="49"/>
      <c r="O199" s="50" t="str">
        <f>IF(AK178&gt;4,IF(AK177&gt;4,"/",""),"")</f>
        <v/>
      </c>
      <c r="P199" s="51"/>
      <c r="Q199" s="49"/>
      <c r="R199" s="50" t="str">
        <f>IF(AK178&gt;5,IF(AK177&gt;4,"/",""),"")</f>
        <v/>
      </c>
      <c r="S199" s="51"/>
      <c r="T199" s="49"/>
      <c r="U199" s="50" t="str">
        <f>IF(AK178&gt;6,IF(AK177&gt;4,"/",""),"")</f>
        <v/>
      </c>
      <c r="V199" s="51"/>
      <c r="W199" s="49"/>
      <c r="X199" s="50" t="str">
        <f>IF(AK178&gt;7,IF(AK177&gt;4,"/",""),"")</f>
        <v/>
      </c>
      <c r="Y199" s="51"/>
      <c r="Z199" s="49"/>
      <c r="AA199" s="50" t="str">
        <f>IF(AK178&gt;8,IF(AK177&gt;4,"/",""),"")</f>
        <v/>
      </c>
      <c r="AB199" s="51"/>
      <c r="AC199" s="49"/>
      <c r="AD199" s="50" t="str">
        <f>IF(AK178&gt;9,IF(AK177&gt;4,"/",""),"")</f>
        <v/>
      </c>
      <c r="AE199" s="51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</row>
    <row r="200" spans="1:48" hidden="1" x14ac:dyDescent="0.2">
      <c r="A200" s="53"/>
      <c r="B200" s="53">
        <f>IF($AK177=5,SUM(B195:B199),IF($AK177=4,SUM(B195:B198),IF($AK177=3,SUM(B195:B197),IF($AK177=2,SUM(B195:B196),B195))))</f>
        <v>16</v>
      </c>
      <c r="C200" s="53"/>
      <c r="D200" s="53">
        <f>IF($AK177=5,SUM(D195:D199),IF($AK177=4,SUM(D195:D198),IF($AK177=3,SUM(D195:D197),IF($AK177=2,SUM(D195:D196),D195))))</f>
        <v>26</v>
      </c>
      <c r="E200" s="53">
        <f>IF($AK177=5,SUM(E195:E199),IF($AK177=4,SUM(E195:E198),IF($AK177=3,SUM(E195:E197),IF($AK177=2,SUM(E195:E196),E195))))</f>
        <v>44</v>
      </c>
      <c r="F200" s="53"/>
      <c r="G200" s="53">
        <f>IF($AK177=5,SUM(G195:G199),IF($AK177=4,SUM(G195:G198),IF($AK177=3,SUM(G195:G197),IF($AK177=2,SUM(G195:G196),G195))))</f>
        <v>52</v>
      </c>
      <c r="H200" s="53">
        <f>IF($AK177=5,SUM(H195:H199),IF($AK177=4,SUM(H195:H198),IF($AK177=3,SUM(H195:H197),IF($AK177=2,SUM(H195:H196),H195))))</f>
        <v>54</v>
      </c>
      <c r="I200" s="53"/>
      <c r="J200" s="53">
        <f>IF($AK177=5,SUM(J195:J199),IF($AK177=4,SUM(J195:J198),IF($AK177=3,SUM(J195:J197),IF($AK177=2,SUM(J195:J196),J195))))</f>
        <v>34</v>
      </c>
      <c r="K200" s="53">
        <f>IF($AK177=5,SUM(K195:K199),IF($AK177=4,SUM(K195:K198),IF($AK177=3,SUM(K195:K197),IF($AK177=2,SUM(K195:K196),K195))))</f>
        <v>0</v>
      </c>
      <c r="L200" s="53"/>
      <c r="M200" s="53">
        <f>IF($AK177=5,SUM(M195:M199),IF($AK177=4,SUM(M195:M198),IF($AK177=3,SUM(M195:M197),IF($AK177=2,SUM(M195:M196),M195))))</f>
        <v>0</v>
      </c>
      <c r="N200" s="53">
        <f>IF($AK177=5,SUM(N195:N199),IF($AK177=4,SUM(N195:N198),IF($AK177=3,SUM(N195:N197),IF($AK177=2,SUM(N195:N196),N195))))</f>
        <v>0</v>
      </c>
      <c r="O200" s="53"/>
      <c r="P200" s="53">
        <f>IF($AK177=5,SUM(P195:P199),IF($AK177=4,SUM(P195:P198),IF($AK177=3,SUM(P195:P197),IF($AK177=2,SUM(P195:P196),P195))))</f>
        <v>0</v>
      </c>
      <c r="Q200" s="53">
        <f>IF($AK177=5,SUM(Q195:Q199),IF($AK177=4,SUM(Q195:Q198),IF($AK177=3,SUM(Q195:Q197),IF($AK177=2,SUM(Q195:Q196),Q195))))</f>
        <v>0</v>
      </c>
      <c r="R200" s="53"/>
      <c r="S200" s="53">
        <f>IF($AK177=5,SUM(S195:S199),IF($AK177=4,SUM(S195:S198),IF($AK177=3,SUM(S195:S197),IF($AK177=2,SUM(S195:S196),S195))))</f>
        <v>0</v>
      </c>
      <c r="T200" s="53">
        <f>IF($AK177=5,SUM(T195:T199),IF($AK177=4,SUM(T195:T198),IF($AK177=3,SUM(T195:T197),IF($AK177=2,SUM(T195:T196),T195))))</f>
        <v>0</v>
      </c>
      <c r="U200" s="53"/>
      <c r="V200" s="53">
        <f>IF($AK177=5,SUM(V195:V199),IF($AK177=4,SUM(V195:V198),IF($AK177=3,SUM(V195:V197),IF($AK177=2,SUM(V195:V196),V195))))</f>
        <v>0</v>
      </c>
      <c r="W200" s="53">
        <f>IF($AK177=5,SUM(W195:W199),IF($AK177=4,SUM(W195:W198),IF($AK177=3,SUM(W195:W197),IF($AK177=2,SUM(W195:W196),W195))))</f>
        <v>0</v>
      </c>
      <c r="X200" s="53"/>
      <c r="Y200" s="53">
        <f>IF($AK177=5,SUM(Y195:Y199),IF($AK177=4,SUM(Y195:Y198),IF($AK177=3,SUM(Y195:Y197),IF($AK177=2,SUM(Y195:Y196),Y195))))</f>
        <v>0</v>
      </c>
      <c r="Z200" s="53">
        <f>IF($AK177=5,SUM(Z195:Z199),IF($AK177=4,SUM(Z195:Z198),IF($AK177=3,SUM(Z195:Z197),IF($AK177=2,SUM(Z195:Z196),Z195))))</f>
        <v>0</v>
      </c>
      <c r="AA200" s="53"/>
      <c r="AB200" s="53">
        <f>IF($AK177=5,SUM(AB195:AB199),IF($AK177=4,SUM(AB195:AB198),IF($AK177=3,SUM(AB195:AB197),IF($AK177=2,SUM(AB195:AB196),AB195))))</f>
        <v>0</v>
      </c>
      <c r="AC200" s="53">
        <f>IF($AK177=5,SUM(AC195:AC199),IF($AK177=4,SUM(AC195:AC198),IF($AK177=3,SUM(AC195:AC197),IF($AK177=2,SUM(AC195:AC196),AC195))))</f>
        <v>0</v>
      </c>
      <c r="AD200" s="53"/>
      <c r="AE200" s="53">
        <f>IF($AK177=5,SUM(AE195:AE199),IF($AK177=4,SUM(AE195:AE198),IF($AK177=3,SUM(AE195:AE197),IF($AK177=2,SUM(AE195:AE196),AE195))))</f>
        <v>0</v>
      </c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T200" s="55"/>
      <c r="AU200" s="55"/>
      <c r="AV200" s="55"/>
    </row>
    <row r="201" spans="1:48" s="55" customFormat="1" ht="12.75" hidden="1" customHeight="1" x14ac:dyDescent="0.2">
      <c r="A201" s="55" t="s">
        <v>81</v>
      </c>
      <c r="B201" s="56">
        <f>IF(AND(B195&gt;D195,$AK178&gt;0,ISNUMBER(B195),ISNUMBER(D195)),1,0)</f>
        <v>0</v>
      </c>
      <c r="C201" s="56"/>
      <c r="D201" s="57">
        <f>IF(AND(D195&gt;B195,$AK178&gt;0,ISNUMBER(B195),ISNUMBER(D195)),1,0)</f>
        <v>1</v>
      </c>
      <c r="E201" s="56">
        <f>IF(AND(E195&gt;G195,$AK178&gt;1,ISNUMBER(E195),ISNUMBER(G195)),1,0)</f>
        <v>0</v>
      </c>
      <c r="F201" s="56"/>
      <c r="G201" s="57">
        <f>IF(AND(G195&gt;E195,$AK178&gt;1,ISNUMBER(E195),ISNUMBER(G195)),1,0)</f>
        <v>1</v>
      </c>
      <c r="H201" s="56">
        <f>IF(AND(H195&gt;J195,$AK178&gt;2,ISNUMBER(H195),ISNUMBER(J195)),1,0)</f>
        <v>1</v>
      </c>
      <c r="I201" s="56"/>
      <c r="J201" s="57">
        <f>IF(AND(J195&gt;H195,$AK178&gt;2,ISNUMBER(H195),ISNUMBER(J195)),1,0)</f>
        <v>0</v>
      </c>
      <c r="K201" s="56">
        <f>IF(AND(K195&gt;M195,$AK178&gt;3,ISNUMBER(K195),ISNUMBER(M195)),1,0)</f>
        <v>0</v>
      </c>
      <c r="L201" s="56"/>
      <c r="M201" s="57">
        <f>IF(AND(M195&gt;K195,$AK178&gt;3,ISNUMBER(K195),ISNUMBER(M195)),1,0)</f>
        <v>0</v>
      </c>
      <c r="N201" s="56">
        <f>IF(AND(N195&gt;P195,$AK178&gt;4,ISNUMBER(N195),ISNUMBER(P195)),1,0)</f>
        <v>0</v>
      </c>
      <c r="O201" s="56"/>
      <c r="P201" s="57">
        <f>IF(AND(P195&gt;N195,$AK178&gt;4,ISNUMBER(N195),ISNUMBER(P195)),1,0)</f>
        <v>0</v>
      </c>
      <c r="Q201" s="56">
        <f>IF(AND(Q195&gt;S195,$AK178&gt;5,ISNUMBER(Q195),ISNUMBER(S195)),1,0)</f>
        <v>0</v>
      </c>
      <c r="R201" s="56"/>
      <c r="S201" s="57">
        <f>IF(AND(S195&gt;Q195,$AK178&gt;5,ISNUMBER(Q195),ISNUMBER(S195)),1,0)</f>
        <v>0</v>
      </c>
      <c r="T201" s="56">
        <f>IF(AND(T195&gt;V195,$AK178&gt;6,ISNUMBER(T195),ISNUMBER(V195)),1,0)</f>
        <v>0</v>
      </c>
      <c r="U201" s="56"/>
      <c r="V201" s="57">
        <f>IF(AND(V195&gt;T195,$AK178&gt;6,ISNUMBER(T195),ISNUMBER(V195)),1,0)</f>
        <v>0</v>
      </c>
      <c r="W201" s="56">
        <f>IF(AND(W195&gt;Y195,$AK178&gt;7,ISNUMBER(W195),ISNUMBER(Y195)),1,0)</f>
        <v>0</v>
      </c>
      <c r="X201" s="56"/>
      <c r="Y201" s="57">
        <f>IF(AND(Y195&gt;W195,$AK178&gt;7,ISNUMBER(W195),ISNUMBER(Y195)),1,0)</f>
        <v>0</v>
      </c>
      <c r="Z201" s="56">
        <f>IF(AND(Z195&gt;AB195,$AK178&gt;8,ISNUMBER(Z195),ISNUMBER(AB195)),1,0)</f>
        <v>0</v>
      </c>
      <c r="AA201" s="56"/>
      <c r="AB201" s="57">
        <f>IF(AND(AB195&gt;Z195,$AK178&gt;8,ISNUMBER(Z195),ISNUMBER(AB195)),1,0)</f>
        <v>0</v>
      </c>
      <c r="AC201" s="56">
        <f>IF(AND(AC195&gt;AE195,$AK178&gt;9,ISNUMBER(AC195),ISNUMBER(AE195)),1,0)</f>
        <v>0</v>
      </c>
      <c r="AD201" s="56"/>
      <c r="AE201" s="57">
        <f>IF(AND(AE195&gt;AC195,$AK178&gt;9,ISNUMBER(AC195),ISNUMBER(AE195)),1,0)</f>
        <v>0</v>
      </c>
    </row>
    <row r="202" spans="1:48" s="55" customFormat="1" ht="12.75" hidden="1" customHeight="1" x14ac:dyDescent="0.2">
      <c r="A202" s="55" t="s">
        <v>82</v>
      </c>
      <c r="B202" s="56">
        <f>IF(AND(B196&gt;D196,$AK178&gt;0,$AK177&gt;1,ISNUMBER(B196),ISNUMBER(D196)),1,0)</f>
        <v>0</v>
      </c>
      <c r="C202" s="56"/>
      <c r="D202" s="57">
        <f>IF(AND(D196&gt;B196,$AK178&gt;0,$AK177&gt;1,ISNUMBER(B196),ISNUMBER(D196)),1,0)</f>
        <v>0</v>
      </c>
      <c r="E202" s="56">
        <f>IF(AND(E196&gt;G196,$AK178&gt;1,$AK177&gt;1,ISNUMBER(E196),ISNUMBER(G196)),1,0)</f>
        <v>0</v>
      </c>
      <c r="F202" s="56"/>
      <c r="G202" s="57">
        <f>IF(AND(G196&gt;E196,$AK178&gt;1,$AK177&gt;1,ISNUMBER(E196),ISNUMBER(G196)),1,0)</f>
        <v>1</v>
      </c>
      <c r="H202" s="56">
        <f>IF(AND(H196&gt;J196,$AK178&gt;2,$AK177&gt;1,ISNUMBER(H196),ISNUMBER(J196)),1,0)</f>
        <v>1</v>
      </c>
      <c r="I202" s="56"/>
      <c r="J202" s="57">
        <f>IF(AND(J196&gt;H196,$AK178&gt;2,$AK177&gt;1,ISNUMBER(H196),ISNUMBER(J196)),1,0)</f>
        <v>0</v>
      </c>
      <c r="K202" s="56">
        <f>IF(AND(K196&gt;M196,$AK178&gt;3,$AK177&gt;1,ISNUMBER(K196),ISNUMBER(M196)),1,0)</f>
        <v>0</v>
      </c>
      <c r="L202" s="56"/>
      <c r="M202" s="57">
        <f>IF(AND(M196&gt;K196,$AK178&gt;3,$AK177&gt;1,ISNUMBER(K196),ISNUMBER(M196)),1,0)</f>
        <v>0</v>
      </c>
      <c r="N202" s="56">
        <f>IF(AND(N196&gt;P196,$AK178&gt;4,$AK177&gt;1,ISNUMBER(N196),ISNUMBER(P196)),1,0)</f>
        <v>0</v>
      </c>
      <c r="O202" s="56"/>
      <c r="P202" s="57">
        <f>IF(AND(P196&gt;N196,$AK178&gt;4,$AK177&gt;1,ISNUMBER(N196),ISNUMBER(P196)),1,0)</f>
        <v>0</v>
      </c>
      <c r="Q202" s="56">
        <f>IF(AND(Q196&gt;S196,$AK178&gt;5,$AK177&gt;1,ISNUMBER(Q196),ISNUMBER(S196)),1,0)</f>
        <v>0</v>
      </c>
      <c r="R202" s="56"/>
      <c r="S202" s="57">
        <f>IF(AND(S196&gt;Q196,$AK178&gt;5,$AK177&gt;1,ISNUMBER(Q196),ISNUMBER(S196)),1,0)</f>
        <v>0</v>
      </c>
      <c r="T202" s="56">
        <f>IF(AND(T196&gt;V196,$AK178&gt;6,$AK177&gt;1,ISNUMBER(T196),ISNUMBER(V196)),1,0)</f>
        <v>0</v>
      </c>
      <c r="U202" s="56"/>
      <c r="V202" s="57">
        <f>IF(AND(V196&gt;T196,$AK178&gt;6,$AK177&gt;1,ISNUMBER(T196),ISNUMBER(V196)),1,0)</f>
        <v>0</v>
      </c>
      <c r="W202" s="56">
        <f>IF(AND(W196&gt;Y196,$AK178&gt;7,$AK177&gt;1,ISNUMBER(W196),ISNUMBER(Y196)),1,0)</f>
        <v>0</v>
      </c>
      <c r="X202" s="56"/>
      <c r="Y202" s="57">
        <f>IF(AND(Y196&gt;W196,$AK178&gt;7,$AK177&gt;1,ISNUMBER(W196),ISNUMBER(Y196)),1,0)</f>
        <v>0</v>
      </c>
      <c r="Z202" s="56">
        <f>IF(AND(Z196&gt;AB196,$AK178&gt;8,$AK177&gt;1,ISNUMBER(Z196),ISNUMBER(AB196)),1,0)</f>
        <v>0</v>
      </c>
      <c r="AA202" s="56"/>
      <c r="AB202" s="57">
        <f>IF(AND(AB196&gt;Z196,$AK178&gt;8,$AK177&gt;1,ISNUMBER(Z196),ISNUMBER(AB196)),1,0)</f>
        <v>0</v>
      </c>
      <c r="AC202" s="56">
        <f>IF(AND(AC196&gt;AE196,$AK178&gt;9,$AK177&gt;1,ISNUMBER(AC196),ISNUMBER(AE196)),1,0)</f>
        <v>0</v>
      </c>
      <c r="AD202" s="56"/>
      <c r="AE202" s="57">
        <f>IF(AND(AE196&gt;AC196,$AK178&gt;9,$AK177&gt;1,ISNUMBER(AC196),ISNUMBER(AE196)),1,0)</f>
        <v>0</v>
      </c>
    </row>
    <row r="203" spans="1:48" s="55" customFormat="1" ht="12.75" hidden="1" customHeight="1" x14ac:dyDescent="0.2">
      <c r="A203" s="55" t="s">
        <v>83</v>
      </c>
      <c r="B203" s="56">
        <f>IF(AND(B197&gt;D197,$AK178&gt;0,$AK177&gt;2,ISNUMBER(B197),ISNUMBER(D197)),1,0)</f>
        <v>0</v>
      </c>
      <c r="C203" s="56"/>
      <c r="D203" s="57">
        <f>IF(AND(D197&gt;B197,$AK178&gt;0,$AK177&gt;2,ISNUMBER(B197),ISNUMBER(D197)),1,0)</f>
        <v>0</v>
      </c>
      <c r="E203" s="56">
        <f>IF(AND(E197&gt;G197,$AK178&gt;1,$AK177&gt;2,ISNUMBER(E197),ISNUMBER(G197)),1,0)</f>
        <v>0</v>
      </c>
      <c r="F203" s="56"/>
      <c r="G203" s="57">
        <f>IF(AND(G197&gt;E197,$AK178&gt;1,$AK177&gt;2,ISNUMBER(E197),ISNUMBER(G197)),1,0)</f>
        <v>0</v>
      </c>
      <c r="H203" s="56">
        <f>IF(AND(H197&gt;J197,$AK178&gt;2,$AK177&gt;2,ISNUMBER(H197),ISNUMBER(J197)),1,0)</f>
        <v>0</v>
      </c>
      <c r="I203" s="56"/>
      <c r="J203" s="57">
        <f>IF(AND(J197&gt;H197,$AK178&gt;2,$AK177&gt;2,ISNUMBER(H197),ISNUMBER(J197)),1,0)</f>
        <v>0</v>
      </c>
      <c r="K203" s="56">
        <f>IF(AND(K197&gt;M197,$AK178&gt;3,$AK177&gt;2,ISNUMBER(K197),ISNUMBER(M197)),1,0)</f>
        <v>0</v>
      </c>
      <c r="L203" s="56"/>
      <c r="M203" s="57">
        <f>IF(AND(M197&gt;K197,$AK178&gt;3,$AK177&gt;2,ISNUMBER(K197),ISNUMBER(M197)),1,0)</f>
        <v>0</v>
      </c>
      <c r="N203" s="56">
        <f>IF(AND(N197&gt;P197,$AK178&gt;4,$AK177&gt;2,ISNUMBER(N197),ISNUMBER(P197)),1,0)</f>
        <v>0</v>
      </c>
      <c r="O203" s="56"/>
      <c r="P203" s="57">
        <f>IF(AND(P197&gt;N197,$AK178&gt;4,$AK177&gt;2,ISNUMBER(N197),ISNUMBER(P197)),1,0)</f>
        <v>0</v>
      </c>
      <c r="Q203" s="56">
        <f>IF(AND(Q197&gt;S197,$AK178&gt;5,$AK177&gt;2,ISNUMBER(Q197),ISNUMBER(S197)),1,0)</f>
        <v>0</v>
      </c>
      <c r="R203" s="56"/>
      <c r="S203" s="57">
        <f>IF(AND(S197&gt;Q197,$AK178&gt;5,$AK177&gt;2,ISNUMBER(Q197),ISNUMBER(S197)),1,0)</f>
        <v>0</v>
      </c>
      <c r="T203" s="56">
        <f>IF(AND(T197&gt;V197,$AK178&gt;6,$AK177&gt;2,ISNUMBER(T197),ISNUMBER(V197)),1,0)</f>
        <v>0</v>
      </c>
      <c r="U203" s="56"/>
      <c r="V203" s="57">
        <f>IF(AND(V197&gt;T197,$AK178&gt;6,$AK177&gt;2,ISNUMBER(T197),ISNUMBER(V197)),1,0)</f>
        <v>0</v>
      </c>
      <c r="W203" s="56">
        <f>IF(AND(W197&gt;Y197,$AK178&gt;7,$AK177&gt;2,ISNUMBER(W197),ISNUMBER(Y197)),1,0)</f>
        <v>0</v>
      </c>
      <c r="X203" s="56"/>
      <c r="Y203" s="57">
        <f>IF(AND(Y197&gt;W197,$AK178&gt;7,$AK177&gt;2,ISNUMBER(W197),ISNUMBER(Y197)),1,0)</f>
        <v>0</v>
      </c>
      <c r="Z203" s="56">
        <f>IF(AND(Z197&gt;AB197,$AK178&gt;8,$AK177&gt;2,ISNUMBER(Z197),ISNUMBER(AB197)),1,0)</f>
        <v>0</v>
      </c>
      <c r="AA203" s="56"/>
      <c r="AB203" s="57">
        <f>IF(AND(AB197&gt;Z197,$AK178&gt;8,$AK177&gt;2,ISNUMBER(Z197),ISNUMBER(AB197)),1,0)</f>
        <v>0</v>
      </c>
      <c r="AC203" s="56">
        <f>IF(AND(AC197&gt;AE197,$AK178&gt;9,$AK177&gt;2,ISNUMBER(AC197),ISNUMBER(AE197)),1,0)</f>
        <v>0</v>
      </c>
      <c r="AD203" s="56"/>
      <c r="AE203" s="57">
        <f>IF(AND(AE197&gt;AC197,$AK178&gt;9,$AK177&gt;2,ISNUMBER(AC197),ISNUMBER(AE197)),1,0)</f>
        <v>0</v>
      </c>
    </row>
    <row r="204" spans="1:48" s="55" customFormat="1" ht="12.75" hidden="1" customHeight="1" x14ac:dyDescent="0.2">
      <c r="A204" s="55" t="s">
        <v>84</v>
      </c>
      <c r="B204" s="56">
        <f>IF(AND(B198&gt;D198,$AK178&gt;0,$AK177&gt;3,ISNUMBER(B198),ISNUMBER(D198)),1,0)</f>
        <v>0</v>
      </c>
      <c r="C204" s="56"/>
      <c r="D204" s="57">
        <f>IF(AND(D198&gt;B198,$AK178&gt;0,$AK177&gt;3,ISNUMBER(B198),ISNUMBER(D198)),1,0)</f>
        <v>0</v>
      </c>
      <c r="E204" s="56">
        <f>IF(AND(E198&gt;G198,$AK178&gt;1,$AK177&gt;3,ISNUMBER(E198),ISNUMBER(G198)),1,0)</f>
        <v>0</v>
      </c>
      <c r="F204" s="56"/>
      <c r="G204" s="57">
        <f>IF(AND(G198&gt;E198,$AK178&gt;1,$AK177&gt;3,ISNUMBER(E198),ISNUMBER(G198)),1,0)</f>
        <v>0</v>
      </c>
      <c r="H204" s="56">
        <f>IF(AND(H198&gt;J198,$AK178&gt;2,$AK177&gt;3,ISNUMBER(H198),ISNUMBER(J198)),1,0)</f>
        <v>0</v>
      </c>
      <c r="I204" s="56"/>
      <c r="J204" s="57">
        <f>IF(AND(J198&gt;H198,$AK178&gt;2,$AK177&gt;3,ISNUMBER(H198),ISNUMBER(J198)),1,0)</f>
        <v>0</v>
      </c>
      <c r="K204" s="56">
        <f>IF(AND(K198&gt;M198,$AK178&gt;3,$AK177&gt;3,ISNUMBER(K198),ISNUMBER(M198)),1,0)</f>
        <v>0</v>
      </c>
      <c r="L204" s="56"/>
      <c r="M204" s="57">
        <f>IF(AND(M198&gt;K198,$AK178&gt;3,$AK177&gt;3,ISNUMBER(K198),ISNUMBER(M198)),1,0)</f>
        <v>0</v>
      </c>
      <c r="N204" s="56">
        <f>IF(AND(N198&gt;P198,$AK178&gt;4,$AK177&gt;3,ISNUMBER(N198),ISNUMBER(P198)),1,0)</f>
        <v>0</v>
      </c>
      <c r="O204" s="56"/>
      <c r="P204" s="57">
        <f>IF(AND(P198&gt;N198,$AK178&gt;4,$AK177&gt;3,ISNUMBER(N198),ISNUMBER(P198)),1,0)</f>
        <v>0</v>
      </c>
      <c r="Q204" s="56">
        <f>IF(AND(Q198&gt;S198,$AK178&gt;5,$AK177&gt;3,ISNUMBER(Q198),ISNUMBER(S198)),1,0)</f>
        <v>0</v>
      </c>
      <c r="R204" s="56"/>
      <c r="S204" s="57">
        <f>IF(AND(S198&gt;Q198,$AK178&gt;5,$AK177&gt;3,ISNUMBER(Q198),ISNUMBER(S198)),1,0)</f>
        <v>0</v>
      </c>
      <c r="T204" s="56">
        <f>IF(AND(T198&gt;V198,$AK178&gt;6,$AK177&gt;3,ISNUMBER(T198),ISNUMBER(V198)),1,0)</f>
        <v>0</v>
      </c>
      <c r="U204" s="56"/>
      <c r="V204" s="57">
        <f>IF(AND(V198&gt;T198,$AK178&gt;6,$AK177&gt;3,ISNUMBER(T198),ISNUMBER(V198)),1,0)</f>
        <v>0</v>
      </c>
      <c r="W204" s="56">
        <f>IF(AND(W198&gt;Y198,$AK178&gt;7,$AK177&gt;3,ISNUMBER(W198),ISNUMBER(Y198)),1,0)</f>
        <v>0</v>
      </c>
      <c r="X204" s="56"/>
      <c r="Y204" s="57">
        <f>IF(AND(Y198&gt;W198,$AK178&gt;7,$AK177&gt;3,ISNUMBER(W198),ISNUMBER(Y198)),1,0)</f>
        <v>0</v>
      </c>
      <c r="Z204" s="56">
        <f>IF(AND(Z198&gt;AB198,$AK178&gt;8,$AK177&gt;3,ISNUMBER(Z198),ISNUMBER(AB198)),1,0)</f>
        <v>0</v>
      </c>
      <c r="AA204" s="56"/>
      <c r="AB204" s="57">
        <f>IF(AND(AB198&gt;Z198,$AK178&gt;8,$AK177&gt;3,ISNUMBER(Z198),ISNUMBER(AB198)),1,0)</f>
        <v>0</v>
      </c>
      <c r="AC204" s="56">
        <f>IF(AND(AC198&gt;AE198,$AK178&gt;9,$AK177&gt;3,ISNUMBER(AC198),ISNUMBER(AE198)),1,0)</f>
        <v>0</v>
      </c>
      <c r="AD204" s="56"/>
      <c r="AE204" s="57">
        <f>IF(AND(AE198&gt;AC198,$AK178&gt;9,$AK177&gt;3,ISNUMBER(AC198),ISNUMBER(AE198)),1,0)</f>
        <v>0</v>
      </c>
    </row>
    <row r="205" spans="1:48" s="55" customFormat="1" ht="12.75" hidden="1" customHeight="1" x14ac:dyDescent="0.2">
      <c r="A205" s="55" t="s">
        <v>85</v>
      </c>
      <c r="B205" s="56">
        <f>IF(AND(B199&gt;D199,$AK178&gt;0,$AK177&gt;4,ISNUMBER(B199),ISNUMBER(D199)),1,0)</f>
        <v>0</v>
      </c>
      <c r="C205" s="56"/>
      <c r="D205" s="57">
        <f>IF(AND(D199&gt;B199,$AK178&gt;0,$AK177&gt;4,ISNUMBER(B199),ISNUMBER(D199)),1,0)</f>
        <v>0</v>
      </c>
      <c r="E205" s="56">
        <f>IF(AND(E199&gt;G199,$AK178&gt;1,$AK177&gt;4,ISNUMBER(E199),ISNUMBER(G199)),1,0)</f>
        <v>0</v>
      </c>
      <c r="F205" s="56"/>
      <c r="G205" s="57">
        <f>IF(AND(G199&gt;E199,$AK178&gt;1,$AK177&gt;4,ISNUMBER(E199),ISNUMBER(G199)),1,0)</f>
        <v>0</v>
      </c>
      <c r="H205" s="56">
        <f>IF(AND(H199&gt;J199,$AK178&gt;2,$AK177&gt;4,ISNUMBER(H199),ISNUMBER(J199)),1,0)</f>
        <v>0</v>
      </c>
      <c r="I205" s="56"/>
      <c r="J205" s="57">
        <f>IF(AND(J199&gt;H199,$AK178&gt;2,$AK177&gt;4,ISNUMBER(H199),ISNUMBER(J199)),1,0)</f>
        <v>0</v>
      </c>
      <c r="K205" s="56">
        <f>IF(AND(K199&gt;M199,$AK178&gt;3,$AK177&gt;4,ISNUMBER(K199),ISNUMBER(M199)),1,0)</f>
        <v>0</v>
      </c>
      <c r="L205" s="56"/>
      <c r="M205" s="57">
        <f>IF(AND(M199&gt;K199,$AK178&gt;3,$AK177&gt;4,ISNUMBER(K199),ISNUMBER(M199)),1,0)</f>
        <v>0</v>
      </c>
      <c r="N205" s="56">
        <f>IF(AND(N199&gt;P199,$AK178&gt;4,$AK177&gt;4,ISNUMBER(N199),ISNUMBER(P199)),1,0)</f>
        <v>0</v>
      </c>
      <c r="O205" s="56"/>
      <c r="P205" s="57">
        <f>IF(AND(P199&gt;N199,$AK178&gt;4,$AK177&gt;4,ISNUMBER(N199),ISNUMBER(P199)),1,0)</f>
        <v>0</v>
      </c>
      <c r="Q205" s="56">
        <f>IF(AND(Q199&gt;S199,$AK178&gt;5,$AK177&gt;4,ISNUMBER(Q199),ISNUMBER(S199)),1,0)</f>
        <v>0</v>
      </c>
      <c r="R205" s="56"/>
      <c r="S205" s="57">
        <f>IF(AND(S199&gt;Q199,$AK178&gt;5,$AK177&gt;4,ISNUMBER(Q199),ISNUMBER(S199)),1,0)</f>
        <v>0</v>
      </c>
      <c r="T205" s="56">
        <f>IF(AND(T199&gt;V199,$AK178&gt;6,$AK177&gt;4,ISNUMBER(T199),ISNUMBER(V199)),1,0)</f>
        <v>0</v>
      </c>
      <c r="U205" s="56"/>
      <c r="V205" s="57">
        <f>IF(AND(V199&gt;T199,$AK178&gt;6,$AK177&gt;4,ISNUMBER(T199),ISNUMBER(V199)),1,0)</f>
        <v>0</v>
      </c>
      <c r="W205" s="56">
        <f>IF(AND(W199&gt;Y199,$AK178&gt;7,$AK177&gt;4,ISNUMBER(W199),ISNUMBER(Y199)),1,0)</f>
        <v>0</v>
      </c>
      <c r="X205" s="56"/>
      <c r="Y205" s="57">
        <f>IF(AND(Y199&gt;W199,$AK178&gt;7,$AK177&gt;4,ISNUMBER(W199),ISNUMBER(Y199)),1,0)</f>
        <v>0</v>
      </c>
      <c r="Z205" s="56">
        <f>IF(AND(Z199&gt;AB199,$AK178&gt;8,$AK177&gt;4,ISNUMBER(Z199),ISNUMBER(AB199)),1,0)</f>
        <v>0</v>
      </c>
      <c r="AA205" s="56"/>
      <c r="AB205" s="57">
        <f>IF(AND(AB199&gt;Z199,$AK178&gt;8,$AK177&gt;4,ISNUMBER(Z199),ISNUMBER(AB199)),1,0)</f>
        <v>0</v>
      </c>
      <c r="AC205" s="56">
        <f>IF(AND(AC199&gt;AE199,$AK178&gt;9,$AK177&gt;4,ISNUMBER(AC199),ISNUMBER(AE199)),1,0)</f>
        <v>0</v>
      </c>
      <c r="AD205" s="56"/>
      <c r="AE205" s="57">
        <f>IF(AND(AE199&gt;AC199,$AK178&gt;9,$AK177&gt;4,ISNUMBER(AC199),ISNUMBER(AE199)),1,0)</f>
        <v>0</v>
      </c>
    </row>
    <row r="206" spans="1:48" s="55" customFormat="1" ht="38.25" hidden="1" customHeight="1" x14ac:dyDescent="0.2">
      <c r="A206" s="59" t="s">
        <v>86</v>
      </c>
      <c r="B206" s="55">
        <f>SUM(B201:B205)</f>
        <v>0</v>
      </c>
      <c r="D206" s="60">
        <f>SUM(D201:D205)</f>
        <v>1</v>
      </c>
      <c r="E206" s="55">
        <f>SUM(E201:E205)</f>
        <v>0</v>
      </c>
      <c r="G206" s="60">
        <f>SUM(G201:G205)</f>
        <v>2</v>
      </c>
      <c r="H206" s="55">
        <f>SUM(H201:H205)</f>
        <v>2</v>
      </c>
      <c r="J206" s="60">
        <f>SUM(J201:J205)</f>
        <v>0</v>
      </c>
      <c r="K206" s="55">
        <f>SUM(K201:K205)</f>
        <v>0</v>
      </c>
      <c r="M206" s="60">
        <f>SUM(M201:M205)</f>
        <v>0</v>
      </c>
      <c r="N206" s="55">
        <f>SUM(N201:N205)</f>
        <v>0</v>
      </c>
      <c r="P206" s="60">
        <f>SUM(P201:P205)</f>
        <v>0</v>
      </c>
      <c r="Q206" s="55">
        <f>SUM(Q201:Q205)</f>
        <v>0</v>
      </c>
      <c r="S206" s="60">
        <f>SUM(S201:S205)</f>
        <v>0</v>
      </c>
      <c r="T206" s="55">
        <f>SUM(T201:T205)</f>
        <v>0</v>
      </c>
      <c r="V206" s="60">
        <f>SUM(V201:V205)</f>
        <v>0</v>
      </c>
      <c r="W206" s="55">
        <f>SUM(W201:W205)</f>
        <v>0</v>
      </c>
      <c r="Y206" s="60">
        <f>SUM(Y201:Y205)</f>
        <v>0</v>
      </c>
      <c r="Z206" s="55">
        <f>SUM(Z201:Z205)</f>
        <v>0</v>
      </c>
      <c r="AB206" s="60">
        <f>SUM(AB201:AB205)</f>
        <v>0</v>
      </c>
      <c r="AC206" s="55">
        <f>SUM(AC201:AC205)</f>
        <v>0</v>
      </c>
      <c r="AE206" s="60">
        <f>SUM(AE201:AE205)</f>
        <v>0</v>
      </c>
    </row>
    <row r="207" spans="1:48" s="55" customFormat="1" ht="25.5" hidden="1" customHeight="1" x14ac:dyDescent="0.2">
      <c r="A207" s="59" t="s">
        <v>87</v>
      </c>
      <c r="B207" s="55">
        <f>IF(B206&gt;D206,IF(C241=AK177,1,IF(C241=AK177-1,1,0)),0)</f>
        <v>0</v>
      </c>
      <c r="C207" s="55">
        <f>B207+D207</f>
        <v>1</v>
      </c>
      <c r="D207" s="60">
        <f>IF(D206&gt;B206,IF(C241=AK177,1,IF(C241=AK177-1,1,0)),0)</f>
        <v>1</v>
      </c>
      <c r="E207" s="55">
        <f>IF(E206&gt;G206,IF(F241=AK177,1,IF(F241=AK177-1,1,0)),0)</f>
        <v>0</v>
      </c>
      <c r="F207" s="55">
        <f>E207+G207</f>
        <v>1</v>
      </c>
      <c r="G207" s="60">
        <f>IF(G206&gt;E206,IF(F241=AK177,1,IF(F241=AK177-1,1,0)),0)</f>
        <v>1</v>
      </c>
      <c r="H207" s="55">
        <f>IF(H206&gt;J206,IF(I241=AK177,1,IF(I241=AK177-1,1,0)),0)</f>
        <v>1</v>
      </c>
      <c r="I207" s="55">
        <f>H207+J207</f>
        <v>1</v>
      </c>
      <c r="J207" s="60">
        <f>IF(J206&gt;H206,IF(I241=AK177,1,IF(I241=AK177-1,1,0)),0)</f>
        <v>0</v>
      </c>
      <c r="K207" s="55">
        <f>IF(K206&gt;M206,IF(L241=AK177,1,IF(L241=AK177-1,1,0)),0)</f>
        <v>0</v>
      </c>
      <c r="L207" s="55">
        <f>K207+M207</f>
        <v>0</v>
      </c>
      <c r="M207" s="60">
        <f>IF(M206&gt;K206,IF(L241=AK177,1,IF(L241=AK177-1,1,0)),0)</f>
        <v>0</v>
      </c>
      <c r="N207" s="55">
        <f>IF(N206&gt;P206,IF(O241=AK177,1,IF(O241=AK177-1,1,0)),0)</f>
        <v>0</v>
      </c>
      <c r="O207" s="55">
        <f>N207+P207</f>
        <v>0</v>
      </c>
      <c r="P207" s="60">
        <f>IF(P206&gt;N206,IF(O241=AK177,1,IF(O241=AK177-1,1,0)),0)</f>
        <v>0</v>
      </c>
      <c r="Q207" s="55">
        <f>IF(Q206&gt;S206,IF(R241=AK177,1,IF(R241=AK177-1,1,0)),0)</f>
        <v>0</v>
      </c>
      <c r="R207" s="55">
        <f>Q207+S207</f>
        <v>0</v>
      </c>
      <c r="S207" s="60">
        <f>IF(S206&gt;Q206,IF(R241=AK177,1,IF(R241=AK177-1,1,0)),0)</f>
        <v>0</v>
      </c>
      <c r="T207" s="55">
        <f>IF(T206&gt;V206,IF(U241=AK177,1,IF(U241=AK177-1,1,0)),0)</f>
        <v>0</v>
      </c>
      <c r="U207" s="55">
        <f>T207+V207</f>
        <v>0</v>
      </c>
      <c r="V207" s="60">
        <f>IF(V206&gt;T206,IF(U241=AK177,1,IF(U241=AK177-1,1,0)),0)</f>
        <v>0</v>
      </c>
      <c r="W207" s="55">
        <f>IF(W206&gt;Y206,IF(X241=AK177,1,IF(X241=AK177-1,1,0)),0)</f>
        <v>0</v>
      </c>
      <c r="X207" s="55">
        <f>W207+Y207</f>
        <v>0</v>
      </c>
      <c r="Y207" s="60">
        <f>IF(Y206&gt;W206,IF(X241=AK177,1,IF(X241=AK177-1,1,0)),0)</f>
        <v>0</v>
      </c>
      <c r="Z207" s="55">
        <f>IF(Z206&gt;AB206,IF(AA241=AK177,1,IF(AA241=AK177-1,1,0)),0)</f>
        <v>0</v>
      </c>
      <c r="AA207" s="55">
        <f>Z207+AB207</f>
        <v>0</v>
      </c>
      <c r="AB207" s="60">
        <f>IF(AB206&gt;Z206,IF(AA241=AK177,1,IF(AA241=AK177-1,1,0)),0)</f>
        <v>0</v>
      </c>
      <c r="AC207" s="55">
        <f>IF(AC206&gt;AE206,IF(AD241=AK177,1,IF(AD241=AK177-1,1,0)),0)</f>
        <v>0</v>
      </c>
      <c r="AD207" s="55">
        <f>AC207+AE207</f>
        <v>0</v>
      </c>
      <c r="AE207" s="60">
        <f>IF(AE206&gt;AC206,IF(AD241=AK177,1,IF(AD241=AK177-1,1,0)),0)</f>
        <v>0</v>
      </c>
    </row>
    <row r="208" spans="1:48" s="55" customFormat="1" ht="25.5" hidden="1" customHeight="1" x14ac:dyDescent="0.2">
      <c r="A208" s="59"/>
      <c r="D208" s="60"/>
      <c r="G208" s="60"/>
      <c r="J208" s="60"/>
      <c r="M208" s="60"/>
      <c r="P208" s="60"/>
      <c r="S208" s="60"/>
      <c r="V208" s="60"/>
      <c r="Y208" s="60"/>
      <c r="AB208" s="60"/>
      <c r="AE208" s="60"/>
    </row>
    <row r="209" spans="1:33" s="55" customFormat="1" ht="12.75" hidden="1" customHeight="1" x14ac:dyDescent="0.2">
      <c r="A209" s="55" t="s">
        <v>88</v>
      </c>
      <c r="B209" s="55">
        <f>IF(B201=1,B195,0)</f>
        <v>0</v>
      </c>
      <c r="D209" s="60">
        <f t="shared" ref="D209:E213" si="20">IF(D201=1,D195,0)</f>
        <v>26</v>
      </c>
      <c r="E209" s="55">
        <f t="shared" si="20"/>
        <v>0</v>
      </c>
      <c r="G209" s="60">
        <f t="shared" ref="G209:H213" si="21">IF(G201=1,G195,0)</f>
        <v>26</v>
      </c>
      <c r="H209" s="55">
        <f t="shared" si="21"/>
        <v>24</v>
      </c>
      <c r="J209" s="60">
        <f t="shared" ref="J209:K213" si="22">IF(J201=1,J195,0)</f>
        <v>0</v>
      </c>
      <c r="K209" s="55">
        <f t="shared" si="22"/>
        <v>0</v>
      </c>
      <c r="M209" s="60">
        <f t="shared" ref="M209:N213" si="23">IF(M201=1,M195,0)</f>
        <v>0</v>
      </c>
      <c r="N209" s="55">
        <f t="shared" si="23"/>
        <v>0</v>
      </c>
      <c r="P209" s="60">
        <f t="shared" ref="P209:Q213" si="24">IF(P201=1,P195,0)</f>
        <v>0</v>
      </c>
      <c r="Q209" s="55">
        <f t="shared" si="24"/>
        <v>0</v>
      </c>
      <c r="S209" s="60">
        <f t="shared" ref="S209:T213" si="25">IF(S201=1,S195,0)</f>
        <v>0</v>
      </c>
      <c r="T209" s="55">
        <f t="shared" si="25"/>
        <v>0</v>
      </c>
      <c r="V209" s="60">
        <f t="shared" ref="V209:W213" si="26">IF(V201=1,V195,0)</f>
        <v>0</v>
      </c>
      <c r="W209" s="55">
        <f t="shared" si="26"/>
        <v>0</v>
      </c>
      <c r="Y209" s="60">
        <f t="shared" ref="Y209:Z213" si="27">IF(Y201=1,Y195,0)</f>
        <v>0</v>
      </c>
      <c r="Z209" s="55">
        <f t="shared" si="27"/>
        <v>0</v>
      </c>
      <c r="AB209" s="60">
        <f t="shared" ref="AB209:AC213" si="28">IF(AB201=1,AB195,0)</f>
        <v>0</v>
      </c>
      <c r="AC209" s="55">
        <f t="shared" si="28"/>
        <v>0</v>
      </c>
      <c r="AE209" s="60">
        <f>IF(AE201=1,AE195,0)</f>
        <v>0</v>
      </c>
    </row>
    <row r="210" spans="1:33" s="55" customFormat="1" ht="12.75" hidden="1" customHeight="1" x14ac:dyDescent="0.2">
      <c r="A210" s="55" t="s">
        <v>89</v>
      </c>
      <c r="B210" s="55">
        <f>IF(B202=1,B196,0)</f>
        <v>0</v>
      </c>
      <c r="D210" s="60">
        <f t="shared" si="20"/>
        <v>0</v>
      </c>
      <c r="E210" s="55">
        <f t="shared" si="20"/>
        <v>0</v>
      </c>
      <c r="G210" s="60">
        <f t="shared" si="21"/>
        <v>26</v>
      </c>
      <c r="H210" s="55">
        <f t="shared" si="21"/>
        <v>30</v>
      </c>
      <c r="J210" s="60">
        <f t="shared" si="22"/>
        <v>0</v>
      </c>
      <c r="K210" s="55">
        <f t="shared" si="22"/>
        <v>0</v>
      </c>
      <c r="M210" s="60">
        <f t="shared" si="23"/>
        <v>0</v>
      </c>
      <c r="N210" s="55">
        <f t="shared" si="23"/>
        <v>0</v>
      </c>
      <c r="P210" s="60">
        <f t="shared" si="24"/>
        <v>0</v>
      </c>
      <c r="Q210" s="55">
        <f t="shared" si="24"/>
        <v>0</v>
      </c>
      <c r="S210" s="60">
        <f t="shared" si="25"/>
        <v>0</v>
      </c>
      <c r="T210" s="55">
        <f t="shared" si="25"/>
        <v>0</v>
      </c>
      <c r="V210" s="60">
        <f t="shared" si="26"/>
        <v>0</v>
      </c>
      <c r="W210" s="55">
        <f t="shared" si="26"/>
        <v>0</v>
      </c>
      <c r="Y210" s="60">
        <f t="shared" si="27"/>
        <v>0</v>
      </c>
      <c r="Z210" s="55">
        <f t="shared" si="27"/>
        <v>0</v>
      </c>
      <c r="AB210" s="60">
        <f t="shared" si="28"/>
        <v>0</v>
      </c>
      <c r="AC210" s="55">
        <f t="shared" si="28"/>
        <v>0</v>
      </c>
      <c r="AE210" s="60">
        <f>IF(AE202=1,AE196,0)</f>
        <v>0</v>
      </c>
    </row>
    <row r="211" spans="1:33" s="55" customFormat="1" ht="12.75" hidden="1" customHeight="1" x14ac:dyDescent="0.2">
      <c r="A211" s="55" t="s">
        <v>90</v>
      </c>
      <c r="B211" s="55">
        <f>IF(B203=1,B197,0)</f>
        <v>0</v>
      </c>
      <c r="D211" s="60">
        <f t="shared" si="20"/>
        <v>0</v>
      </c>
      <c r="E211" s="55">
        <f t="shared" si="20"/>
        <v>0</v>
      </c>
      <c r="G211" s="60">
        <f t="shared" si="21"/>
        <v>0</v>
      </c>
      <c r="H211" s="55">
        <f t="shared" si="21"/>
        <v>0</v>
      </c>
      <c r="J211" s="60">
        <f t="shared" si="22"/>
        <v>0</v>
      </c>
      <c r="K211" s="55">
        <f t="shared" si="22"/>
        <v>0</v>
      </c>
      <c r="M211" s="60">
        <f t="shared" si="23"/>
        <v>0</v>
      </c>
      <c r="N211" s="55">
        <f t="shared" si="23"/>
        <v>0</v>
      </c>
      <c r="P211" s="60">
        <f t="shared" si="24"/>
        <v>0</v>
      </c>
      <c r="Q211" s="55">
        <f t="shared" si="24"/>
        <v>0</v>
      </c>
      <c r="S211" s="60">
        <f t="shared" si="25"/>
        <v>0</v>
      </c>
      <c r="T211" s="55">
        <f t="shared" si="25"/>
        <v>0</v>
      </c>
      <c r="V211" s="60">
        <f t="shared" si="26"/>
        <v>0</v>
      </c>
      <c r="W211" s="55">
        <f t="shared" si="26"/>
        <v>0</v>
      </c>
      <c r="Y211" s="60">
        <f t="shared" si="27"/>
        <v>0</v>
      </c>
      <c r="Z211" s="55">
        <f t="shared" si="27"/>
        <v>0</v>
      </c>
      <c r="AB211" s="60">
        <f t="shared" si="28"/>
        <v>0</v>
      </c>
      <c r="AC211" s="55">
        <f t="shared" si="28"/>
        <v>0</v>
      </c>
      <c r="AE211" s="60">
        <f>IF(AE203=1,AE197,0)</f>
        <v>0</v>
      </c>
    </row>
    <row r="212" spans="1:33" s="55" customFormat="1" ht="12.75" hidden="1" customHeight="1" x14ac:dyDescent="0.2">
      <c r="A212" s="55" t="s">
        <v>91</v>
      </c>
      <c r="B212" s="55">
        <f>IF(B204=1,B198,0)</f>
        <v>0</v>
      </c>
      <c r="D212" s="60">
        <f t="shared" si="20"/>
        <v>0</v>
      </c>
      <c r="E212" s="55">
        <f t="shared" si="20"/>
        <v>0</v>
      </c>
      <c r="G212" s="60">
        <f t="shared" si="21"/>
        <v>0</v>
      </c>
      <c r="H212" s="55">
        <f t="shared" si="21"/>
        <v>0</v>
      </c>
      <c r="J212" s="60">
        <f t="shared" si="22"/>
        <v>0</v>
      </c>
      <c r="K212" s="55">
        <f t="shared" si="22"/>
        <v>0</v>
      </c>
      <c r="M212" s="60">
        <f t="shared" si="23"/>
        <v>0</v>
      </c>
      <c r="N212" s="55">
        <f t="shared" si="23"/>
        <v>0</v>
      </c>
      <c r="P212" s="60">
        <f t="shared" si="24"/>
        <v>0</v>
      </c>
      <c r="Q212" s="55">
        <f t="shared" si="24"/>
        <v>0</v>
      </c>
      <c r="S212" s="60">
        <f t="shared" si="25"/>
        <v>0</v>
      </c>
      <c r="T212" s="55">
        <f t="shared" si="25"/>
        <v>0</v>
      </c>
      <c r="V212" s="60">
        <f t="shared" si="26"/>
        <v>0</v>
      </c>
      <c r="W212" s="55">
        <f t="shared" si="26"/>
        <v>0</v>
      </c>
      <c r="Y212" s="60">
        <f t="shared" si="27"/>
        <v>0</v>
      </c>
      <c r="Z212" s="55">
        <f t="shared" si="27"/>
        <v>0</v>
      </c>
      <c r="AB212" s="60">
        <f t="shared" si="28"/>
        <v>0</v>
      </c>
      <c r="AC212" s="55">
        <f t="shared" si="28"/>
        <v>0</v>
      </c>
      <c r="AE212" s="60">
        <f>IF(AE204=1,AE198,0)</f>
        <v>0</v>
      </c>
    </row>
    <row r="213" spans="1:33" s="55" customFormat="1" ht="12.75" hidden="1" customHeight="1" x14ac:dyDescent="0.2">
      <c r="A213" s="55" t="s">
        <v>92</v>
      </c>
      <c r="B213" s="55">
        <f>IF(B205=1,B199,0)</f>
        <v>0</v>
      </c>
      <c r="D213" s="60">
        <f t="shared" si="20"/>
        <v>0</v>
      </c>
      <c r="E213" s="55">
        <f t="shared" si="20"/>
        <v>0</v>
      </c>
      <c r="G213" s="60">
        <f t="shared" si="21"/>
        <v>0</v>
      </c>
      <c r="H213" s="55">
        <f t="shared" si="21"/>
        <v>0</v>
      </c>
      <c r="J213" s="60">
        <f t="shared" si="22"/>
        <v>0</v>
      </c>
      <c r="K213" s="55">
        <f t="shared" si="22"/>
        <v>0</v>
      </c>
      <c r="M213" s="60">
        <f t="shared" si="23"/>
        <v>0</v>
      </c>
      <c r="N213" s="55">
        <f t="shared" si="23"/>
        <v>0</v>
      </c>
      <c r="P213" s="60">
        <f t="shared" si="24"/>
        <v>0</v>
      </c>
      <c r="Q213" s="55">
        <f t="shared" si="24"/>
        <v>0</v>
      </c>
      <c r="S213" s="60">
        <f t="shared" si="25"/>
        <v>0</v>
      </c>
      <c r="T213" s="55">
        <f t="shared" si="25"/>
        <v>0</v>
      </c>
      <c r="V213" s="60">
        <f t="shared" si="26"/>
        <v>0</v>
      </c>
      <c r="W213" s="55">
        <f t="shared" si="26"/>
        <v>0</v>
      </c>
      <c r="Y213" s="60">
        <f t="shared" si="27"/>
        <v>0</v>
      </c>
      <c r="Z213" s="55">
        <f t="shared" si="27"/>
        <v>0</v>
      </c>
      <c r="AB213" s="60">
        <f t="shared" si="28"/>
        <v>0</v>
      </c>
      <c r="AC213" s="55">
        <f t="shared" si="28"/>
        <v>0</v>
      </c>
      <c r="AE213" s="60">
        <f>IF(AE205=1,AE199,0)</f>
        <v>0</v>
      </c>
    </row>
    <row r="214" spans="1:33" s="55" customFormat="1" ht="38.25" hidden="1" customHeight="1" x14ac:dyDescent="0.2">
      <c r="A214" s="59" t="s">
        <v>93</v>
      </c>
      <c r="B214" s="55">
        <f>SUM(B209:D213)</f>
        <v>26</v>
      </c>
      <c r="D214" s="60"/>
      <c r="E214" s="55">
        <f>SUM(E209:G213)</f>
        <v>52</v>
      </c>
      <c r="G214" s="60"/>
      <c r="H214" s="55">
        <f>SUM(H209:J213)</f>
        <v>54</v>
      </c>
      <c r="J214" s="60"/>
      <c r="K214" s="55">
        <f>SUM(K209:M213)</f>
        <v>0</v>
      </c>
      <c r="M214" s="60"/>
      <c r="N214" s="55">
        <f>SUM(N209:P213)</f>
        <v>0</v>
      </c>
      <c r="P214" s="60"/>
      <c r="Q214" s="55">
        <f>SUM(Q209:S213)</f>
        <v>0</v>
      </c>
      <c r="S214" s="60"/>
      <c r="T214" s="55">
        <f>SUM(T209:V213)</f>
        <v>0</v>
      </c>
      <c r="V214" s="60"/>
      <c r="W214" s="55">
        <f>SUM(W209:Y213)</f>
        <v>0</v>
      </c>
      <c r="Y214" s="60"/>
      <c r="Z214" s="55">
        <f>SUM(Z209:AB213)</f>
        <v>0</v>
      </c>
      <c r="AB214" s="60"/>
      <c r="AC214" s="55">
        <f>SUM(AC209:AE213)</f>
        <v>0</v>
      </c>
      <c r="AE214" s="60"/>
    </row>
    <row r="215" spans="1:33" s="55" customFormat="1" ht="38.25" hidden="1" customHeight="1" x14ac:dyDescent="0.2">
      <c r="A215" s="55" t="s">
        <v>94</v>
      </c>
      <c r="D215" s="60"/>
      <c r="G215" s="60"/>
      <c r="J215" s="60"/>
      <c r="M215" s="60"/>
      <c r="P215" s="60"/>
      <c r="S215" s="60"/>
      <c r="V215" s="60"/>
      <c r="Y215" s="60"/>
      <c r="AB215" s="60"/>
      <c r="AE215" s="60"/>
      <c r="AF215" s="59" t="s">
        <v>95</v>
      </c>
      <c r="AG215" s="55" t="s">
        <v>96</v>
      </c>
    </row>
    <row r="216" spans="1:33" s="55" customFormat="1" ht="12.75" hidden="1" customHeight="1" x14ac:dyDescent="0.2">
      <c r="A216" s="55" t="s">
        <v>97</v>
      </c>
      <c r="B216" s="55">
        <f>IF(B194=1,IF(B207=1,1,0),0)</f>
        <v>0</v>
      </c>
      <c r="D216" s="60">
        <f>IF(D194=1,IF(D207=1,1,0),0)</f>
        <v>0</v>
      </c>
      <c r="E216" s="55">
        <f>IF(E194=1,IF(E207=1,1,0),0)</f>
        <v>0</v>
      </c>
      <c r="G216" s="60">
        <f>IF(G194=1,IF(G207=1,1,0),0)</f>
        <v>0</v>
      </c>
      <c r="H216" s="55">
        <f>IF(H194=1,IF(H207=1,1,0),0)</f>
        <v>1</v>
      </c>
      <c r="J216" s="60">
        <f>IF(J194=1,IF(J207=1,1,0),0)</f>
        <v>0</v>
      </c>
      <c r="K216" s="55">
        <f>IF(K194=1,IF(K207=1,1,0),0)</f>
        <v>0</v>
      </c>
      <c r="M216" s="60">
        <f>IF(M194=1,IF(M207=1,1,0),0)</f>
        <v>0</v>
      </c>
      <c r="N216" s="55">
        <f>IF(N194=1,IF(N207=1,1,0),0)</f>
        <v>0</v>
      </c>
      <c r="P216" s="60">
        <f>IF(P194=1,IF(P207=1,1,0),0)</f>
        <v>0</v>
      </c>
      <c r="Q216" s="55">
        <f>IF(Q194=1,IF(Q207=1,1,0),0)</f>
        <v>0</v>
      </c>
      <c r="S216" s="60">
        <f>IF(S194=1,IF(S207=1,1,0),0)</f>
        <v>0</v>
      </c>
      <c r="T216" s="55">
        <f>IF(T194=1,IF(T207=1,1,0),0)</f>
        <v>0</v>
      </c>
      <c r="V216" s="60">
        <f>IF(V194=1,IF(V207=1,1,0),0)</f>
        <v>0</v>
      </c>
      <c r="W216" s="55">
        <f>IF(W194=1,IF(W207=1,1,0),0)</f>
        <v>0</v>
      </c>
      <c r="Y216" s="60">
        <f>IF(Y194=1,IF(Y207=1,1,0),0)</f>
        <v>0</v>
      </c>
      <c r="Z216" s="55">
        <f>IF(Z194=1,IF(Z207=1,1,0),0)</f>
        <v>0</v>
      </c>
      <c r="AB216" s="60">
        <f>IF(AB194=1,IF(AB207=1,1,0),0)</f>
        <v>0</v>
      </c>
      <c r="AC216" s="55">
        <f>IF(AC194=1,IF(AC207=1,1,0),0)</f>
        <v>0</v>
      </c>
      <c r="AE216" s="60">
        <f>IF(AE194=1,IF(AE207=1,1,0),0)</f>
        <v>0</v>
      </c>
      <c r="AF216" s="55">
        <f>SUM(B216:AE216)</f>
        <v>1</v>
      </c>
      <c r="AG216" s="55">
        <f>AF222-AF216</f>
        <v>1</v>
      </c>
    </row>
    <row r="217" spans="1:33" s="55" customFormat="1" ht="12.75" hidden="1" customHeight="1" x14ac:dyDescent="0.2">
      <c r="A217" s="55" t="s">
        <v>98</v>
      </c>
      <c r="B217" s="55">
        <f>IF(B194=2,IF(B207=1,1,0),0)</f>
        <v>0</v>
      </c>
      <c r="D217" s="60">
        <f>IF(D194=2,IF(D207=1,1,0),0)</f>
        <v>0</v>
      </c>
      <c r="E217" s="55">
        <f>IF(E194=2,IF(E207=1,1,0),0)</f>
        <v>0</v>
      </c>
      <c r="G217" s="60">
        <f>IF(G194=2,IF(G207=1,1,0),0)</f>
        <v>0</v>
      </c>
      <c r="H217" s="55">
        <f>IF(H194=2,IF(H207=1,1,0),0)</f>
        <v>0</v>
      </c>
      <c r="J217" s="60">
        <f>IF(J194=2,IF(J207=1,1,0),0)</f>
        <v>0</v>
      </c>
      <c r="K217" s="55">
        <f>IF(K194=2,IF(K207=1,1,0),0)</f>
        <v>0</v>
      </c>
      <c r="M217" s="60">
        <f>IF(M194=2,IF(M207=1,1,0),0)</f>
        <v>0</v>
      </c>
      <c r="N217" s="55">
        <f>IF(N194=2,IF(N207=1,1,0),0)</f>
        <v>0</v>
      </c>
      <c r="P217" s="60">
        <f>IF(P194=2,IF(P207=1,1,0),0)</f>
        <v>0</v>
      </c>
      <c r="Q217" s="55">
        <f>IF(Q194=2,IF(Q207=1,1,0),0)</f>
        <v>0</v>
      </c>
      <c r="S217" s="60">
        <f>IF(S194=2,IF(S207=1,1,0),0)</f>
        <v>0</v>
      </c>
      <c r="T217" s="55">
        <f>IF(T194=2,IF(T207=1,1,0),0)</f>
        <v>0</v>
      </c>
      <c r="V217" s="60">
        <f>IF(V194=2,IF(V207=1,1,0),0)</f>
        <v>0</v>
      </c>
      <c r="W217" s="55">
        <f>IF(W194=2,IF(W207=1,1,0),0)</f>
        <v>0</v>
      </c>
      <c r="Y217" s="60">
        <f>IF(Y194=2,IF(Y207=1,1,0),0)</f>
        <v>0</v>
      </c>
      <c r="Z217" s="55">
        <f>IF(Z194=2,IF(Z207=1,1,0),0)</f>
        <v>0</v>
      </c>
      <c r="AB217" s="60">
        <f>IF(AB194=2,IF(AB207=1,1,0),0)</f>
        <v>0</v>
      </c>
      <c r="AC217" s="55">
        <f>IF(AC194=2,IF(AC207=1,1,0),0)</f>
        <v>0</v>
      </c>
      <c r="AE217" s="60">
        <f>IF(AE194=2,IF(AE207=1,1,0),0)</f>
        <v>0</v>
      </c>
      <c r="AF217" s="55">
        <f>SUM(B217:AE217)</f>
        <v>0</v>
      </c>
      <c r="AG217" s="55">
        <f>AF223-AF217</f>
        <v>2</v>
      </c>
    </row>
    <row r="218" spans="1:33" s="55" customFormat="1" ht="12.75" hidden="1" customHeight="1" x14ac:dyDescent="0.2">
      <c r="A218" s="55" t="s">
        <v>99</v>
      </c>
      <c r="B218" s="55">
        <f>IF(B194=3,IF(B207=1,1,0),0)</f>
        <v>0</v>
      </c>
      <c r="D218" s="60">
        <f>IF(D194=3,IF(D207=1,1,0),0)</f>
        <v>1</v>
      </c>
      <c r="E218" s="55">
        <f>IF(E194=3,IF(E207=1,1,0),0)</f>
        <v>0</v>
      </c>
      <c r="G218" s="60">
        <f>IF(G194=3,IF(G207=1,1,0),0)</f>
        <v>1</v>
      </c>
      <c r="H218" s="55">
        <f>IF(H194=3,IF(H207=1,1,0),0)</f>
        <v>0</v>
      </c>
      <c r="J218" s="60">
        <f>IF(J194=3,IF(J207=1,1,0),0)</f>
        <v>0</v>
      </c>
      <c r="K218" s="55">
        <f>IF(K194=3,IF(K207=1,1,0),0)</f>
        <v>0</v>
      </c>
      <c r="M218" s="60">
        <f>IF(M194=3,IF(M207=1,1,0),0)</f>
        <v>0</v>
      </c>
      <c r="N218" s="55">
        <f>IF(N194=3,IF(N207=1,1,0),0)</f>
        <v>0</v>
      </c>
      <c r="P218" s="60">
        <f>IF(P194=3,IF(P207=1,1,0),0)</f>
        <v>0</v>
      </c>
      <c r="Q218" s="55">
        <f>IF(Q194=3,IF(Q207=1,1,0),0)</f>
        <v>0</v>
      </c>
      <c r="S218" s="60">
        <f>IF(S194=3,IF(S207=1,1,0),0)</f>
        <v>0</v>
      </c>
      <c r="T218" s="55">
        <f>IF(T194=3,IF(T207=1,1,0),0)</f>
        <v>0</v>
      </c>
      <c r="V218" s="60">
        <f>IF(V194=3,IF(V207=1,1,0),0)</f>
        <v>0</v>
      </c>
      <c r="W218" s="55">
        <f>IF(W194=3,IF(W207=1,1,0),0)</f>
        <v>0</v>
      </c>
      <c r="Y218" s="60">
        <f>IF(Y194=3,IF(Y207=1,1,0),0)</f>
        <v>0</v>
      </c>
      <c r="Z218" s="55">
        <f>IF(Z194=3,IF(Z207=1,1,0),0)</f>
        <v>0</v>
      </c>
      <c r="AB218" s="60">
        <f>IF(AB194=3,IF(AB207=1,1,0),0)</f>
        <v>0</v>
      </c>
      <c r="AC218" s="55">
        <f>IF(AC194=3,IF(AC207=1,1,0),0)</f>
        <v>0</v>
      </c>
      <c r="AE218" s="60">
        <f>IF(AE194=3,IF(AE207=1,1,0),0)</f>
        <v>0</v>
      </c>
      <c r="AF218" s="55">
        <f>SUM(B218:AE218)</f>
        <v>2</v>
      </c>
      <c r="AG218" s="55">
        <f>AF224-AF218</f>
        <v>0</v>
      </c>
    </row>
    <row r="219" spans="1:33" s="55" customFormat="1" ht="12.75" hidden="1" customHeight="1" x14ac:dyDescent="0.2">
      <c r="A219" s="55" t="s">
        <v>100</v>
      </c>
      <c r="B219" s="55">
        <f>IF(B194=4,IF(B207=1,1,0),0)</f>
        <v>0</v>
      </c>
      <c r="D219" s="60">
        <f>IF(D194=4,IF(D207=1,1,0),0)</f>
        <v>0</v>
      </c>
      <c r="E219" s="55">
        <f>IF(E194=4,IF(E207=1,1,0),0)</f>
        <v>0</v>
      </c>
      <c r="G219" s="60">
        <f>IF(G194=4,IF(G207=1,1,0),0)</f>
        <v>0</v>
      </c>
      <c r="H219" s="55">
        <f>IF(H194=4,IF(H207=1,1,0),0)</f>
        <v>0</v>
      </c>
      <c r="J219" s="60">
        <f>IF(J194=4,IF(J207=1,1,0),0)</f>
        <v>0</v>
      </c>
      <c r="K219" s="55">
        <f>IF(K194=4,IF(K207=1,1,0),0)</f>
        <v>0</v>
      </c>
      <c r="M219" s="60">
        <f>IF(M194=4,IF(M207=1,1,0),0)</f>
        <v>0</v>
      </c>
      <c r="N219" s="55">
        <f>IF(N194=4,IF(N207=1,1,0),0)</f>
        <v>0</v>
      </c>
      <c r="P219" s="60">
        <f>IF(P194=4,IF(P207=1,1,0),0)</f>
        <v>0</v>
      </c>
      <c r="Q219" s="55">
        <f>IF(Q194=4,IF(Q207=1,1,0),0)</f>
        <v>0</v>
      </c>
      <c r="S219" s="60">
        <f>IF(S194=4,IF(S207=1,1,0),0)</f>
        <v>0</v>
      </c>
      <c r="T219" s="55">
        <f>IF(T194=4,IF(T207=1,1,0),0)</f>
        <v>0</v>
      </c>
      <c r="V219" s="60">
        <f>IF(V194=4,IF(V207=1,1,0),0)</f>
        <v>0</v>
      </c>
      <c r="W219" s="55">
        <f>IF(W194=4,IF(W207=1,1,0),0)</f>
        <v>0</v>
      </c>
      <c r="Y219" s="60">
        <f>IF(Y194=4,IF(Y207=1,1,0),0)</f>
        <v>0</v>
      </c>
      <c r="Z219" s="55">
        <f>IF(Z194=4,IF(Z207=1,1,0),0)</f>
        <v>0</v>
      </c>
      <c r="AB219" s="60">
        <f>IF(AB194=4,IF(AB207=1,1,0),0)</f>
        <v>0</v>
      </c>
      <c r="AC219" s="55">
        <f>IF(AC194=4,IF(AC207=1,1,0),0)</f>
        <v>0</v>
      </c>
      <c r="AE219" s="60">
        <f>IF(AE194=4,IF(AE207=1,1,0),0)</f>
        <v>0</v>
      </c>
      <c r="AF219" s="55">
        <f>SUM(B219:AE219)</f>
        <v>0</v>
      </c>
      <c r="AG219" s="55">
        <f>AF225-AF219</f>
        <v>0</v>
      </c>
    </row>
    <row r="220" spans="1:33" s="55" customFormat="1" ht="12.75" hidden="1" customHeight="1" x14ac:dyDescent="0.2">
      <c r="A220" s="55" t="s">
        <v>101</v>
      </c>
      <c r="B220" s="55">
        <f>IF(B194=5,IF(B207=1,1,0),0)</f>
        <v>0</v>
      </c>
      <c r="D220" s="60">
        <f>IF(D194=5,IF(D207=1,1,0),0)</f>
        <v>0</v>
      </c>
      <c r="E220" s="55">
        <f>IF(E194=5,IF(E207=1,1,0),0)</f>
        <v>0</v>
      </c>
      <c r="G220" s="60">
        <f>IF(G194=5,IF(G207=1,1,0),0)</f>
        <v>0</v>
      </c>
      <c r="H220" s="55">
        <f>IF(H194=5,IF(H207=1,1,0),0)</f>
        <v>0</v>
      </c>
      <c r="J220" s="60">
        <f>IF(J194=5,IF(J207=1,1,0),0)</f>
        <v>0</v>
      </c>
      <c r="K220" s="55">
        <f>IF(K194=5,IF(K207=1,1,0),0)</f>
        <v>0</v>
      </c>
      <c r="M220" s="60">
        <f>IF(M194=5,IF(M207=1,1,0),0)</f>
        <v>0</v>
      </c>
      <c r="N220" s="55">
        <f>IF(N194=5,IF(N207=1,1,0),0)</f>
        <v>0</v>
      </c>
      <c r="P220" s="60">
        <f>IF(P194=5,IF(P207=1,1,0),0)</f>
        <v>0</v>
      </c>
      <c r="Q220" s="55">
        <f>IF(Q194=5,IF(Q207=1,1,0),0)</f>
        <v>0</v>
      </c>
      <c r="S220" s="60">
        <f>IF(S194=5,IF(S207=1,1,0),0)</f>
        <v>0</v>
      </c>
      <c r="T220" s="55">
        <f>IF(T194=5,IF(T207=1,1,0),0)</f>
        <v>0</v>
      </c>
      <c r="V220" s="60">
        <f>IF(V194=5,IF(V207=1,1,0),0)</f>
        <v>0</v>
      </c>
      <c r="W220" s="55">
        <f>IF(W194=5,IF(W207=1,1,0),0)</f>
        <v>0</v>
      </c>
      <c r="Y220" s="60">
        <f>IF(Y194=5,IF(Y207=1,1,0),0)</f>
        <v>0</v>
      </c>
      <c r="Z220" s="55">
        <f>IF(Z194=5,IF(Z207=1,1,0),0)</f>
        <v>0</v>
      </c>
      <c r="AB220" s="60">
        <f>IF(AB194=5,IF(AB207=1,1,0),0)</f>
        <v>0</v>
      </c>
      <c r="AC220" s="55">
        <f>IF(AC194=5,IF(AC207=1,1,0),0)</f>
        <v>0</v>
      </c>
      <c r="AE220" s="60">
        <f>IF(AE194=5,IF(AE207=1,1,0),0)</f>
        <v>0</v>
      </c>
      <c r="AF220" s="55">
        <f>SUM(B220:AE220)</f>
        <v>0</v>
      </c>
      <c r="AG220" s="55">
        <f>AF226-AF220</f>
        <v>0</v>
      </c>
    </row>
    <row r="221" spans="1:33" s="55" customFormat="1" ht="38.25" hidden="1" customHeight="1" x14ac:dyDescent="0.2">
      <c r="A221" s="59"/>
      <c r="D221" s="60"/>
      <c r="G221" s="60"/>
      <c r="J221" s="60"/>
      <c r="M221" s="60"/>
      <c r="P221" s="60"/>
      <c r="S221" s="60"/>
      <c r="V221" s="60"/>
      <c r="Y221" s="60"/>
      <c r="AB221" s="60"/>
      <c r="AE221" s="60"/>
      <c r="AF221" s="59" t="s">
        <v>102</v>
      </c>
    </row>
    <row r="222" spans="1:33" s="55" customFormat="1" ht="12.75" hidden="1" customHeight="1" x14ac:dyDescent="0.2">
      <c r="A222" s="55" t="s">
        <v>103</v>
      </c>
      <c r="B222" s="55">
        <f>IF(B194=1,IF(C207=1,1,0),0)</f>
        <v>1</v>
      </c>
      <c r="D222" s="60">
        <f>IF(D194=1,IF(C207=1,1,0),0)</f>
        <v>0</v>
      </c>
      <c r="E222" s="55">
        <f>IF(E194=1,IF(F207=1,1,0),0)</f>
        <v>0</v>
      </c>
      <c r="G222" s="60">
        <f>IF(G194=1,IF(F207=1,1,0),0)</f>
        <v>0</v>
      </c>
      <c r="H222" s="55">
        <f>IF(H194=1,IF(I207=1,1,0),0)</f>
        <v>1</v>
      </c>
      <c r="J222" s="60">
        <f>IF(J194=1,IF(I207=1,1,0),0)</f>
        <v>0</v>
      </c>
      <c r="K222" s="55">
        <f>IF(K194=1,IF(L207=1,1,0),0)</f>
        <v>0</v>
      </c>
      <c r="M222" s="60">
        <f>IF(M194=1,IF(L207=1,1,0),0)</f>
        <v>0</v>
      </c>
      <c r="N222" s="55">
        <f>IF(N194=1,IF(O207=1,1,0),0)</f>
        <v>0</v>
      </c>
      <c r="P222" s="60">
        <f>IF(P194=1,IF(O207=1,1,0),0)</f>
        <v>0</v>
      </c>
      <c r="Q222" s="55">
        <f>IF(Q194=1,IF(R207=1,1,0),0)</f>
        <v>0</v>
      </c>
      <c r="S222" s="60">
        <f>IF(S194=1,IF(R207=1,1,0),0)</f>
        <v>0</v>
      </c>
      <c r="T222" s="55">
        <f>IF(T194=1,IF(U207=1,1,0),0)</f>
        <v>0</v>
      </c>
      <c r="V222" s="60">
        <f>IF(V194=1,IF(U207=1,1,0),0)</f>
        <v>0</v>
      </c>
      <c r="W222" s="55">
        <f>IF(W194=1,IF(X207=1,1,0),0)</f>
        <v>0</v>
      </c>
      <c r="Y222" s="60">
        <f>IF(Y194=1,IF(X207=1,1,0),0)</f>
        <v>0</v>
      </c>
      <c r="Z222" s="55">
        <f>IF(Z194=1,IF(AA207=1,1,0),0)</f>
        <v>0</v>
      </c>
      <c r="AB222" s="60">
        <f>IF(AB194=1,IF(AA207=1,1,0),0)</f>
        <v>0</v>
      </c>
      <c r="AC222" s="55">
        <f>IF(AC194=1,IF(AD207=1,1,0),0)</f>
        <v>0</v>
      </c>
      <c r="AE222" s="60">
        <f>IF(AE194=1,IF(AD207=1,1,0),0)</f>
        <v>0</v>
      </c>
      <c r="AF222" s="55">
        <f>SUM(B222:AE222)</f>
        <v>2</v>
      </c>
    </row>
    <row r="223" spans="1:33" s="55" customFormat="1" ht="12.75" hidden="1" customHeight="1" x14ac:dyDescent="0.2">
      <c r="A223" s="55" t="s">
        <v>104</v>
      </c>
      <c r="B223" s="55">
        <f>IF(B194=2,IF(C207=1,1,0),0)</f>
        <v>0</v>
      </c>
      <c r="D223" s="60">
        <f>IF(D194=2,IF(C207=1,1,0),0)</f>
        <v>0</v>
      </c>
      <c r="E223" s="55">
        <f>IF(E194=2,IF(F207=1,1,0),0)</f>
        <v>1</v>
      </c>
      <c r="G223" s="60">
        <f>IF(G194=2,IF(F207=1,1,0),0)</f>
        <v>0</v>
      </c>
      <c r="H223" s="55">
        <f>IF(H194=2,IF(I207=1,1,0),0)</f>
        <v>0</v>
      </c>
      <c r="J223" s="60">
        <f>IF(J194=2,IF(I207=1,1,0),0)</f>
        <v>1</v>
      </c>
      <c r="K223" s="55">
        <f>IF(K194=2,IF(L207=1,1,0),0)</f>
        <v>0</v>
      </c>
      <c r="M223" s="60">
        <f>IF(M194=2,IF(L207=1,1,0),0)</f>
        <v>0</v>
      </c>
      <c r="N223" s="55">
        <f>IF(N194=2,IF(O207=1,1,0),0)</f>
        <v>0</v>
      </c>
      <c r="P223" s="60">
        <f>IF(P194=2,IF(O207=1,1,0),0)</f>
        <v>0</v>
      </c>
      <c r="Q223" s="55">
        <f>IF(Q194=2,IF(R207=1,1,0),0)</f>
        <v>0</v>
      </c>
      <c r="S223" s="60">
        <f>IF(S194=2,IF(R207=1,1,0),0)</f>
        <v>0</v>
      </c>
      <c r="T223" s="55">
        <f>IF(T194=2,IF(U207=1,1,0),0)</f>
        <v>0</v>
      </c>
      <c r="V223" s="60">
        <f>IF(V194=2,IF(U207=1,1,0),0)</f>
        <v>0</v>
      </c>
      <c r="W223" s="55">
        <f>IF(W194=2,IF(X207=1,1,0),0)</f>
        <v>0</v>
      </c>
      <c r="Y223" s="60">
        <f>IF(Y194=2,IF(X207=1,1,0),0)</f>
        <v>0</v>
      </c>
      <c r="Z223" s="55">
        <f>IF(Z194=2,IF(AA207=1,1,0),0)</f>
        <v>0</v>
      </c>
      <c r="AB223" s="60">
        <f>IF(AB194=2,IF(AA207=1,1,0),0)</f>
        <v>0</v>
      </c>
      <c r="AC223" s="55">
        <f>IF(AC194=2,IF(AD207=1,1,0),0)</f>
        <v>0</v>
      </c>
      <c r="AE223" s="60">
        <f>IF(AE194=2,IF(AD207=1,1,0),0)</f>
        <v>0</v>
      </c>
      <c r="AF223" s="55">
        <f>SUM(B223:AE223)</f>
        <v>2</v>
      </c>
    </row>
    <row r="224" spans="1:33" s="55" customFormat="1" ht="12.75" hidden="1" customHeight="1" x14ac:dyDescent="0.2">
      <c r="A224" s="55" t="s">
        <v>105</v>
      </c>
      <c r="B224" s="55">
        <f>IF(B194=3,IF(C207=1,1,0),0)</f>
        <v>0</v>
      </c>
      <c r="D224" s="60">
        <f>IF(D194=3,IF(C207=1,1,0),0)</f>
        <v>1</v>
      </c>
      <c r="E224" s="55">
        <f>IF(E194=3,IF(F207=1,1,0),0)</f>
        <v>0</v>
      </c>
      <c r="G224" s="60">
        <f>IF(G194=3,IF(F207=1,1,0),0)</f>
        <v>1</v>
      </c>
      <c r="H224" s="55">
        <f>IF(H194=3,IF(I207=1,1,0),0)</f>
        <v>0</v>
      </c>
      <c r="J224" s="60">
        <f>IF(J194=3,IF(I207=1,1,0),0)</f>
        <v>0</v>
      </c>
      <c r="K224" s="55">
        <f>IF(K194=3,IF(L207=1,1,0),0)</f>
        <v>0</v>
      </c>
      <c r="M224" s="60">
        <f>IF(M194=3,IF(L207=1,1,0),0)</f>
        <v>0</v>
      </c>
      <c r="N224" s="55">
        <f>IF(N194=3,IF(O207=1,1,0),0)</f>
        <v>0</v>
      </c>
      <c r="P224" s="60">
        <f>IF(P194=3,IF(O207=1,1,0),0)</f>
        <v>0</v>
      </c>
      <c r="Q224" s="55">
        <f>IF(Q194=3,IF(R207=1,1,0),0)</f>
        <v>0</v>
      </c>
      <c r="S224" s="60">
        <f>IF(S194=3,IF(R207=1,1,0),0)</f>
        <v>0</v>
      </c>
      <c r="T224" s="55">
        <f>IF(T194=3,IF(U207=1,1,0),0)</f>
        <v>0</v>
      </c>
      <c r="V224" s="60">
        <f>IF(V194=3,IF(U207=1,1,0),0)</f>
        <v>0</v>
      </c>
      <c r="W224" s="55">
        <f>IF(W194=3,IF(X207=1,1,0),0)</f>
        <v>0</v>
      </c>
      <c r="Y224" s="60">
        <f>IF(Y194=3,IF(X207=1,1,0),0)</f>
        <v>0</v>
      </c>
      <c r="Z224" s="55">
        <f>IF(Z194=3,IF(AA207=1,1,0),0)</f>
        <v>0</v>
      </c>
      <c r="AB224" s="60">
        <f>IF(AB194=3,IF(AA207=1,1,0),0)</f>
        <v>0</v>
      </c>
      <c r="AC224" s="55">
        <f>IF(AC194=3,IF(AD207=1,1,0),0)</f>
        <v>0</v>
      </c>
      <c r="AE224" s="60">
        <f>IF(AE194=3,IF(AD207=1,1,0),0)</f>
        <v>0</v>
      </c>
      <c r="AF224" s="55">
        <f>SUM(B224:AE224)</f>
        <v>2</v>
      </c>
    </row>
    <row r="225" spans="1:37" s="55" customFormat="1" ht="12.75" hidden="1" customHeight="1" x14ac:dyDescent="0.2">
      <c r="A225" s="55" t="s">
        <v>106</v>
      </c>
      <c r="B225" s="55">
        <f>IF(B194=4,IF(C207=1,1,0),0)</f>
        <v>0</v>
      </c>
      <c r="D225" s="60">
        <f>IF(D194=4,IF(C207=1,1,0),0)</f>
        <v>0</v>
      </c>
      <c r="E225" s="55">
        <f>IF(E194=4,IF(F207=1,1,0),0)</f>
        <v>0</v>
      </c>
      <c r="G225" s="60">
        <f>IF(G194=4,IF(F207=1,1,0),0)</f>
        <v>0</v>
      </c>
      <c r="H225" s="55">
        <f>IF(H194=4,IF(I207=1,1,0),0)</f>
        <v>0</v>
      </c>
      <c r="J225" s="60">
        <f>IF(J194=4,IF(I207=1,1,0),0)</f>
        <v>0</v>
      </c>
      <c r="K225" s="55">
        <f>IF(K194=4,IF(L207=1,1,0),0)</f>
        <v>0</v>
      </c>
      <c r="M225" s="60">
        <f>IF(M194=4,IF(L207=1,1,0),0)</f>
        <v>0</v>
      </c>
      <c r="N225" s="55">
        <f>IF(N194=4,IF(O207=1,1,0),0)</f>
        <v>0</v>
      </c>
      <c r="P225" s="60">
        <f>IF(P194=4,IF(O207=1,1,0),0)</f>
        <v>0</v>
      </c>
      <c r="Q225" s="55">
        <f>IF(Q194=4,IF(R207=1,1,0),0)</f>
        <v>0</v>
      </c>
      <c r="S225" s="60">
        <f>IF(S194=4,IF(R207=1,1,0),0)</f>
        <v>0</v>
      </c>
      <c r="T225" s="55">
        <f>IF(T194=4,IF(U207=1,1,0),0)</f>
        <v>0</v>
      </c>
      <c r="V225" s="60">
        <f>IF(V194=4,IF(U207=1,1,0),0)</f>
        <v>0</v>
      </c>
      <c r="W225" s="55">
        <f>IF(W194=4,IF(X207=1,1,0),0)</f>
        <v>0</v>
      </c>
      <c r="Y225" s="60">
        <f>IF(Y194=4,IF(X207=1,1,0),0)</f>
        <v>0</v>
      </c>
      <c r="Z225" s="55">
        <f>IF(Z194=4,IF(AA207=1,1,0),0)</f>
        <v>0</v>
      </c>
      <c r="AB225" s="60">
        <f>IF(AB194=4,IF(AA207=1,1,0),0)</f>
        <v>0</v>
      </c>
      <c r="AC225" s="55">
        <f>IF(AC194=4,IF(AD207=1,1,0),0)</f>
        <v>0</v>
      </c>
      <c r="AE225" s="60">
        <f>IF(AE194=4,IF(AD207=1,1,0),0)</f>
        <v>0</v>
      </c>
      <c r="AF225" s="55">
        <f>SUM(B225:AE225)</f>
        <v>0</v>
      </c>
    </row>
    <row r="226" spans="1:37" s="55" customFormat="1" ht="12.75" hidden="1" customHeight="1" x14ac:dyDescent="0.2">
      <c r="A226" s="55" t="s">
        <v>107</v>
      </c>
      <c r="B226" s="55">
        <f>IF(B194=5,IF(C207=1,1,0),0)</f>
        <v>0</v>
      </c>
      <c r="D226" s="60">
        <f>IF(D194=5,IF(C207=1,1,0),0)</f>
        <v>0</v>
      </c>
      <c r="E226" s="55">
        <f>IF(E194=5,IF(F207=1,1,0),0)</f>
        <v>0</v>
      </c>
      <c r="G226" s="60">
        <f>IF(G194=5,IF(F207=1,1,0),0)</f>
        <v>0</v>
      </c>
      <c r="H226" s="55">
        <f>IF(H194=5,IF(I207=1,1,0),0)</f>
        <v>0</v>
      </c>
      <c r="J226" s="60">
        <f>IF(J194=5,IF(I207=1,1,0),0)</f>
        <v>0</v>
      </c>
      <c r="K226" s="55">
        <f>IF(K194=5,IF(L207=1,1,0),0)</f>
        <v>0</v>
      </c>
      <c r="M226" s="60">
        <f>IF(M194=5,IF(L207=1,1,0),0)</f>
        <v>0</v>
      </c>
      <c r="N226" s="55">
        <f>IF(N194=5,IF(O207=1,1,0),0)</f>
        <v>0</v>
      </c>
      <c r="P226" s="60">
        <f>IF(P194=5,IF(O207=1,1,0),0)</f>
        <v>0</v>
      </c>
      <c r="Q226" s="55">
        <f>IF(Q194=5,IF(R207=1,1,0),0)</f>
        <v>0</v>
      </c>
      <c r="S226" s="60">
        <f>IF(S194=5,IF(R207=1,1,0),0)</f>
        <v>0</v>
      </c>
      <c r="T226" s="55">
        <f>IF(T194=5,IF(U207=1,1,0),0)</f>
        <v>0</v>
      </c>
      <c r="V226" s="60">
        <f>IF(V194=5,IF(U207=1,1,0),0)</f>
        <v>0</v>
      </c>
      <c r="W226" s="55">
        <f>IF(W194=5,IF(X207=1,1,0),0)</f>
        <v>0</v>
      </c>
      <c r="Y226" s="60">
        <f>IF(Y194=5,IF(X207=1,1,0),0)</f>
        <v>0</v>
      </c>
      <c r="Z226" s="55">
        <f>IF(Z194=5,IF(AA207=1,1,0),0)</f>
        <v>0</v>
      </c>
      <c r="AB226" s="60">
        <f>IF(AB194=5,IF(AA207=1,1,0),0)</f>
        <v>0</v>
      </c>
      <c r="AC226" s="55">
        <f>IF(AC194=5,IF(AD207=1,1,0),0)</f>
        <v>0</v>
      </c>
      <c r="AE226" s="60">
        <f>IF(AE194=5,IF(AD207=1,1,0),0)</f>
        <v>0</v>
      </c>
      <c r="AF226" s="55">
        <f>SUM(B226:AE226)</f>
        <v>0</v>
      </c>
    </row>
    <row r="227" spans="1:37" s="55" customFormat="1" ht="38.25" hidden="1" customHeight="1" x14ac:dyDescent="0.2">
      <c r="A227" s="59"/>
      <c r="D227" s="60"/>
      <c r="G227" s="60"/>
      <c r="J227" s="60"/>
      <c r="M227" s="60"/>
      <c r="P227" s="60"/>
      <c r="S227" s="60"/>
      <c r="V227" s="60"/>
      <c r="Y227" s="60"/>
      <c r="AB227" s="60"/>
      <c r="AE227" s="60"/>
      <c r="AF227" s="59" t="s">
        <v>108</v>
      </c>
      <c r="AG227" s="328"/>
      <c r="AH227" s="328"/>
      <c r="AI227" s="328"/>
      <c r="AJ227" s="328"/>
      <c r="AK227" s="328"/>
    </row>
    <row r="228" spans="1:37" s="55" customFormat="1" ht="12.75" hidden="1" customHeight="1" x14ac:dyDescent="0.2">
      <c r="A228" s="55" t="s">
        <v>103</v>
      </c>
      <c r="B228" s="55">
        <f>IF(B194=1,B214,0)</f>
        <v>26</v>
      </c>
      <c r="D228" s="60">
        <f>IF(D194=1,B214,0)</f>
        <v>0</v>
      </c>
      <c r="E228" s="55">
        <f>IF(E194=1,E214,0)</f>
        <v>0</v>
      </c>
      <c r="G228" s="60">
        <f>IF(G194=1,E214,0)</f>
        <v>0</v>
      </c>
      <c r="H228" s="55">
        <f>IF(H194=1,H214,0)</f>
        <v>54</v>
      </c>
      <c r="J228" s="60">
        <f>IF(J194=1,H214,0)</f>
        <v>0</v>
      </c>
      <c r="K228" s="55">
        <f>IF(K194=1,K214,0)</f>
        <v>0</v>
      </c>
      <c r="M228" s="60">
        <f>IF(M194=1,K214,0)</f>
        <v>0</v>
      </c>
      <c r="N228" s="55">
        <f>IF(N194=1,N214,0)</f>
        <v>0</v>
      </c>
      <c r="P228" s="60">
        <f>IF(P194=1,N214,0)</f>
        <v>0</v>
      </c>
      <c r="Q228" s="55">
        <f>IF(Q194=1,Q214,0)</f>
        <v>0</v>
      </c>
      <c r="S228" s="60">
        <f>IF(S194=1,Q214,0)</f>
        <v>0</v>
      </c>
      <c r="T228" s="55">
        <f>IF(T194=1,T214,0)</f>
        <v>0</v>
      </c>
      <c r="V228" s="60">
        <f>IF(V194=1,T214,0)</f>
        <v>0</v>
      </c>
      <c r="W228" s="55">
        <f>IF(W194=1,W214,0)</f>
        <v>0</v>
      </c>
      <c r="Y228" s="60">
        <f>IF(Y194=1,W214,0)</f>
        <v>0</v>
      </c>
      <c r="Z228" s="55">
        <f>IF(Z194=1,Z214,0)</f>
        <v>0</v>
      </c>
      <c r="AB228" s="60">
        <f>IF(AB194=1,Z214,0)</f>
        <v>0</v>
      </c>
      <c r="AC228" s="55">
        <f>IF(AC194=1,AC214,0)</f>
        <v>0</v>
      </c>
      <c r="AE228" s="60">
        <f>IF(AE194=1,AC214,0)</f>
        <v>0</v>
      </c>
      <c r="AF228" s="55">
        <f>SUM(B228:AE228)</f>
        <v>80</v>
      </c>
    </row>
    <row r="229" spans="1:37" s="55" customFormat="1" ht="12.75" hidden="1" customHeight="1" x14ac:dyDescent="0.2">
      <c r="A229" s="55" t="s">
        <v>104</v>
      </c>
      <c r="B229" s="55">
        <f>IF(B194=2,B214,0)</f>
        <v>0</v>
      </c>
      <c r="D229" s="60">
        <f>IF(D194=2,B214,0)</f>
        <v>0</v>
      </c>
      <c r="E229" s="55">
        <f>IF(E194=2,E214,0)</f>
        <v>52</v>
      </c>
      <c r="G229" s="60">
        <f>IF(G194=2,E214,0)</f>
        <v>0</v>
      </c>
      <c r="H229" s="55">
        <f>IF(H194=2,H214,0)</f>
        <v>0</v>
      </c>
      <c r="J229" s="60">
        <f>IF(J194=2,H214,0)</f>
        <v>54</v>
      </c>
      <c r="K229" s="55">
        <f>IF(K194=2,K214,0)</f>
        <v>0</v>
      </c>
      <c r="M229" s="60">
        <f>IF(M194=2,K214,0)</f>
        <v>0</v>
      </c>
      <c r="N229" s="55">
        <f>IF(N194=2,N214,0)</f>
        <v>0</v>
      </c>
      <c r="P229" s="60">
        <f>IF(P194=2,N214,0)</f>
        <v>0</v>
      </c>
      <c r="Q229" s="55">
        <f>IF(Q194=2,Q214,0)</f>
        <v>0</v>
      </c>
      <c r="S229" s="60">
        <f>IF(S194=2,Q214,0)</f>
        <v>0</v>
      </c>
      <c r="T229" s="55">
        <f>IF(T194=2,T214,0)</f>
        <v>0</v>
      </c>
      <c r="V229" s="60">
        <f>IF(V194=2,T214,0)</f>
        <v>0</v>
      </c>
      <c r="W229" s="55">
        <f>IF(W194=2,W214,0)</f>
        <v>0</v>
      </c>
      <c r="Y229" s="60">
        <f>IF(Y194=2,W214,0)</f>
        <v>0</v>
      </c>
      <c r="Z229" s="55">
        <f>IF(Z194=2,Z214,0)</f>
        <v>0</v>
      </c>
      <c r="AB229" s="60">
        <f>IF(AB194=2,Z214,0)</f>
        <v>0</v>
      </c>
      <c r="AC229" s="55">
        <f>IF(AC194=2,AC214,0)</f>
        <v>0</v>
      </c>
      <c r="AE229" s="60">
        <f>IF(AE194=2,AC214,0)</f>
        <v>0</v>
      </c>
      <c r="AF229" s="55">
        <f>SUM(B229:AE229)</f>
        <v>106</v>
      </c>
    </row>
    <row r="230" spans="1:37" s="55" customFormat="1" ht="12.75" hidden="1" customHeight="1" x14ac:dyDescent="0.2">
      <c r="A230" s="55" t="s">
        <v>105</v>
      </c>
      <c r="B230" s="55">
        <f>IF(B194=3,B214,0)</f>
        <v>0</v>
      </c>
      <c r="D230" s="60">
        <f>IF(D194=3,B214,0)</f>
        <v>26</v>
      </c>
      <c r="E230" s="55">
        <f>IF(E194=3,E214,0)</f>
        <v>0</v>
      </c>
      <c r="G230" s="60">
        <f>IF(G194=3,E214,0)</f>
        <v>52</v>
      </c>
      <c r="H230" s="55">
        <f>IF(H194=3,H214,0)</f>
        <v>0</v>
      </c>
      <c r="J230" s="60">
        <f>IF(J194=3,H214,0)</f>
        <v>0</v>
      </c>
      <c r="K230" s="55">
        <f>IF(K194=3,K214,0)</f>
        <v>0</v>
      </c>
      <c r="M230" s="60">
        <f>IF(M194=3,K214,0)</f>
        <v>0</v>
      </c>
      <c r="N230" s="55">
        <f>IF(N194=3,N214,0)</f>
        <v>0</v>
      </c>
      <c r="P230" s="60">
        <f>IF(P194=3,N214,0)</f>
        <v>0</v>
      </c>
      <c r="Q230" s="55">
        <f>IF(Q194=3,Q214,0)</f>
        <v>0</v>
      </c>
      <c r="S230" s="60">
        <f>IF(S194=3,Q214,0)</f>
        <v>0</v>
      </c>
      <c r="T230" s="55">
        <f>IF(T194=3,T214,0)</f>
        <v>0</v>
      </c>
      <c r="V230" s="60">
        <f>IF(V194=3,T214,0)</f>
        <v>0</v>
      </c>
      <c r="W230" s="55">
        <f>IF(W194=3,W214,0)</f>
        <v>0</v>
      </c>
      <c r="Y230" s="60">
        <f>IF(Y194=3,W214,0)</f>
        <v>0</v>
      </c>
      <c r="Z230" s="55">
        <f>IF(Z194=3,Z214,0)</f>
        <v>0</v>
      </c>
      <c r="AB230" s="60">
        <f>IF(AB194=3,Z214,0)</f>
        <v>0</v>
      </c>
      <c r="AC230" s="55">
        <f>IF(AC194=3,AC214,0)</f>
        <v>0</v>
      </c>
      <c r="AE230" s="60">
        <f>IF(AE194=3,AC214,0)</f>
        <v>0</v>
      </c>
      <c r="AF230" s="55">
        <f>SUM(B230:AE230)</f>
        <v>78</v>
      </c>
    </row>
    <row r="231" spans="1:37" s="55" customFormat="1" ht="12.75" hidden="1" customHeight="1" x14ac:dyDescent="0.2">
      <c r="A231" s="55" t="s">
        <v>106</v>
      </c>
      <c r="B231" s="55">
        <f>IF(B194=4,B214,0)</f>
        <v>0</v>
      </c>
      <c r="D231" s="60">
        <f>IF(D194=4,B214,0)</f>
        <v>0</v>
      </c>
      <c r="E231" s="55">
        <f>IF(E194=4,E214,0)</f>
        <v>0</v>
      </c>
      <c r="G231" s="60">
        <f>IF(G194=4,E214,0)</f>
        <v>0</v>
      </c>
      <c r="H231" s="55">
        <f>IF(H194=4,H214,0)</f>
        <v>0</v>
      </c>
      <c r="J231" s="60">
        <f>IF(J194=4,H214,0)</f>
        <v>0</v>
      </c>
      <c r="K231" s="55">
        <f>IF(K194=4,K214,0)</f>
        <v>0</v>
      </c>
      <c r="M231" s="60">
        <f>IF(M194=4,K214,0)</f>
        <v>0</v>
      </c>
      <c r="N231" s="55">
        <f>IF(N194=4,N214,0)</f>
        <v>0</v>
      </c>
      <c r="P231" s="60">
        <f>IF(P194=4,N214,0)</f>
        <v>0</v>
      </c>
      <c r="Q231" s="55">
        <f>IF(Q194=4,Q214,0)</f>
        <v>0</v>
      </c>
      <c r="S231" s="60">
        <f>IF(S194=4,Q214,0)</f>
        <v>0</v>
      </c>
      <c r="T231" s="55">
        <f>IF(T194=4,T214,0)</f>
        <v>0</v>
      </c>
      <c r="V231" s="60">
        <f>IF(V194=4,T214,0)</f>
        <v>0</v>
      </c>
      <c r="W231" s="55">
        <f>IF(W194=4,W214,0)</f>
        <v>0</v>
      </c>
      <c r="Y231" s="60">
        <f>IF(Y194=4,W214,0)</f>
        <v>0</v>
      </c>
      <c r="Z231" s="55">
        <f>IF(Z194=4,Z214,0)</f>
        <v>0</v>
      </c>
      <c r="AB231" s="60">
        <f>IF(AB194=4,Z214,0)</f>
        <v>0</v>
      </c>
      <c r="AC231" s="55">
        <f>IF(AC194=4,AC214,0)</f>
        <v>0</v>
      </c>
      <c r="AE231" s="60">
        <f>IF(AE194=4,AC214,0)</f>
        <v>0</v>
      </c>
      <c r="AF231" s="55">
        <f>SUM(B231:AE231)</f>
        <v>0</v>
      </c>
    </row>
    <row r="232" spans="1:37" s="55" customFormat="1" ht="12.75" hidden="1" customHeight="1" x14ac:dyDescent="0.2">
      <c r="A232" s="55" t="s">
        <v>107</v>
      </c>
      <c r="B232" s="55">
        <f>IF(B194=5,B214,0)</f>
        <v>0</v>
      </c>
      <c r="D232" s="60">
        <f>IF(D194=5,B214,0)</f>
        <v>0</v>
      </c>
      <c r="E232" s="55">
        <f>IF(E194=5,E214,0)</f>
        <v>0</v>
      </c>
      <c r="G232" s="60">
        <f>IF(G194=5,E214,0)</f>
        <v>0</v>
      </c>
      <c r="H232" s="55">
        <f>IF(H194=5,H214,0)</f>
        <v>0</v>
      </c>
      <c r="J232" s="60">
        <f>IF(J194=5,H214,0)</f>
        <v>0</v>
      </c>
      <c r="K232" s="55">
        <f>IF(K194=5,K214,0)</f>
        <v>0</v>
      </c>
      <c r="M232" s="60">
        <f>IF(M194=5,K214,0)</f>
        <v>0</v>
      </c>
      <c r="N232" s="55">
        <f>IF(N194=5,N214,0)</f>
        <v>0</v>
      </c>
      <c r="P232" s="60">
        <f>IF(P194=5,N214,0)</f>
        <v>0</v>
      </c>
      <c r="Q232" s="55">
        <f>IF(Q194=5,Q214,0)</f>
        <v>0</v>
      </c>
      <c r="S232" s="60">
        <f>IF(S194=5,Q214,0)</f>
        <v>0</v>
      </c>
      <c r="T232" s="55">
        <f>IF(T194=5,T214,0)</f>
        <v>0</v>
      </c>
      <c r="V232" s="60">
        <f>IF(V194=5,T214,0)</f>
        <v>0</v>
      </c>
      <c r="W232" s="55">
        <f>IF(W194=5,W214,0)</f>
        <v>0</v>
      </c>
      <c r="Y232" s="60">
        <f>IF(Y194=5,W214,0)</f>
        <v>0</v>
      </c>
      <c r="Z232" s="55">
        <f>IF(Z194=5,Z214,0)</f>
        <v>0</v>
      </c>
      <c r="AB232" s="60">
        <f>IF(AB194=5,Z214,0)</f>
        <v>0</v>
      </c>
      <c r="AC232" s="55">
        <f>IF(AC194=5,AC214,0)</f>
        <v>0</v>
      </c>
      <c r="AE232" s="60">
        <f>IF(AE194=5,AC214,0)</f>
        <v>0</v>
      </c>
      <c r="AF232" s="55">
        <f>SUM(B232:AE232)</f>
        <v>0</v>
      </c>
    </row>
    <row r="233" spans="1:37" s="55" customFormat="1" ht="38.25" hidden="1" customHeight="1" x14ac:dyDescent="0.2">
      <c r="A233" s="55" t="s">
        <v>109</v>
      </c>
      <c r="D233" s="60"/>
      <c r="G233" s="60"/>
      <c r="J233" s="60"/>
      <c r="M233" s="60"/>
      <c r="P233" s="60"/>
      <c r="S233" s="60"/>
      <c r="V233" s="60"/>
      <c r="Y233" s="60"/>
      <c r="AB233" s="60"/>
      <c r="AE233" s="60"/>
      <c r="AF233" s="59" t="s">
        <v>110</v>
      </c>
      <c r="AG233" s="55" t="s">
        <v>111</v>
      </c>
    </row>
    <row r="234" spans="1:37" s="55" customFormat="1" ht="12.75" hidden="1" customHeight="1" x14ac:dyDescent="0.2">
      <c r="A234" s="55" t="s">
        <v>97</v>
      </c>
      <c r="B234" s="55">
        <f>IF(B194=1,SUMIF(B201:B205,"&gt;0"),0)</f>
        <v>0</v>
      </c>
      <c r="D234" s="60">
        <f>IF(D194=1,SUMIF(D201:D205,"&gt;0"),0)</f>
        <v>0</v>
      </c>
      <c r="E234" s="55">
        <f>IF(E194=1,SUMIF(E201:E205,"&gt;0"),0)</f>
        <v>0</v>
      </c>
      <c r="G234" s="60">
        <f>IF(G194=1,SUMIF(G201:G205,"&gt;0"),0)</f>
        <v>0</v>
      </c>
      <c r="H234" s="55">
        <f>IF(H194=1,SUMIF(H201:H205,"&gt;0"),0)</f>
        <v>2</v>
      </c>
      <c r="J234" s="60">
        <f>IF(J194=1,SUMIF(J201:J205,"&gt;0"),0)</f>
        <v>0</v>
      </c>
      <c r="K234" s="55">
        <f>IF(K194=1,SUMIF(K201:K205,"&gt;0"),0)</f>
        <v>0</v>
      </c>
      <c r="M234" s="60">
        <f>IF(M194=1,SUMIF(M201:M205,"&gt;0"),0)</f>
        <v>0</v>
      </c>
      <c r="N234" s="55">
        <f>IF(N194=1,SUMIF(N201:N205,"&gt;0"),0)</f>
        <v>0</v>
      </c>
      <c r="P234" s="60">
        <f>IF(P194=1,SUMIF(P201:P205,"&gt;0"),0)</f>
        <v>0</v>
      </c>
      <c r="Q234" s="55">
        <f>IF(Q194=1,SUMIF(Q201:Q205,"&gt;0"),0)</f>
        <v>0</v>
      </c>
      <c r="S234" s="60">
        <f>IF(S194=1,SUMIF(S201:S205,"&gt;0"),0)</f>
        <v>0</v>
      </c>
      <c r="T234" s="55">
        <f>IF(T194=1,SUMIF(T201:T205,"&gt;0"),0)</f>
        <v>0</v>
      </c>
      <c r="V234" s="60">
        <f>IF(V194=1,SUMIF(V201:V205,"&gt;0"),0)</f>
        <v>0</v>
      </c>
      <c r="W234" s="55">
        <f>IF(W194=1,SUMIF(W201:W205,"&gt;0"),0)</f>
        <v>0</v>
      </c>
      <c r="Y234" s="60">
        <f>IF(Y194=1,SUMIF(Y201:Y205,"&gt;0"),0)</f>
        <v>0</v>
      </c>
      <c r="Z234" s="55">
        <f>IF(Z194=1,SUMIF(Z201:Z205,"&gt;0"),0)</f>
        <v>0</v>
      </c>
      <c r="AB234" s="60">
        <f>IF(AB194=1,SUMIF(AB201:AB205,"&gt;0"),0)</f>
        <v>0</v>
      </c>
      <c r="AC234" s="55">
        <f>IF(AC194=1,SUMIF(AC201:AC205,"&gt;0"),0)</f>
        <v>0</v>
      </c>
      <c r="AE234" s="60">
        <f>IF(AE194=1,SUMIF(AE201:AE205,"&gt;0"),0)</f>
        <v>0</v>
      </c>
      <c r="AF234" s="55">
        <f>SUM(B234:AE234)</f>
        <v>2</v>
      </c>
      <c r="AG234" s="55">
        <f>AF242-AF234</f>
        <v>1</v>
      </c>
    </row>
    <row r="235" spans="1:37" s="55" customFormat="1" ht="12.75" hidden="1" customHeight="1" x14ac:dyDescent="0.2">
      <c r="A235" s="55" t="s">
        <v>98</v>
      </c>
      <c r="B235" s="55">
        <f>IF(B194=2,SUMIF(B201:B205,"&gt;0"),0)</f>
        <v>0</v>
      </c>
      <c r="D235" s="60">
        <f>IF(D194=2,SUMIF(D201:D205,"&gt;0"),0)</f>
        <v>0</v>
      </c>
      <c r="E235" s="55">
        <f>IF(E194=2,SUMIF(E201:E205,"&gt;0"),0)</f>
        <v>0</v>
      </c>
      <c r="G235" s="60">
        <f>IF(G194=2,SUMIF(G201:G205,"&gt;0"),0)</f>
        <v>0</v>
      </c>
      <c r="H235" s="55">
        <f>IF(H194=2,SUMIF(H201:H205,"&gt;0"),0)</f>
        <v>0</v>
      </c>
      <c r="J235" s="60">
        <f>IF(J194=2,SUMIF(J201:J205,"&gt;0"),0)</f>
        <v>0</v>
      </c>
      <c r="K235" s="55">
        <f>IF(K194=2,SUMIF(K201:K205,"&gt;0"),0)</f>
        <v>0</v>
      </c>
      <c r="M235" s="60">
        <f>IF(M194=2,SUMIF(M201:M205,"&gt;0"),0)</f>
        <v>0</v>
      </c>
      <c r="N235" s="55">
        <f>IF(N194=2,SUMIF(N201:N205,"&gt;0"),0)</f>
        <v>0</v>
      </c>
      <c r="P235" s="60">
        <f>IF(P194=2,SUMIF(P201:P205,"&gt;0"),0)</f>
        <v>0</v>
      </c>
      <c r="Q235" s="55">
        <f>IF(Q194=2,SUMIF(Q201:Q205,"&gt;0"),0)</f>
        <v>0</v>
      </c>
      <c r="S235" s="60">
        <f>IF(S194=2,SUMIF(S201:S205,"&gt;0"),0)</f>
        <v>0</v>
      </c>
      <c r="T235" s="55">
        <f>IF(T194=2,SUMIF(T201:T205,"&gt;0"),0)</f>
        <v>0</v>
      </c>
      <c r="V235" s="60">
        <f>IF(V194=2,SUMIF(V201:V205,"&gt;0"),0)</f>
        <v>0</v>
      </c>
      <c r="W235" s="55">
        <f>IF(W194=2,SUMIF(W201:W205,"&gt;0"),0)</f>
        <v>0</v>
      </c>
      <c r="Y235" s="60">
        <f>IF(Y194=2,SUMIF(Y201:Y205,"&gt;0"),0)</f>
        <v>0</v>
      </c>
      <c r="Z235" s="55">
        <f>IF(Z194=2,SUMIF(Z201:Z205,"&gt;0"),0)</f>
        <v>0</v>
      </c>
      <c r="AB235" s="60">
        <f>IF(AB194=2,SUMIF(AB201:AB205,"&gt;0"),0)</f>
        <v>0</v>
      </c>
      <c r="AC235" s="55">
        <f>IF(AC194=2,SUMIF(AC201:AC205,"&gt;0"),0)</f>
        <v>0</v>
      </c>
      <c r="AE235" s="60">
        <f>IF(AE194=2,SUMIF(AE201:AE205,"&gt;0"),0)</f>
        <v>0</v>
      </c>
      <c r="AF235" s="55">
        <f>SUM(B235:AE235)</f>
        <v>0</v>
      </c>
      <c r="AG235" s="55">
        <f>AF243-AF235</f>
        <v>4</v>
      </c>
    </row>
    <row r="236" spans="1:37" s="55" customFormat="1" ht="12.75" hidden="1" customHeight="1" x14ac:dyDescent="0.2">
      <c r="A236" s="55" t="s">
        <v>99</v>
      </c>
      <c r="B236" s="55">
        <f>IF(B194=3,SUMIF(B201:B205,"&gt;0"),0)</f>
        <v>0</v>
      </c>
      <c r="D236" s="60">
        <f>IF(D194=3,SUMIF(D201:D205,"&gt;0"),0)</f>
        <v>1</v>
      </c>
      <c r="E236" s="55">
        <f>IF(E194=3,SUMIF(E201:E205,"&gt;0"),0)</f>
        <v>0</v>
      </c>
      <c r="G236" s="60">
        <f>IF(G194=3,SUMIF(G201:G205,"&gt;0"),0)</f>
        <v>2</v>
      </c>
      <c r="H236" s="55">
        <f>IF(H194=3,SUMIF(H201:H205,"&gt;0"),0)</f>
        <v>0</v>
      </c>
      <c r="J236" s="60">
        <f>IF(J194=3,SUMIF(J201:J205,"&gt;0"),0)</f>
        <v>0</v>
      </c>
      <c r="K236" s="55">
        <f>IF(K194=3,SUMIF(K201:K205,"&gt;0"),0)</f>
        <v>0</v>
      </c>
      <c r="M236" s="60">
        <f>IF(M194=3,SUMIF(M201:M205,"&gt;0"),0)</f>
        <v>0</v>
      </c>
      <c r="N236" s="55">
        <f>IF(N194=3,SUMIF(N201:N205,"&gt;0"),0)</f>
        <v>0</v>
      </c>
      <c r="P236" s="60">
        <f>IF(P194=3,SUMIF(P201:P205,"&gt;0"),0)</f>
        <v>0</v>
      </c>
      <c r="Q236" s="55">
        <f>IF(Q194=3,SUMIF(Q201:Q205,"&gt;0"),0)</f>
        <v>0</v>
      </c>
      <c r="S236" s="60">
        <f>IF(S194=3,SUMIF(S201:S205,"&gt;0"),0)</f>
        <v>0</v>
      </c>
      <c r="T236" s="55">
        <f>IF(T194=3,SUMIF(T201:T205,"&gt;0"),0)</f>
        <v>0</v>
      </c>
      <c r="V236" s="60">
        <f>IF(V194=3,SUMIF(V201:V205,"&gt;0"),0)</f>
        <v>0</v>
      </c>
      <c r="W236" s="55">
        <f>IF(W194=3,SUMIF(W201:W205,"&gt;0"),0)</f>
        <v>0</v>
      </c>
      <c r="Y236" s="60">
        <f>IF(Y194=3,SUMIF(Y201:Y205,"&gt;0"),0)</f>
        <v>0</v>
      </c>
      <c r="Z236" s="55">
        <f>IF(Z194=3,SUMIF(Z201:Z205,"&gt;0"),0)</f>
        <v>0</v>
      </c>
      <c r="AB236" s="60">
        <f>IF(AB194=3,SUMIF(AB201:AB205,"&gt;0"),0)</f>
        <v>0</v>
      </c>
      <c r="AC236" s="55">
        <f>IF(AC194=3,SUMIF(AC201:AC205,"&gt;0"),0)</f>
        <v>0</v>
      </c>
      <c r="AE236" s="60">
        <f>IF(AE194=3,SUMIF(AE201:AE205,"&gt;0"),0)</f>
        <v>0</v>
      </c>
      <c r="AF236" s="55">
        <f>SUM(B236:AE236)</f>
        <v>3</v>
      </c>
      <c r="AG236" s="55">
        <f>AF244-AF236</f>
        <v>0</v>
      </c>
    </row>
    <row r="237" spans="1:37" s="55" customFormat="1" ht="12.75" hidden="1" customHeight="1" x14ac:dyDescent="0.2">
      <c r="A237" s="55" t="s">
        <v>100</v>
      </c>
      <c r="B237" s="55">
        <f>IF(B194=4,SUMIF(B201:B205,"&gt;0"),0)</f>
        <v>0</v>
      </c>
      <c r="D237" s="60">
        <f>IF(D194=4,SUMIF(D201:D205,"&gt;0"),0)</f>
        <v>0</v>
      </c>
      <c r="E237" s="55">
        <f>IF(E194=4,SUMIF(E201:E205,"&gt;0"),0)</f>
        <v>0</v>
      </c>
      <c r="G237" s="60">
        <f>IF(G194=4,SUMIF(G201:G205,"&gt;0"),0)</f>
        <v>0</v>
      </c>
      <c r="H237" s="55">
        <f>IF(H194=4,SUMIF(H201:H205,"&gt;0"),0)</f>
        <v>0</v>
      </c>
      <c r="J237" s="60">
        <f>IF(J194=4,SUMIF(J201:J205,"&gt;0"),0)</f>
        <v>0</v>
      </c>
      <c r="K237" s="55">
        <f>IF(K194=4,SUMIF(K201:K205,"&gt;0"),0)</f>
        <v>0</v>
      </c>
      <c r="M237" s="60">
        <f>IF(M194=4,SUMIF(M201:M205,"&gt;0"),0)</f>
        <v>0</v>
      </c>
      <c r="N237" s="55">
        <f>IF(N194=4,SUMIF(N201:N205,"&gt;0"),0)</f>
        <v>0</v>
      </c>
      <c r="P237" s="60">
        <f>IF(P194=4,SUMIF(P201:P205,"&gt;0"),0)</f>
        <v>0</v>
      </c>
      <c r="Q237" s="55">
        <f>IF(Q194=4,SUMIF(Q201:Q205,"&gt;0"),0)</f>
        <v>0</v>
      </c>
      <c r="S237" s="60">
        <f>IF(S194=4,SUMIF(S201:S205,"&gt;0"),0)</f>
        <v>0</v>
      </c>
      <c r="T237" s="55">
        <f>IF(T194=4,SUMIF(T201:T205,"&gt;0"),0)</f>
        <v>0</v>
      </c>
      <c r="V237" s="60">
        <f>IF(V194=4,SUMIF(V201:V205,"&gt;0"),0)</f>
        <v>0</v>
      </c>
      <c r="W237" s="55">
        <f>IF(W194=4,SUMIF(W201:W205,"&gt;0"),0)</f>
        <v>0</v>
      </c>
      <c r="Y237" s="60">
        <f>IF(Y194=4,SUMIF(Y201:Y205,"&gt;0"),0)</f>
        <v>0</v>
      </c>
      <c r="Z237" s="55">
        <f>IF(Z194=4,SUMIF(Z201:Z205,"&gt;0"),0)</f>
        <v>0</v>
      </c>
      <c r="AB237" s="60">
        <f>IF(AB194=4,SUMIF(AB201:AB205,"&gt;0"),0)</f>
        <v>0</v>
      </c>
      <c r="AC237" s="55">
        <f>IF(AC194=4,SUMIF(AC201:AC205,"&gt;0"),0)</f>
        <v>0</v>
      </c>
      <c r="AE237" s="60">
        <f>IF(AE194=4,SUMIF(AE201:AE205,"&gt;0"),0)</f>
        <v>0</v>
      </c>
      <c r="AF237" s="55">
        <f>SUM(B237:AE237)</f>
        <v>0</v>
      </c>
      <c r="AG237" s="55">
        <f>AF245-AF237</f>
        <v>0</v>
      </c>
    </row>
    <row r="238" spans="1:37" s="55" customFormat="1" ht="12.75" hidden="1" customHeight="1" x14ac:dyDescent="0.2">
      <c r="A238" s="55" t="s">
        <v>101</v>
      </c>
      <c r="B238" s="55">
        <f>IF(B194=5,SUMIF(B201:B205,"&gt;0"),0)</f>
        <v>0</v>
      </c>
      <c r="D238" s="60">
        <f>IF(D194=5,SUMIF(D201:D205,"&gt;0"),0)</f>
        <v>0</v>
      </c>
      <c r="E238" s="55">
        <f>IF(E194=5,SUMIF(E201:E205,"&gt;0"),0)</f>
        <v>0</v>
      </c>
      <c r="G238" s="60">
        <f>IF(G194=5,SUMIF(G201:G205,"&gt;0"),0)</f>
        <v>0</v>
      </c>
      <c r="H238" s="55">
        <f>IF(H194=5,SUMIF(H201:H205,"&gt;0"),0)</f>
        <v>0</v>
      </c>
      <c r="J238" s="60">
        <f>IF(J194=5,SUMIF(J201:J205,"&gt;0"),0)</f>
        <v>0</v>
      </c>
      <c r="K238" s="55">
        <f>IF(K194=5,SUMIF(K201:K205,"&gt;0"),0)</f>
        <v>0</v>
      </c>
      <c r="M238" s="60">
        <f>IF(M194=5,SUMIF(M201:M205,"&gt;0"),0)</f>
        <v>0</v>
      </c>
      <c r="N238" s="55">
        <f>IF(N194=5,SUMIF(N201:N205,"&gt;0"),0)</f>
        <v>0</v>
      </c>
      <c r="P238" s="60">
        <f>IF(P194=5,SUMIF(P201:P205,"&gt;0"),0)</f>
        <v>0</v>
      </c>
      <c r="Q238" s="55">
        <f>IF(Q194=5,SUMIF(Q201:Q205,"&gt;0"),0)</f>
        <v>0</v>
      </c>
      <c r="S238" s="60">
        <f>IF(S194=5,SUMIF(S201:S205,"&gt;0"),0)</f>
        <v>0</v>
      </c>
      <c r="T238" s="55">
        <f>IF(T194=5,SUMIF(T201:T205,"&gt;0"),0)</f>
        <v>0</v>
      </c>
      <c r="V238" s="60">
        <f>IF(V194=5,SUMIF(V201:V205,"&gt;0"),0)</f>
        <v>0</v>
      </c>
      <c r="W238" s="55">
        <f>IF(W194=5,SUMIF(W201:W205,"&gt;0"),0)</f>
        <v>0</v>
      </c>
      <c r="Y238" s="60">
        <f>IF(Y194=5,SUMIF(Y201:Y205,"&gt;0"),0)</f>
        <v>0</v>
      </c>
      <c r="Z238" s="55">
        <f>IF(Z194=5,SUMIF(Z201:Z205,"&gt;0"),0)</f>
        <v>0</v>
      </c>
      <c r="AB238" s="60">
        <f>IF(AB194=5,SUMIF(AB201:AB205,"&gt;0"),0)</f>
        <v>0</v>
      </c>
      <c r="AC238" s="55">
        <f>IF(AC194=5,SUMIF(AC201:AC205,"&gt;0"),0)</f>
        <v>0</v>
      </c>
      <c r="AE238" s="60">
        <f>IF(AE194=5,SUMIF(AE201:AE205,"&gt;0"),0)</f>
        <v>0</v>
      </c>
      <c r="AF238" s="55">
        <f>SUM(B238:AE238)</f>
        <v>0</v>
      </c>
      <c r="AG238" s="55">
        <f>AF246-AF238</f>
        <v>0</v>
      </c>
    </row>
    <row r="239" spans="1:37" s="55" customFormat="1" ht="12.75" hidden="1" customHeight="1" x14ac:dyDescent="0.2">
      <c r="D239" s="60"/>
      <c r="G239" s="60"/>
      <c r="J239" s="60"/>
      <c r="M239" s="60"/>
      <c r="P239" s="60"/>
      <c r="S239" s="60"/>
      <c r="V239" s="60"/>
      <c r="Y239" s="60"/>
      <c r="AB239" s="60"/>
      <c r="AE239" s="60"/>
    </row>
    <row r="240" spans="1:37" s="55" customFormat="1" ht="12.75" hidden="1" customHeight="1" x14ac:dyDescent="0.2">
      <c r="D240" s="60"/>
      <c r="G240" s="60"/>
      <c r="J240" s="60"/>
      <c r="M240" s="60"/>
      <c r="P240" s="60"/>
      <c r="S240" s="60"/>
      <c r="V240" s="60"/>
      <c r="Y240" s="60"/>
      <c r="AB240" s="60"/>
      <c r="AE240" s="60"/>
    </row>
    <row r="241" spans="1:49" s="55" customFormat="1" ht="51" hidden="1" customHeight="1" x14ac:dyDescent="0.2">
      <c r="A241" s="59" t="s">
        <v>112</v>
      </c>
      <c r="C241" s="55">
        <f>SUMIF(B234:D238,"&gt;0")</f>
        <v>1</v>
      </c>
      <c r="D241" s="60"/>
      <c r="F241" s="55">
        <f>SUMIF(E234:G238,"&gt;0")</f>
        <v>2</v>
      </c>
      <c r="G241" s="60"/>
      <c r="I241" s="55">
        <f>SUMIF(H234:J238,"&gt;0")</f>
        <v>2</v>
      </c>
      <c r="J241" s="60"/>
      <c r="L241" s="55">
        <f>SUMIF(K234:M238,"&gt;0")</f>
        <v>0</v>
      </c>
      <c r="M241" s="60"/>
      <c r="O241" s="55">
        <f>SUMIF(N234:P238,"&gt;0")</f>
        <v>0</v>
      </c>
      <c r="P241" s="60"/>
      <c r="R241" s="55">
        <f>SUMIF(Q234:S238,"&gt;0")</f>
        <v>0</v>
      </c>
      <c r="S241" s="60"/>
      <c r="U241" s="55">
        <f>SUMIF(T234:V238,"&gt;0")</f>
        <v>0</v>
      </c>
      <c r="V241" s="60"/>
      <c r="X241" s="55">
        <f>SUMIF(W234:Y238,"&gt;0")</f>
        <v>0</v>
      </c>
      <c r="Y241" s="60"/>
      <c r="AA241" s="55">
        <f>SUMIF(Z234:AB238,"&gt;0")</f>
        <v>0</v>
      </c>
      <c r="AB241" s="60"/>
      <c r="AD241" s="55">
        <f>SUMIF(AC234:AE238,"&gt;0")</f>
        <v>0</v>
      </c>
      <c r="AE241" s="60"/>
      <c r="AF241" s="59" t="s">
        <v>113</v>
      </c>
    </row>
    <row r="242" spans="1:49" s="55" customFormat="1" ht="12.75" hidden="1" customHeight="1" x14ac:dyDescent="0.2">
      <c r="A242" s="55" t="s">
        <v>103</v>
      </c>
      <c r="B242" s="55">
        <f>IF(B194=1,C241,0)</f>
        <v>1</v>
      </c>
      <c r="D242" s="60">
        <f>IF(D194=1,C241,0)</f>
        <v>0</v>
      </c>
      <c r="E242" s="55">
        <f>IF(E194=1,F241,0)</f>
        <v>0</v>
      </c>
      <c r="G242" s="60">
        <f>IF(G194=1,F241,0)</f>
        <v>0</v>
      </c>
      <c r="H242" s="55">
        <f>IF(H194=1,I241,0)</f>
        <v>2</v>
      </c>
      <c r="J242" s="60">
        <f>IF(J194=1,I241,0)</f>
        <v>0</v>
      </c>
      <c r="K242" s="55">
        <f>IF(K194=1,L241,0)</f>
        <v>0</v>
      </c>
      <c r="M242" s="60">
        <f>IF(M194=1,L241,0)</f>
        <v>0</v>
      </c>
      <c r="N242" s="55">
        <f>IF(N194=1,O241,0)</f>
        <v>0</v>
      </c>
      <c r="P242" s="60">
        <f>IF(P194=1,O241,0)</f>
        <v>0</v>
      </c>
      <c r="Q242" s="55">
        <f>IF(Q194=1,R241,0)</f>
        <v>0</v>
      </c>
      <c r="S242" s="60">
        <f>IF(S194=1,R241,0)</f>
        <v>0</v>
      </c>
      <c r="T242" s="55">
        <f>IF(T194=1,U241,0)</f>
        <v>0</v>
      </c>
      <c r="V242" s="60">
        <f>IF(V194=1,U241,0)</f>
        <v>0</v>
      </c>
      <c r="W242" s="55">
        <f>IF(W194=1,X241,0)</f>
        <v>0</v>
      </c>
      <c r="Y242" s="60">
        <f>IF(Y194=1,X241,0)</f>
        <v>0</v>
      </c>
      <c r="Z242" s="55">
        <f>IF(Z194=1,AA241,0)</f>
        <v>0</v>
      </c>
      <c r="AB242" s="60">
        <f>IF(AB194=1,AA241,0)</f>
        <v>0</v>
      </c>
      <c r="AC242" s="55">
        <f>IF(AC194=1,AD241,0)</f>
        <v>0</v>
      </c>
      <c r="AE242" s="60">
        <f>IF(AE194=1,AD241,0)</f>
        <v>0</v>
      </c>
      <c r="AF242" s="55">
        <f>SUM(B242:AE242)</f>
        <v>3</v>
      </c>
    </row>
    <row r="243" spans="1:49" s="55" customFormat="1" ht="12.75" hidden="1" customHeight="1" x14ac:dyDescent="0.2">
      <c r="A243" s="55" t="s">
        <v>104</v>
      </c>
      <c r="B243" s="55">
        <f>IF(B194=2,C241,0)</f>
        <v>0</v>
      </c>
      <c r="D243" s="60">
        <f>IF(D194=2,C241,0)</f>
        <v>0</v>
      </c>
      <c r="E243" s="55">
        <f>IF(E194=2,F241,0)</f>
        <v>2</v>
      </c>
      <c r="G243" s="60">
        <f>IF(G194=2,F241,0)</f>
        <v>0</v>
      </c>
      <c r="H243" s="55">
        <f>IF(H194=2,I241,0)</f>
        <v>0</v>
      </c>
      <c r="J243" s="60">
        <f>IF(J194=2,I241,0)</f>
        <v>2</v>
      </c>
      <c r="K243" s="55">
        <f>IF(K194=2,L241,0)</f>
        <v>0</v>
      </c>
      <c r="M243" s="60">
        <f>IF(M194=2,L241,0)</f>
        <v>0</v>
      </c>
      <c r="N243" s="55">
        <f>IF(N194=2,O241,0)</f>
        <v>0</v>
      </c>
      <c r="P243" s="60">
        <f>IF(P194=2,O241,0)</f>
        <v>0</v>
      </c>
      <c r="Q243" s="55">
        <f>IF(Q194=2,R241,0)</f>
        <v>0</v>
      </c>
      <c r="S243" s="60">
        <f>IF(S194=2,R241,0)</f>
        <v>0</v>
      </c>
      <c r="T243" s="55">
        <f>IF(T194=2,U241,0)</f>
        <v>0</v>
      </c>
      <c r="V243" s="60">
        <f>IF(V194=2,U241,0)</f>
        <v>0</v>
      </c>
      <c r="W243" s="55">
        <f>IF(W194=2,X241,0)</f>
        <v>0</v>
      </c>
      <c r="Y243" s="60">
        <f>IF(Y194=2,X241,0)</f>
        <v>0</v>
      </c>
      <c r="Z243" s="55">
        <f>IF(Z194=2,AA241,0)</f>
        <v>0</v>
      </c>
      <c r="AB243" s="60">
        <f>IF(AB194=2,AA241,0)</f>
        <v>0</v>
      </c>
      <c r="AC243" s="55">
        <f>IF(AC194=2,AD241,0)</f>
        <v>0</v>
      </c>
      <c r="AE243" s="60">
        <f>IF(AE194=2,AD241,0)</f>
        <v>0</v>
      </c>
      <c r="AF243" s="55">
        <f>SUM(B243:AE243)</f>
        <v>4</v>
      </c>
    </row>
    <row r="244" spans="1:49" s="55" customFormat="1" ht="12.75" hidden="1" customHeight="1" x14ac:dyDescent="0.2">
      <c r="A244" s="55" t="s">
        <v>105</v>
      </c>
      <c r="B244" s="55">
        <f>IF(B194=3,C241,0)</f>
        <v>0</v>
      </c>
      <c r="D244" s="60">
        <f>IF(D194=3,C241,0)</f>
        <v>1</v>
      </c>
      <c r="E244" s="55">
        <f>IF(E194=3,F241,0)</f>
        <v>0</v>
      </c>
      <c r="G244" s="60">
        <f>IF(G194=3,F241,0)</f>
        <v>2</v>
      </c>
      <c r="H244" s="55">
        <f>IF(H194=3,I241,0)</f>
        <v>0</v>
      </c>
      <c r="J244" s="60">
        <f>IF(J194=3,I241,0)</f>
        <v>0</v>
      </c>
      <c r="K244" s="55">
        <f>IF(K194=3,L241,0)</f>
        <v>0</v>
      </c>
      <c r="M244" s="60">
        <f>IF(M194=3,L241,0)</f>
        <v>0</v>
      </c>
      <c r="N244" s="55">
        <f>IF(N194=3,O241,0)</f>
        <v>0</v>
      </c>
      <c r="P244" s="60">
        <f>IF(P194=3,O241,0)</f>
        <v>0</v>
      </c>
      <c r="Q244" s="55">
        <f>IF(Q194=3,R241,0)</f>
        <v>0</v>
      </c>
      <c r="S244" s="60">
        <f>IF(S194=3,R241,0)</f>
        <v>0</v>
      </c>
      <c r="T244" s="55">
        <f>IF(T194=3,U241,0)</f>
        <v>0</v>
      </c>
      <c r="V244" s="60">
        <f>IF(V194=3,U241,0)</f>
        <v>0</v>
      </c>
      <c r="W244" s="55">
        <f>IF(W194=3,X241,0)</f>
        <v>0</v>
      </c>
      <c r="Y244" s="60">
        <f>IF(Y194=3,X241,0)</f>
        <v>0</v>
      </c>
      <c r="Z244" s="55">
        <f>IF(Z194=3,AA241,0)</f>
        <v>0</v>
      </c>
      <c r="AB244" s="60">
        <f>IF(AB194=3,AA241,0)</f>
        <v>0</v>
      </c>
      <c r="AC244" s="55">
        <f>IF(AC194=3,AD241,0)</f>
        <v>0</v>
      </c>
      <c r="AE244" s="60">
        <f>IF(AE194=3,AD241,0)</f>
        <v>0</v>
      </c>
      <c r="AF244" s="55">
        <f>SUM(B244:AE244)</f>
        <v>3</v>
      </c>
    </row>
    <row r="245" spans="1:49" s="55" customFormat="1" ht="12.75" hidden="1" customHeight="1" x14ac:dyDescent="0.2">
      <c r="A245" s="55" t="s">
        <v>106</v>
      </c>
      <c r="B245" s="55">
        <f>IF(B194=4,C241,0)</f>
        <v>0</v>
      </c>
      <c r="D245" s="60">
        <f>IF(D194=4,C241,0)</f>
        <v>0</v>
      </c>
      <c r="E245" s="55">
        <f>IF(E194=4,F241,0)</f>
        <v>0</v>
      </c>
      <c r="G245" s="60">
        <f>IF(G194=4,F241,0)</f>
        <v>0</v>
      </c>
      <c r="H245" s="55">
        <f>IF(H194=4,I241,0)</f>
        <v>0</v>
      </c>
      <c r="J245" s="60">
        <f>IF(J194=4,I241,0)</f>
        <v>0</v>
      </c>
      <c r="K245" s="55">
        <f>IF(K194=4,L241,0)</f>
        <v>0</v>
      </c>
      <c r="M245" s="60">
        <f>IF(M194=4,L241,0)</f>
        <v>0</v>
      </c>
      <c r="N245" s="55">
        <f>IF(N194=4,O241,0)</f>
        <v>0</v>
      </c>
      <c r="P245" s="60">
        <f>IF(P194=4,O241,0)</f>
        <v>0</v>
      </c>
      <c r="Q245" s="55">
        <f>IF(Q194=4,R241,0)</f>
        <v>0</v>
      </c>
      <c r="S245" s="60">
        <f>IF(S194=4,R241,0)</f>
        <v>0</v>
      </c>
      <c r="T245" s="55">
        <f>IF(T194=4,U241,0)</f>
        <v>0</v>
      </c>
      <c r="V245" s="60">
        <f>IF(V194=4,U241,0)</f>
        <v>0</v>
      </c>
      <c r="W245" s="55">
        <f>IF(W194=4,X241,0)</f>
        <v>0</v>
      </c>
      <c r="Y245" s="60">
        <f>IF(Y194=4,X241,0)</f>
        <v>0</v>
      </c>
      <c r="Z245" s="55">
        <f>IF(Z194=4,AA241,0)</f>
        <v>0</v>
      </c>
      <c r="AB245" s="60">
        <f>IF(AB194=4,AA241,0)</f>
        <v>0</v>
      </c>
      <c r="AC245" s="55">
        <f>IF(AC194=4,AD241,0)</f>
        <v>0</v>
      </c>
      <c r="AE245" s="60">
        <f>IF(AE194=4,AD241,0)</f>
        <v>0</v>
      </c>
      <c r="AF245" s="55">
        <f>SUM(B245:AE245)</f>
        <v>0</v>
      </c>
    </row>
    <row r="246" spans="1:49" s="55" customFormat="1" ht="12.75" hidden="1" customHeight="1" x14ac:dyDescent="0.2">
      <c r="A246" s="55" t="s">
        <v>107</v>
      </c>
      <c r="B246" s="55">
        <f>IF(B194=5,C241,0)</f>
        <v>0</v>
      </c>
      <c r="D246" s="60">
        <f>IF(D194=5,C241,0)</f>
        <v>0</v>
      </c>
      <c r="E246" s="55">
        <f>IF(E194=5,F241,0)</f>
        <v>0</v>
      </c>
      <c r="G246" s="60">
        <f>IF(G194=5,F241,0)</f>
        <v>0</v>
      </c>
      <c r="H246" s="55">
        <f>IF(H194=5,I241,0)</f>
        <v>0</v>
      </c>
      <c r="J246" s="60">
        <f>IF(J194=5,I241,0)</f>
        <v>0</v>
      </c>
      <c r="K246" s="55">
        <f>IF(K194=5,L241,0)</f>
        <v>0</v>
      </c>
      <c r="M246" s="60">
        <f>IF(M194=5,L241,0)</f>
        <v>0</v>
      </c>
      <c r="N246" s="55">
        <f>IF(N194=5,O241,0)</f>
        <v>0</v>
      </c>
      <c r="P246" s="60">
        <f>IF(P194=5,O241,0)</f>
        <v>0</v>
      </c>
      <c r="Q246" s="55">
        <f>IF(Q194=5,R241,0)</f>
        <v>0</v>
      </c>
      <c r="S246" s="60">
        <f>IF(S194=5,R241,0)</f>
        <v>0</v>
      </c>
      <c r="T246" s="55">
        <f>IF(T194=5,U241,0)</f>
        <v>0</v>
      </c>
      <c r="V246" s="60">
        <f>IF(V194=5,U241,0)</f>
        <v>0</v>
      </c>
      <c r="W246" s="55">
        <f>IF(W194=5,X241,0)</f>
        <v>0</v>
      </c>
      <c r="Y246" s="60">
        <f>IF(Y194=5,X241,0)</f>
        <v>0</v>
      </c>
      <c r="Z246" s="55">
        <f>IF(Z194=5,AA241,0)</f>
        <v>0</v>
      </c>
      <c r="AB246" s="60">
        <f>IF(AB194=5,AA241,0)</f>
        <v>0</v>
      </c>
      <c r="AC246" s="55">
        <f>IF(AC194=5,AD241,0)</f>
        <v>0</v>
      </c>
      <c r="AE246" s="60">
        <f>IF(AE194=5,AD241,0)</f>
        <v>0</v>
      </c>
      <c r="AF246" s="55">
        <f>SUM(B246:AE246)</f>
        <v>0</v>
      </c>
      <c r="AT246" s="63"/>
      <c r="AU246" s="63"/>
      <c r="AV246" s="63"/>
    </row>
    <row r="247" spans="1:49" hidden="1" x14ac:dyDescent="0.2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1"/>
      <c r="AO247" s="81"/>
      <c r="AP247" s="81"/>
      <c r="AQ247" s="81"/>
      <c r="AR247" s="63"/>
      <c r="AS247" s="63"/>
      <c r="AT247" s="63"/>
      <c r="AU247" s="63"/>
      <c r="AV247" s="63"/>
      <c r="AW247" s="130"/>
    </row>
    <row r="248" spans="1:49" s="63" customFormat="1" hidden="1" x14ac:dyDescent="0.2">
      <c r="A248" s="64"/>
      <c r="B248" s="64"/>
      <c r="C248" s="64" t="s">
        <v>114</v>
      </c>
      <c r="D248" s="64">
        <v>1</v>
      </c>
      <c r="E248" s="64"/>
      <c r="F248" s="64"/>
      <c r="G248" s="64">
        <v>2</v>
      </c>
      <c r="H248" s="64"/>
      <c r="I248" s="64"/>
      <c r="J248" s="64">
        <v>3</v>
      </c>
      <c r="K248" s="64"/>
      <c r="L248" s="64"/>
      <c r="M248" s="64">
        <v>4</v>
      </c>
      <c r="N248" s="64"/>
      <c r="O248" s="64"/>
      <c r="P248" s="64">
        <v>5</v>
      </c>
      <c r="Q248" s="64"/>
      <c r="R248" s="64"/>
      <c r="S248" s="64">
        <v>6</v>
      </c>
      <c r="T248" s="64"/>
      <c r="U248" s="64"/>
      <c r="V248" s="64">
        <v>7</v>
      </c>
      <c r="W248" s="64"/>
      <c r="X248" s="64"/>
      <c r="Y248" s="64">
        <v>8</v>
      </c>
      <c r="Z248" s="64"/>
      <c r="AA248" s="64"/>
      <c r="AB248" s="64">
        <v>9</v>
      </c>
      <c r="AC248" s="64"/>
      <c r="AD248" s="64"/>
      <c r="AE248" s="64">
        <v>10</v>
      </c>
      <c r="AF248" s="4"/>
      <c r="AG248" s="64"/>
      <c r="AI248" s="65"/>
      <c r="AJ248" s="4"/>
      <c r="AK248" s="4"/>
      <c r="AL248" s="4"/>
      <c r="AM248" s="4"/>
      <c r="AN248" s="4"/>
      <c r="AO248" s="4"/>
      <c r="AT248" s="65" t="s">
        <v>115</v>
      </c>
      <c r="AW248" s="66"/>
    </row>
    <row r="249" spans="1:49" s="63" customFormat="1" hidden="1" x14ac:dyDescent="0.2">
      <c r="A249" s="67">
        <v>1</v>
      </c>
      <c r="B249" s="67" t="str">
        <f>E178</f>
        <v>SC Midlands KP Garnet</v>
      </c>
      <c r="C249" s="67">
        <f>VLOOKUP(B249,AU$3:AW$33,3,FALSE)</f>
        <v>1166.3348618337313</v>
      </c>
      <c r="D249" s="67" t="e">
        <f>IF(B242,B257,IF(D242,D257,C249))</f>
        <v>#N/A</v>
      </c>
      <c r="E249" s="67"/>
      <c r="F249" s="67"/>
      <c r="G249" s="67" t="e">
        <f>IF(E242,E257,IF(G242,G257,D249))</f>
        <v>#N/A</v>
      </c>
      <c r="H249" s="67"/>
      <c r="I249" s="67"/>
      <c r="J249" s="67" t="e">
        <f>IF(H242,H257,IF(J242,J257,G249))</f>
        <v>#N/A</v>
      </c>
      <c r="K249" s="67"/>
      <c r="L249" s="67"/>
      <c r="M249" s="67" t="e">
        <f>IF(K242,K257,IF(M242,M257,J249))</f>
        <v>#N/A</v>
      </c>
      <c r="N249" s="67"/>
      <c r="O249" s="67"/>
      <c r="P249" s="67" t="e">
        <f>IF(N242,N257,IF(P242,P257,M249))</f>
        <v>#N/A</v>
      </c>
      <c r="Q249" s="67"/>
      <c r="R249" s="67"/>
      <c r="S249" s="67" t="e">
        <f>IF(Q242,Q257,IF(S242,S257,P249))</f>
        <v>#N/A</v>
      </c>
      <c r="T249" s="67"/>
      <c r="U249" s="67"/>
      <c r="V249" s="67" t="e">
        <f>IF(T242,T257,IF(V242,V257,S249))</f>
        <v>#N/A</v>
      </c>
      <c r="W249" s="67"/>
      <c r="X249" s="67"/>
      <c r="Y249" s="67" t="e">
        <f>IF(W242,W257,IF(Y242,Y257,V249))</f>
        <v>#N/A</v>
      </c>
      <c r="Z249" s="67"/>
      <c r="AA249" s="67"/>
      <c r="AB249" s="67" t="e">
        <f>IF(Z242,Z257,IF(AB242,AB257,Y249))</f>
        <v>#N/A</v>
      </c>
      <c r="AC249" s="67"/>
      <c r="AD249" s="67"/>
      <c r="AE249" s="67" t="e">
        <f>IF(AC242,AC257,IF(AE242,AE257,AB249))</f>
        <v>#N/A</v>
      </c>
      <c r="AF249" s="4"/>
      <c r="AG249" s="4"/>
      <c r="AJ249" s="4"/>
      <c r="AK249" s="4"/>
      <c r="AL249" s="4"/>
      <c r="AM249" s="4"/>
      <c r="AN249" s="4"/>
      <c r="AO249" s="4"/>
      <c r="AT249" s="63" t="str">
        <f>B249</f>
        <v>SC Midlands KP Garnet</v>
      </c>
      <c r="AU249" s="63" t="e">
        <f>AE249</f>
        <v>#N/A</v>
      </c>
      <c r="AW249" s="66"/>
    </row>
    <row r="250" spans="1:49" s="63" customFormat="1" hidden="1" x14ac:dyDescent="0.2">
      <c r="A250" s="67">
        <v>2</v>
      </c>
      <c r="B250" s="67" t="str">
        <f>E180</f>
        <v>Kershaw Dev 12 Black</v>
      </c>
      <c r="C250" s="67">
        <f>VLOOKUP(B250,AU$3:AW$33,3,FALSE)</f>
        <v>1200</v>
      </c>
      <c r="D250" s="67">
        <f>IF(B243,B257,IF(D243,D257,C250))</f>
        <v>1200</v>
      </c>
      <c r="E250" s="67"/>
      <c r="F250" s="67"/>
      <c r="G250" s="67" t="e">
        <f>IF(E243,E257,IF(G243,G257,D250))</f>
        <v>#N/A</v>
      </c>
      <c r="H250" s="67"/>
      <c r="I250" s="67"/>
      <c r="J250" s="67" t="e">
        <f>IF(H243,H257,IF(J243,J257,G250))</f>
        <v>#N/A</v>
      </c>
      <c r="K250" s="67"/>
      <c r="L250" s="67"/>
      <c r="M250" s="67" t="e">
        <f>IF(K243,K257,IF(M243,M257,J250))</f>
        <v>#N/A</v>
      </c>
      <c r="N250" s="67"/>
      <c r="O250" s="67"/>
      <c r="P250" s="67" t="e">
        <f>IF(N243,N257,IF(P243,P257,M250))</f>
        <v>#N/A</v>
      </c>
      <c r="Q250" s="67"/>
      <c r="R250" s="67"/>
      <c r="S250" s="67" t="e">
        <f>IF(Q243,Q257,IF(S243,S257,P250))</f>
        <v>#N/A</v>
      </c>
      <c r="T250" s="67"/>
      <c r="U250" s="67"/>
      <c r="V250" s="67" t="e">
        <f>IF(T243,T257,IF(V243,V257,S250))</f>
        <v>#N/A</v>
      </c>
      <c r="W250" s="67"/>
      <c r="X250" s="67"/>
      <c r="Y250" s="67" t="e">
        <f>IF(W243,W257,IF(Y243,Y257,V250))</f>
        <v>#N/A</v>
      </c>
      <c r="Z250" s="67"/>
      <c r="AA250" s="67"/>
      <c r="AB250" s="67" t="e">
        <f>IF(Z243,Z257,IF(AB243,AB257,Y250))</f>
        <v>#N/A</v>
      </c>
      <c r="AC250" s="67"/>
      <c r="AD250" s="67"/>
      <c r="AE250" s="67" t="e">
        <f>IF(AC243,AC257,IF(AE243,AE257,AB250))</f>
        <v>#N/A</v>
      </c>
      <c r="AF250" s="4"/>
      <c r="AG250" s="4"/>
      <c r="AJ250" s="4"/>
      <c r="AL250" s="4"/>
      <c r="AM250" s="4"/>
      <c r="AN250" s="4"/>
      <c r="AO250" s="4"/>
      <c r="AT250" s="63" t="str">
        <f>B250</f>
        <v>Kershaw Dev 12 Black</v>
      </c>
      <c r="AU250" s="63" t="e">
        <f>AE250</f>
        <v>#N/A</v>
      </c>
      <c r="AW250" s="66"/>
    </row>
    <row r="251" spans="1:49" s="63" customFormat="1" hidden="1" x14ac:dyDescent="0.2">
      <c r="A251" s="67">
        <v>3</v>
      </c>
      <c r="B251" s="67">
        <f>E182</f>
        <v>0</v>
      </c>
      <c r="C251" s="67" t="e">
        <f>VLOOKUP(B251,AU$3:AW$33,3,FALSE)</f>
        <v>#N/A</v>
      </c>
      <c r="D251" s="67" t="e">
        <f>IF(B244,B257,IF(D244,D257,C251))</f>
        <v>#N/A</v>
      </c>
      <c r="E251" s="67"/>
      <c r="F251" s="67"/>
      <c r="G251" s="67" t="e">
        <f>IF(E244,E257,IF(G244,G257,D251))</f>
        <v>#N/A</v>
      </c>
      <c r="H251" s="67"/>
      <c r="I251" s="67"/>
      <c r="J251" s="67" t="e">
        <f>IF(H244,H257,IF(J244,J257,G251))</f>
        <v>#N/A</v>
      </c>
      <c r="K251" s="67"/>
      <c r="L251" s="67"/>
      <c r="M251" s="67" t="e">
        <f>IF(K244,K257,IF(M244,M257,J251))</f>
        <v>#N/A</v>
      </c>
      <c r="N251" s="67"/>
      <c r="O251" s="67"/>
      <c r="P251" s="67" t="e">
        <f>IF(N244,N257,IF(P244,P257,M251))</f>
        <v>#N/A</v>
      </c>
      <c r="Q251" s="67"/>
      <c r="R251" s="67"/>
      <c r="S251" s="67" t="e">
        <f>IF(Q244,Q257,IF(S244,S257,P251))</f>
        <v>#N/A</v>
      </c>
      <c r="T251" s="67"/>
      <c r="U251" s="67"/>
      <c r="V251" s="67" t="e">
        <f>IF(T244,T257,IF(V244,V257,S251))</f>
        <v>#N/A</v>
      </c>
      <c r="W251" s="67"/>
      <c r="X251" s="67"/>
      <c r="Y251" s="67" t="e">
        <f>IF(W244,W257,IF(Y244,Y257,V251))</f>
        <v>#N/A</v>
      </c>
      <c r="Z251" s="67"/>
      <c r="AA251" s="67"/>
      <c r="AB251" s="67" t="e">
        <f>IF(Z244,Z257,IF(AB244,AB257,Y251))</f>
        <v>#N/A</v>
      </c>
      <c r="AC251" s="67"/>
      <c r="AD251" s="67"/>
      <c r="AE251" s="67" t="e">
        <f>IF(AC244,AC257,IF(AE244,AE257,AB251))</f>
        <v>#N/A</v>
      </c>
      <c r="AF251" s="4"/>
      <c r="AG251" s="4"/>
      <c r="AJ251" s="4"/>
      <c r="AL251" s="4"/>
      <c r="AM251" s="4"/>
      <c r="AN251" s="4"/>
      <c r="AO251" s="4"/>
      <c r="AT251" s="63">
        <f>B251</f>
        <v>0</v>
      </c>
      <c r="AU251" s="63" t="e">
        <f>AE251</f>
        <v>#N/A</v>
      </c>
      <c r="AW251" s="66"/>
    </row>
    <row r="252" spans="1:49" s="63" customFormat="1" hidden="1" x14ac:dyDescent="0.2">
      <c r="A252" s="67">
        <v>4</v>
      </c>
      <c r="B252" s="67" t="str">
        <f>E184</f>
        <v>Team 10</v>
      </c>
      <c r="C252" s="67">
        <f>VLOOKUP(B252,AU$3:AW$33,3,FALSE)</f>
        <v>0</v>
      </c>
      <c r="D252" s="67">
        <f>IF(B245,B257,IF(D245,D257,C252))</f>
        <v>0</v>
      </c>
      <c r="E252" s="67"/>
      <c r="F252" s="67"/>
      <c r="G252" s="67">
        <f>IF(E245,E257,IF(G245,G257,D252))</f>
        <v>0</v>
      </c>
      <c r="H252" s="67"/>
      <c r="I252" s="67"/>
      <c r="J252" s="67">
        <f>IF(H245,H257,IF(J245,J257,G252))</f>
        <v>0</v>
      </c>
      <c r="K252" s="67"/>
      <c r="L252" s="67"/>
      <c r="M252" s="67">
        <f>IF(K245,K257,IF(M245,M257,J252))</f>
        <v>0</v>
      </c>
      <c r="N252" s="67"/>
      <c r="O252" s="67"/>
      <c r="P252" s="67">
        <f>IF(N245,N257,IF(P245,P257,M252))</f>
        <v>0</v>
      </c>
      <c r="Q252" s="67"/>
      <c r="R252" s="67"/>
      <c r="S252" s="67">
        <f>IF(Q245,Q257,IF(S245,S257,P252))</f>
        <v>0</v>
      </c>
      <c r="T252" s="67"/>
      <c r="U252" s="67"/>
      <c r="V252" s="67">
        <f>IF(T245,T257,IF(V245,V257,S252))</f>
        <v>0</v>
      </c>
      <c r="W252" s="67"/>
      <c r="X252" s="67"/>
      <c r="Y252" s="67">
        <f>IF(W245,W257,IF(Y245,Y257,V252))</f>
        <v>0</v>
      </c>
      <c r="Z252" s="67"/>
      <c r="AA252" s="67"/>
      <c r="AB252" s="67">
        <f>IF(Z245,Z257,IF(AB245,AB257,Y252))</f>
        <v>0</v>
      </c>
      <c r="AC252" s="67"/>
      <c r="AD252" s="67"/>
      <c r="AE252" s="67">
        <f>IF(AC245,AC257,IF(AE245,AE257,AB252))</f>
        <v>0</v>
      </c>
      <c r="AF252" s="4"/>
      <c r="AG252" s="4"/>
      <c r="AJ252" s="4"/>
      <c r="AL252" s="4"/>
      <c r="AM252" s="4"/>
      <c r="AN252" s="4"/>
      <c r="AO252" s="4"/>
      <c r="AT252" s="63" t="str">
        <f>B252</f>
        <v>Team 10</v>
      </c>
      <c r="AU252" s="63">
        <f>AE252</f>
        <v>0</v>
      </c>
      <c r="AW252" s="66"/>
    </row>
    <row r="253" spans="1:49" s="63" customFormat="1" hidden="1" x14ac:dyDescent="0.2">
      <c r="A253" s="67">
        <v>5</v>
      </c>
      <c r="B253" s="67">
        <f>E186</f>
        <v>0</v>
      </c>
      <c r="C253" s="67" t="e">
        <f>VLOOKUP(B253,AU$3:AW$33,3,FALSE)</f>
        <v>#N/A</v>
      </c>
      <c r="D253" s="67" t="e">
        <f>IF(B246,B257,IF(D246,D257,C253))</f>
        <v>#N/A</v>
      </c>
      <c r="E253" s="67"/>
      <c r="F253" s="67"/>
      <c r="G253" s="67" t="e">
        <f>IF(E246,E257,IF(G246,G257,D253))</f>
        <v>#N/A</v>
      </c>
      <c r="H253" s="67"/>
      <c r="I253" s="67"/>
      <c r="J253" s="67" t="e">
        <f>IF(H246,H257,IF(J246,J257,G253))</f>
        <v>#N/A</v>
      </c>
      <c r="K253" s="67"/>
      <c r="L253" s="67"/>
      <c r="M253" s="67" t="e">
        <f>IF(K246,K257,IF(M246,M257,J253))</f>
        <v>#N/A</v>
      </c>
      <c r="N253" s="67"/>
      <c r="O253" s="67"/>
      <c r="P253" s="67" t="e">
        <f>IF(N246,N257,IF(P246,P257,M253))</f>
        <v>#N/A</v>
      </c>
      <c r="Q253" s="67"/>
      <c r="R253" s="67"/>
      <c r="S253" s="67" t="e">
        <f>IF(Q246,Q257,IF(S246,S257,P253))</f>
        <v>#N/A</v>
      </c>
      <c r="T253" s="67"/>
      <c r="U253" s="67"/>
      <c r="V253" s="67" t="e">
        <f>IF(T246,T257,IF(V246,V257,S253))</f>
        <v>#N/A</v>
      </c>
      <c r="W253" s="67"/>
      <c r="X253" s="67"/>
      <c r="Y253" s="67" t="e">
        <f>IF(W246,W257,IF(Y246,Y257,V253))</f>
        <v>#N/A</v>
      </c>
      <c r="Z253" s="67"/>
      <c r="AA253" s="67"/>
      <c r="AB253" s="67" t="e">
        <f>IF(Z246,Z257,IF(AB246,AB257,Y253))</f>
        <v>#N/A</v>
      </c>
      <c r="AC253" s="67"/>
      <c r="AD253" s="67"/>
      <c r="AE253" s="67" t="e">
        <f>IF(AC246,AC257,IF(AE246,AE257,AB253))</f>
        <v>#N/A</v>
      </c>
      <c r="AF253" s="4"/>
      <c r="AG253" s="4"/>
      <c r="AJ253" s="4"/>
      <c r="AL253" s="4"/>
      <c r="AM253" s="4"/>
      <c r="AN253" s="4"/>
      <c r="AO253" s="4"/>
      <c r="AT253" s="63">
        <f>B253</f>
        <v>0</v>
      </c>
      <c r="AU253" s="63" t="e">
        <f>AE253</f>
        <v>#N/A</v>
      </c>
      <c r="AW253" s="66"/>
    </row>
    <row r="254" spans="1:49" s="63" customFormat="1" hidden="1" x14ac:dyDescent="0.2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4"/>
      <c r="AG254" s="4"/>
      <c r="AJ254" s="4"/>
      <c r="AL254" s="4"/>
      <c r="AM254" s="4"/>
      <c r="AN254" s="4"/>
      <c r="AO254" s="4"/>
      <c r="AW254" s="66"/>
    </row>
    <row r="255" spans="1:49" s="63" customFormat="1" hidden="1" x14ac:dyDescent="0.2">
      <c r="A255" s="67" t="s">
        <v>116</v>
      </c>
      <c r="B255" s="67">
        <f>VLOOKUP(B194,$A249:$AE253,3,FALSE)</f>
        <v>1166.3348618337313</v>
      </c>
      <c r="C255" s="67">
        <v>1</v>
      </c>
      <c r="D255" s="67" t="e">
        <f>VLOOKUP(D194,$A249:$AE253,3,FALSE)</f>
        <v>#N/A</v>
      </c>
      <c r="E255" s="67">
        <f>VLOOKUP(E194,$A249:$AE253,4,FALSE)</f>
        <v>1200</v>
      </c>
      <c r="F255" s="67">
        <v>2</v>
      </c>
      <c r="G255" s="67" t="e">
        <f>VLOOKUP(G194,$A249:$AE253,4,FALSE)</f>
        <v>#N/A</v>
      </c>
      <c r="H255" s="67" t="e">
        <f>VLOOKUP(H194,$A249:$AE253,7,FALSE)</f>
        <v>#N/A</v>
      </c>
      <c r="I255" s="67">
        <v>3</v>
      </c>
      <c r="J255" s="67" t="e">
        <f>VLOOKUP(J194,$A249:$AE253,7,FALSE)</f>
        <v>#N/A</v>
      </c>
      <c r="K255" s="67" t="e">
        <f>VLOOKUP(K194,$A249:$AE253,10,FALSE)</f>
        <v>#N/A</v>
      </c>
      <c r="L255" s="67">
        <v>4</v>
      </c>
      <c r="M255" s="67" t="e">
        <f>VLOOKUP(M194,$A249:$AE253,10,FALSE)</f>
        <v>#N/A</v>
      </c>
      <c r="N255" s="67" t="e">
        <f>VLOOKUP(N194,$A249:$AE253,13,FALSE)</f>
        <v>#N/A</v>
      </c>
      <c r="O255" s="67">
        <v>5</v>
      </c>
      <c r="P255" s="67">
        <f>VLOOKUP(P194,$A249:$AE253,13,FALSE)</f>
        <v>0</v>
      </c>
      <c r="Q255" s="67" t="e">
        <f>VLOOKUP(Q194,$A249:$AE253,16,FALSE)</f>
        <v>#N/A</v>
      </c>
      <c r="R255" s="67">
        <v>6</v>
      </c>
      <c r="S255" s="67" t="e">
        <f>VLOOKUP(S194,$A249:$AE253,16,FALSE)</f>
        <v>#N/A</v>
      </c>
      <c r="T255" s="67" t="e">
        <f>VLOOKUP(T194,$A249:$AE253,19,FALSE)</f>
        <v>#N/A</v>
      </c>
      <c r="U255" s="67">
        <v>7</v>
      </c>
      <c r="V255" s="67" t="e">
        <f>VLOOKUP(V194,$A249:$AE253,19,FALSE)</f>
        <v>#N/A</v>
      </c>
      <c r="W255" s="67" t="e">
        <f>VLOOKUP(W194,$A249:$AE253,22,FALSE)</f>
        <v>#N/A</v>
      </c>
      <c r="X255" s="67">
        <v>8</v>
      </c>
      <c r="Y255" s="67" t="e">
        <f>VLOOKUP(Y194,$A249:$AE253,22,FALSE)</f>
        <v>#N/A</v>
      </c>
      <c r="Z255" s="67" t="e">
        <f>VLOOKUP(Z194,$A249:$AE253,25,FALSE)</f>
        <v>#N/A</v>
      </c>
      <c r="AA255" s="67">
        <v>9</v>
      </c>
      <c r="AB255" s="67" t="e">
        <f>VLOOKUP(AB194,$A249:$AE253,25,FALSE)</f>
        <v>#N/A</v>
      </c>
      <c r="AC255" s="67" t="e">
        <f>VLOOKUP(AC194,$A249:$AE253,28,FALSE)</f>
        <v>#N/A</v>
      </c>
      <c r="AD255" s="67">
        <v>10</v>
      </c>
      <c r="AE255" s="67" t="e">
        <f>VLOOKUP(AE194,$A249:$AE253,28,FALSE)</f>
        <v>#N/A</v>
      </c>
      <c r="AF255" s="4"/>
      <c r="AG255" s="80"/>
      <c r="AH255" s="80"/>
      <c r="AI255" s="80"/>
      <c r="AJ255" s="80"/>
      <c r="AK255" s="80"/>
      <c r="AL255" s="80"/>
      <c r="AM255" s="80"/>
      <c r="AN255" s="81"/>
      <c r="AO255" s="81"/>
      <c r="AP255" s="81"/>
      <c r="AQ255" s="81"/>
      <c r="AW255" s="66"/>
    </row>
    <row r="256" spans="1:49" s="72" customFormat="1" hidden="1" x14ac:dyDescent="0.2">
      <c r="A256" s="68" t="s">
        <v>117</v>
      </c>
      <c r="B256" s="68" t="e">
        <f>1/(1+(10^-((B255-D255)/400)))*(B206+D206)</f>
        <v>#N/A</v>
      </c>
      <c r="C256" s="68"/>
      <c r="D256" s="68" t="e">
        <f>1/(1+(10^-((D255-B255)/400)))*(B206+D206)</f>
        <v>#N/A</v>
      </c>
      <c r="E256" s="68" t="e">
        <f>1/(1+(10^-((E255-G255)/400)))*(E206+G206)</f>
        <v>#N/A</v>
      </c>
      <c r="F256" s="68"/>
      <c r="G256" s="68" t="e">
        <f>1/(1+(10^-((G255-E255)/400)))*(E206+G206)</f>
        <v>#N/A</v>
      </c>
      <c r="H256" s="68" t="e">
        <f>1/(1+(10^-((H255-J255)/400)))*(H206+J206)</f>
        <v>#N/A</v>
      </c>
      <c r="I256" s="68"/>
      <c r="J256" s="68" t="e">
        <f>1/(1+(10^-((J255-H255)/400)))*(H206+J206)</f>
        <v>#N/A</v>
      </c>
      <c r="K256" s="68" t="e">
        <f>1/(1+(10^-((K255-M255)/400)))*(K206+M206)</f>
        <v>#N/A</v>
      </c>
      <c r="L256" s="68"/>
      <c r="M256" s="68" t="e">
        <f>1/(1+(10^-((M255-K255)/400)))*(K206+M206)</f>
        <v>#N/A</v>
      </c>
      <c r="N256" s="68" t="e">
        <f>1/(1+(10^-((N255-P255)/400)))*(N206+P206)</f>
        <v>#N/A</v>
      </c>
      <c r="O256" s="68"/>
      <c r="P256" s="68" t="e">
        <f>1/(1+(10^-((P255-N255)/400)))*(N206+P206)</f>
        <v>#N/A</v>
      </c>
      <c r="Q256" s="68" t="e">
        <f>1/(1+(10^-((Q255-S255)/400)))*(Q206+S206)</f>
        <v>#N/A</v>
      </c>
      <c r="R256" s="68"/>
      <c r="S256" s="68" t="e">
        <f>1/(1+(10^-((S255-Q255)/400)))*(Q206+S206)</f>
        <v>#N/A</v>
      </c>
      <c r="T256" s="68" t="e">
        <f>1/(1+(10^-((T255-V255)/400)))*(T206+V206)</f>
        <v>#N/A</v>
      </c>
      <c r="U256" s="68"/>
      <c r="V256" s="68" t="e">
        <f>1/(1+(10^-((V255-T255)/400)))*(T206+V206)</f>
        <v>#N/A</v>
      </c>
      <c r="W256" s="68" t="e">
        <f>1/(1+(10^-((W255-Y255)/400)))*(W206+Y206)</f>
        <v>#N/A</v>
      </c>
      <c r="X256" s="68"/>
      <c r="Y256" s="68" t="e">
        <f>1/(1+(10^-((Y255-W255)/400)))*(W206+Y206)</f>
        <v>#N/A</v>
      </c>
      <c r="Z256" s="68" t="e">
        <f>1/(1+(10^-((Z255-AB255)/400)))*(Z206+AB206)</f>
        <v>#N/A</v>
      </c>
      <c r="AA256" s="68"/>
      <c r="AB256" s="68" t="e">
        <f>1/(1+(10^-((AB255-Z255)/400)))*(Z206+AB206)</f>
        <v>#N/A</v>
      </c>
      <c r="AC256" s="68" t="e">
        <f>1/(1+(10^-((AC255-AE255)/400)))*(AC206+AE206)</f>
        <v>#N/A</v>
      </c>
      <c r="AD256" s="68"/>
      <c r="AE256" s="68" t="e">
        <f>1/(1+(10^-((AE255-AC255)/400)))*(AC206+AE206)</f>
        <v>#N/A</v>
      </c>
      <c r="AF256" s="69"/>
      <c r="AG256" s="70"/>
      <c r="AH256" s="70"/>
      <c r="AI256" s="70"/>
      <c r="AJ256" s="70"/>
      <c r="AK256" s="70"/>
      <c r="AL256" s="70"/>
      <c r="AM256" s="70"/>
      <c r="AN256" s="71"/>
      <c r="AO256" s="71"/>
      <c r="AP256" s="71"/>
      <c r="AQ256" s="71"/>
      <c r="AW256" s="73"/>
    </row>
    <row r="257" spans="1:49" s="78" customFormat="1" hidden="1" x14ac:dyDescent="0.2">
      <c r="A257" s="74" t="s">
        <v>118</v>
      </c>
      <c r="B257" s="74" t="e">
        <f>B255+(B206-B256)*$BA$1</f>
        <v>#N/A</v>
      </c>
      <c r="C257" s="74"/>
      <c r="D257" s="74" t="e">
        <f>D255+(D206-D256)*$BA$1</f>
        <v>#N/A</v>
      </c>
      <c r="E257" s="74" t="e">
        <f>E255+(E206-E256)*$BA$1</f>
        <v>#N/A</v>
      </c>
      <c r="F257" s="74"/>
      <c r="G257" s="74" t="e">
        <f>G255+(G206-G256)*$BA$1</f>
        <v>#N/A</v>
      </c>
      <c r="H257" s="74" t="e">
        <f>H255+(H206-H256)*$BA$1</f>
        <v>#N/A</v>
      </c>
      <c r="I257" s="74"/>
      <c r="J257" s="74" t="e">
        <f>J255+(J206-J256)*$BA$1</f>
        <v>#N/A</v>
      </c>
      <c r="K257" s="74" t="e">
        <f>K255+(K206-K256)*$BA$1</f>
        <v>#N/A</v>
      </c>
      <c r="L257" s="74"/>
      <c r="M257" s="74" t="e">
        <f>M255+(M206-M256)*$BA$1</f>
        <v>#N/A</v>
      </c>
      <c r="N257" s="74" t="e">
        <f>N255+(N206-N256)*$BA$1</f>
        <v>#N/A</v>
      </c>
      <c r="O257" s="74"/>
      <c r="P257" s="74" t="e">
        <f>P255+(P206-P256)*$BA$1</f>
        <v>#N/A</v>
      </c>
      <c r="Q257" s="74" t="e">
        <f>Q255+(Q206-Q256)*$BA$1</f>
        <v>#N/A</v>
      </c>
      <c r="R257" s="74"/>
      <c r="S257" s="74" t="e">
        <f>S255+(S206-S256)*$BA$1</f>
        <v>#N/A</v>
      </c>
      <c r="T257" s="74" t="e">
        <f>T255+(T206-T256)*$BA$1</f>
        <v>#N/A</v>
      </c>
      <c r="U257" s="74"/>
      <c r="V257" s="74" t="e">
        <f>V255+(V206-V256)*$BA$1</f>
        <v>#N/A</v>
      </c>
      <c r="W257" s="74" t="e">
        <f>W255+(W206-W256)*$BA$1</f>
        <v>#N/A</v>
      </c>
      <c r="X257" s="74"/>
      <c r="Y257" s="74" t="e">
        <f>Y255+(Y206-Y256)*$BA$1</f>
        <v>#N/A</v>
      </c>
      <c r="Z257" s="74" t="e">
        <f>Z255+(Z206-Z256)*$BA$1</f>
        <v>#N/A</v>
      </c>
      <c r="AA257" s="74"/>
      <c r="AB257" s="74" t="e">
        <f>AB255+(AB206-AB256)*$BA$1</f>
        <v>#N/A</v>
      </c>
      <c r="AC257" s="74" t="e">
        <f>AC255+(AC206-AC256)*$BA$1</f>
        <v>#N/A</v>
      </c>
      <c r="AD257" s="74"/>
      <c r="AE257" s="74" t="e">
        <f>AE255+(AE206-AE256)*$BA$1</f>
        <v>#N/A</v>
      </c>
      <c r="AF257" s="75"/>
      <c r="AG257" s="76"/>
      <c r="AH257" s="76"/>
      <c r="AI257" s="76"/>
      <c r="AJ257" s="76"/>
      <c r="AK257" s="76"/>
      <c r="AL257" s="76"/>
      <c r="AM257" s="76"/>
      <c r="AN257" s="77"/>
      <c r="AO257" s="77"/>
      <c r="AP257" s="77"/>
      <c r="AQ257" s="77"/>
      <c r="AW257" s="79"/>
    </row>
    <row r="258" spans="1:49" s="78" customFormat="1" hidden="1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5"/>
      <c r="AG258" s="76"/>
      <c r="AH258" s="76"/>
      <c r="AI258" s="76"/>
      <c r="AJ258" s="76"/>
      <c r="AK258" s="76"/>
      <c r="AL258" s="76"/>
      <c r="AM258" s="76"/>
      <c r="AN258" s="77"/>
      <c r="AO258" s="77"/>
      <c r="AP258" s="77"/>
      <c r="AQ258" s="77"/>
      <c r="AW258" s="79"/>
    </row>
    <row r="259" spans="1:49" s="63" customFormat="1" x14ac:dyDescent="0.2">
      <c r="A259" s="329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329"/>
      <c r="Q259" s="329"/>
      <c r="R259" s="329"/>
      <c r="S259" s="329"/>
      <c r="T259" s="329"/>
      <c r="U259" s="329"/>
      <c r="V259" s="329"/>
      <c r="W259" s="329"/>
      <c r="X259" s="329"/>
      <c r="Y259" s="329"/>
      <c r="Z259" s="329"/>
      <c r="AA259" s="329"/>
      <c r="AB259" s="329"/>
      <c r="AC259" s="329"/>
      <c r="AD259" s="329"/>
      <c r="AE259" s="329"/>
      <c r="AF259" s="329"/>
      <c r="AG259" s="329"/>
      <c r="AH259" s="329"/>
      <c r="AI259" s="329"/>
      <c r="AJ259" s="329"/>
      <c r="AK259" s="329"/>
      <c r="AL259" s="329"/>
      <c r="AM259" s="329"/>
      <c r="AN259" s="330"/>
      <c r="AO259" s="330"/>
      <c r="AP259" s="330"/>
      <c r="AQ259" s="330"/>
    </row>
    <row r="260" spans="1:49" s="63" customFormat="1" x14ac:dyDescent="0.2">
      <c r="A260" s="331"/>
      <c r="B260" s="331"/>
      <c r="C260" s="331"/>
      <c r="D260" s="331"/>
      <c r="E260" s="331"/>
      <c r="F260" s="331"/>
      <c r="G260" s="331"/>
      <c r="H260" s="331"/>
      <c r="I260" s="331"/>
      <c r="J260" s="331"/>
      <c r="K260" s="331"/>
      <c r="L260" s="331"/>
      <c r="M260" s="331"/>
      <c r="N260" s="331"/>
      <c r="O260" s="331"/>
      <c r="P260" s="331"/>
      <c r="Q260" s="331"/>
      <c r="R260" s="331"/>
      <c r="S260" s="331"/>
      <c r="T260" s="331"/>
      <c r="U260" s="331"/>
      <c r="V260" s="331"/>
      <c r="W260" s="331"/>
      <c r="X260" s="331"/>
      <c r="Y260" s="331"/>
      <c r="Z260" s="331"/>
      <c r="AA260" s="331"/>
      <c r="AB260" s="331"/>
      <c r="AC260" s="331"/>
      <c r="AD260" s="331"/>
      <c r="AE260" s="331"/>
      <c r="AF260" s="331"/>
      <c r="AG260" s="331"/>
      <c r="AH260" s="331"/>
      <c r="AI260" s="331"/>
      <c r="AJ260" s="331"/>
      <c r="AK260" s="331"/>
      <c r="AL260" s="331"/>
      <c r="AM260" s="331"/>
      <c r="AN260" s="331"/>
      <c r="AO260" s="331"/>
      <c r="AP260" s="331"/>
      <c r="AQ260" s="331"/>
      <c r="AT260" s="4"/>
      <c r="AU260" s="4"/>
      <c r="AV260" s="4"/>
    </row>
    <row r="261" spans="1:49" ht="21" thickBot="1" x14ac:dyDescent="0.35">
      <c r="A261" s="345" t="s">
        <v>120</v>
      </c>
      <c r="B261" s="345"/>
      <c r="C261" s="345"/>
      <c r="D261" s="345"/>
      <c r="E261" s="345"/>
      <c r="F261" s="345"/>
      <c r="G261" s="345"/>
      <c r="H261" s="345"/>
      <c r="I261" s="345"/>
      <c r="J261" s="345"/>
      <c r="K261" s="345"/>
      <c r="L261" s="345"/>
      <c r="M261" s="345"/>
      <c r="N261" s="345"/>
      <c r="O261" s="345"/>
      <c r="P261" s="345"/>
      <c r="Q261" s="345"/>
      <c r="R261" s="345"/>
      <c r="S261" s="345"/>
      <c r="T261" s="345"/>
      <c r="U261" s="345"/>
      <c r="V261" s="345"/>
      <c r="W261" s="345"/>
      <c r="X261" s="345"/>
      <c r="Y261" s="345"/>
      <c r="Z261" s="345"/>
      <c r="AA261" s="345"/>
      <c r="AB261" s="345"/>
      <c r="AC261" s="345"/>
      <c r="AD261" s="345"/>
      <c r="AE261" s="345"/>
      <c r="AF261" s="345"/>
      <c r="AG261" s="345"/>
      <c r="AH261" s="345"/>
      <c r="AI261" s="345"/>
      <c r="AJ261" s="345"/>
      <c r="AK261" s="345"/>
      <c r="AL261" s="345"/>
      <c r="AM261" s="345"/>
      <c r="AN261" s="345"/>
      <c r="AO261" s="345"/>
      <c r="AP261" s="345"/>
      <c r="AQ261" s="345"/>
    </row>
    <row r="262" spans="1:49" ht="13.5" thickBot="1" x14ac:dyDescent="0.25">
      <c r="A262" s="346" t="s">
        <v>121</v>
      </c>
      <c r="B262" s="348" t="s">
        <v>122</v>
      </c>
      <c r="C262" s="349"/>
      <c r="D262" s="349"/>
      <c r="E262" s="349"/>
      <c r="F262" s="349"/>
      <c r="G262" s="349"/>
      <c r="H262" s="349"/>
      <c r="I262" s="349"/>
      <c r="J262" s="349"/>
      <c r="K262" s="350"/>
      <c r="L262" s="348" t="s">
        <v>123</v>
      </c>
      <c r="M262" s="349"/>
      <c r="N262" s="349"/>
      <c r="O262" s="349"/>
      <c r="P262" s="349"/>
      <c r="Q262" s="349"/>
      <c r="R262" s="349"/>
      <c r="S262" s="349"/>
      <c r="T262" s="349"/>
      <c r="U262" s="350"/>
      <c r="V262" s="348" t="s">
        <v>124</v>
      </c>
      <c r="W262" s="349"/>
      <c r="X262" s="349"/>
      <c r="Y262" s="349"/>
      <c r="Z262" s="349"/>
      <c r="AA262" s="349"/>
      <c r="AB262" s="349"/>
      <c r="AC262" s="349"/>
      <c r="AD262" s="349"/>
      <c r="AE262" s="350"/>
      <c r="AF262" s="351" t="s">
        <v>125</v>
      </c>
      <c r="AG262" s="352"/>
      <c r="AH262" s="352"/>
      <c r="AI262" s="352"/>
      <c r="AJ262" s="352"/>
      <c r="AK262" s="352"/>
      <c r="AL262" s="352"/>
      <c r="AM262" s="352"/>
      <c r="AN262" s="352"/>
      <c r="AO262" s="353"/>
    </row>
    <row r="263" spans="1:49" ht="13.5" thickBot="1" x14ac:dyDescent="0.25">
      <c r="A263" s="347"/>
      <c r="B263" s="354" t="s">
        <v>10</v>
      </c>
      <c r="C263" s="355"/>
      <c r="D263" s="355"/>
      <c r="E263" s="355"/>
      <c r="F263" s="355"/>
      <c r="G263" s="356"/>
      <c r="H263" s="354" t="s">
        <v>126</v>
      </c>
      <c r="I263" s="355"/>
      <c r="J263" s="355"/>
      <c r="K263" s="356"/>
      <c r="L263" s="354" t="s">
        <v>10</v>
      </c>
      <c r="M263" s="355"/>
      <c r="N263" s="355"/>
      <c r="O263" s="355"/>
      <c r="P263" s="355"/>
      <c r="Q263" s="356"/>
      <c r="R263" s="354" t="s">
        <v>126</v>
      </c>
      <c r="S263" s="355"/>
      <c r="T263" s="355"/>
      <c r="U263" s="356"/>
      <c r="V263" s="354" t="s">
        <v>10</v>
      </c>
      <c r="W263" s="355"/>
      <c r="X263" s="355"/>
      <c r="Y263" s="355"/>
      <c r="Z263" s="355"/>
      <c r="AA263" s="356"/>
      <c r="AB263" s="354" t="s">
        <v>126</v>
      </c>
      <c r="AC263" s="355"/>
      <c r="AD263" s="355"/>
      <c r="AE263" s="356"/>
      <c r="AF263" s="351" t="s">
        <v>10</v>
      </c>
      <c r="AG263" s="352"/>
      <c r="AH263" s="352"/>
      <c r="AI263" s="352"/>
      <c r="AJ263" s="352"/>
      <c r="AK263" s="353"/>
      <c r="AL263" s="351" t="s">
        <v>126</v>
      </c>
      <c r="AM263" s="352"/>
      <c r="AN263" s="352"/>
      <c r="AO263" s="353"/>
    </row>
    <row r="264" spans="1:49" x14ac:dyDescent="0.2">
      <c r="A264" s="82" t="s">
        <v>127</v>
      </c>
      <c r="B264" s="357" t="str">
        <f>IF($AF$8=1,$E$8,IF($AF$10=1,$E$10,IF($AF$12=1,$E$12,IF($AF$14=1,$E$14,IF($AF$16=1,$E$16,"1st Place "&amp;$A264)))))</f>
        <v>Kershaw Dev 12 Black</v>
      </c>
      <c r="C264" s="358"/>
      <c r="D264" s="358"/>
      <c r="E264" s="358"/>
      <c r="F264" s="358"/>
      <c r="G264" s="358"/>
      <c r="H264" s="359" t="str">
        <f>IF($AF$8=1,$E$9,IF($AF$10=1,$E$11,IF($AF$12=1,$E$13,IF($AF$14=1,$E$15,IF($AF$16=1,$E$17,"1st Place "&amp;$A264)))))</f>
        <v>fj2kersh3pm</v>
      </c>
      <c r="I264" s="359"/>
      <c r="J264" s="359"/>
      <c r="K264" s="360"/>
      <c r="L264" s="361" t="str">
        <f>IF($AF$8=2,$E$8,IF($AF$10=2,$E$10,IF($AF$12=2,$E$12,IF($AF$14=2,$E$14,IF($AF$16=2,$E$16,"2nd Place "&amp;$A264)))))</f>
        <v>Kidz Power Intense RH</v>
      </c>
      <c r="M264" s="362"/>
      <c r="N264" s="362"/>
      <c r="O264" s="362"/>
      <c r="P264" s="362"/>
      <c r="Q264" s="362"/>
      <c r="R264" s="363" t="str">
        <f>IF($AF$8=2,$E$9,IF($AF$10=2,$E$11,IF($AF$12=2,$E$13,IF($AF$14=2,$E$15,IF($AF$16=2,$E$17,"2nd Place "&amp;$A264)))))</f>
        <v>fj2inten6pm</v>
      </c>
      <c r="S264" s="363"/>
      <c r="T264" s="363"/>
      <c r="U264" s="364"/>
      <c r="V264" s="365" t="str">
        <f>IF($AF$8=3,$E$8,IF($AF$10=3,$E$10,IF($AF$12=3,$E$12,IF($AF$14=3,$E$14,IF($AF$16=3,$E$16,"3rd Place "&amp;$A264)))))</f>
        <v>Foothills 12 Kim</v>
      </c>
      <c r="W264" s="366"/>
      <c r="X264" s="366"/>
      <c r="Y264" s="366"/>
      <c r="Z264" s="366"/>
      <c r="AA264" s="366"/>
      <c r="AB264" s="367" t="str">
        <f>IF($AF$8=3,$E$9,IF($AF$10=3,$E$11,IF($AF$12=3,$E$13,IF($AF$14=3,$E$15,IF($AF$16=3,$E$17,"3rd Place "&amp;$A264)))))</f>
        <v>fj2footh3pm</v>
      </c>
      <c r="AC264" s="367"/>
      <c r="AD264" s="367"/>
      <c r="AE264" s="368"/>
      <c r="AF264" s="385" t="str">
        <f>IF($AF$8=4,$E$8,IF($AF$10=4,$E$10,IF($AF$12=4,$E$12,IF($AF$14=4,$E$14,IF($AF$16=4,$E$16,"4th Place "&amp;$A264)))))</f>
        <v>4th Place Court 1</v>
      </c>
      <c r="AG264" s="386"/>
      <c r="AH264" s="386"/>
      <c r="AI264" s="386"/>
      <c r="AJ264" s="386"/>
      <c r="AK264" s="386"/>
      <c r="AL264" s="387" t="str">
        <f>IF($AF$8=4,$E$9,IF($AF$10=4,$E$11,IF($AF$12=4,$E$13,IF($AF$14=4,$E$15,IF($AF$16=4,$E$17,"4th Place "&amp;$A264)))))</f>
        <v>4th Place Court 1</v>
      </c>
      <c r="AM264" s="387"/>
      <c r="AN264" s="387"/>
      <c r="AO264" s="388"/>
    </row>
    <row r="265" spans="1:49" x14ac:dyDescent="0.2">
      <c r="A265" s="82" t="s">
        <v>128</v>
      </c>
      <c r="B265" s="389" t="str">
        <f>IF($AF$93=1,$E$93,IF($AF$95=1,$E$95,IF($AF$97=1,$E$97,IF($AF$99=1,$E$99,IF($AF$101=1,$E$101,"1st Place "&amp;$A265)))))</f>
        <v>Kershaw Dev 12 White</v>
      </c>
      <c r="C265" s="390"/>
      <c r="D265" s="390"/>
      <c r="E265" s="390"/>
      <c r="F265" s="390"/>
      <c r="G265" s="390"/>
      <c r="H265" s="391" t="str">
        <f>IF($AF$93=1,$E$94,IF($AF$95=1,$E$96,IF($AF$97=1,$E$98,IF($AF$99=1,$E$100,IF($AF$101=1,$E$102,"1st Place "&amp;$A265)))))</f>
        <v>fj2kersh4pm</v>
      </c>
      <c r="I265" s="391"/>
      <c r="J265" s="391"/>
      <c r="K265" s="392"/>
      <c r="L265" s="393" t="str">
        <f>IF($AF$93=2,$E$93,IF($AF$95=2,$E$95,IF($AF$97=2,$E$97,IF($AF$99=2,$E$99,IF($AF$101=2,$E$101,"2nd Place "&amp;$A265)))))</f>
        <v>Foothills 12 Steph</v>
      </c>
      <c r="M265" s="394"/>
      <c r="N265" s="394"/>
      <c r="O265" s="394"/>
      <c r="P265" s="394"/>
      <c r="Q265" s="394"/>
      <c r="R265" s="395" t="str">
        <f>IF($AF$93=2,$E$94,IF($AF$95=2,$E$96,IF($AF$97=2,$E$98,IF($AF$99=2,$E$100,IF($AF$101=2,$E$102,"2nd Place "&amp;$A265)))))</f>
        <v>fj2footh2pm</v>
      </c>
      <c r="S265" s="395"/>
      <c r="T265" s="395"/>
      <c r="U265" s="396"/>
      <c r="V265" s="397" t="str">
        <f>IF($AF$93=3,$E$93,IF($AF$95=3,$E$95,IF($AF$97=3,$E$97,IF($AF$99=3,$E$99,IF($AF$101=3,$E$101,"3rd Place "&amp;$A265)))))</f>
        <v>SC Midlands KP Garnet</v>
      </c>
      <c r="W265" s="398"/>
      <c r="X265" s="398"/>
      <c r="Y265" s="398"/>
      <c r="Z265" s="398"/>
      <c r="AA265" s="398"/>
      <c r="AB265" s="399" t="str">
        <f>IF($AF$93=3,$E$94,IF($AF$95=3,$E$96,IF($AF$97=3,$E$98,IF($AF$99=3,$E$100,IF($AF$101=3,$E$102,"3rd Place "&amp;$A265)))))</f>
        <v>fj2scmid5pm</v>
      </c>
      <c r="AC265" s="399"/>
      <c r="AD265" s="399"/>
      <c r="AE265" s="400"/>
      <c r="AF265" s="401" t="str">
        <f>IF($AF$93=4,$E$93,IF($AF$95=4,$E$95,IF($AF$97=4,$E$97,IF($AF$99=4,$E$99,IF($AF$101=4,$E$101,"4th Place "&amp;$A265)))))</f>
        <v>4th Place Court 2</v>
      </c>
      <c r="AG265" s="402"/>
      <c r="AH265" s="402"/>
      <c r="AI265" s="402"/>
      <c r="AJ265" s="402"/>
      <c r="AK265" s="402"/>
      <c r="AL265" s="403" t="str">
        <f>IF($AF$93=4,$E$94,IF($AF$95=4,$E$96,IF($AF$97=4,$E$98,IF($AF$99=4,$E$100,IF($AF$101=4,$E$102,"4th Place "&amp;$A265)))))</f>
        <v>4th Place Court 2</v>
      </c>
      <c r="AM265" s="403"/>
      <c r="AN265" s="403"/>
      <c r="AO265" s="404"/>
    </row>
    <row r="266" spans="1:49" ht="13.5" thickBot="1" x14ac:dyDescent="0.25">
      <c r="A266" s="83" t="s">
        <v>1026</v>
      </c>
      <c r="B266" s="373">
        <f>IF($AF$178=1,$E$178,IF($AF$180=1,$E$180,IF($AF$182=1,$E$182,IF($AF$184=1,$E$184,IF($AF$186=1,$E$186,"1st Place "&amp;$A266)))))</f>
        <v>0</v>
      </c>
      <c r="C266" s="374"/>
      <c r="D266" s="374"/>
      <c r="E266" s="374"/>
      <c r="F266" s="374"/>
      <c r="G266" s="374"/>
      <c r="H266" s="375">
        <f>IF($AF$178=1,$E$179,IF($AF$180=1,$E$181,IF($AF$182=1,$E$183,IF($AF$184=1,$E$185,IF($AF$186=1,$E$187,"1st Place "&amp;$A266)))))</f>
        <v>0</v>
      </c>
      <c r="I266" s="375"/>
      <c r="J266" s="375"/>
      <c r="K266" s="376"/>
      <c r="L266" s="377" t="str">
        <f>IF($AF$178=2,$E$178,IF($AF$180=2,$E$180,IF($AF$182=2,$E$182,IF($AF$184=2,$E$184,IF($AF$186=2,$E$186,"2nd Place "&amp;$A266)))))</f>
        <v>SC Midlands KP Garnet</v>
      </c>
      <c r="M266" s="378"/>
      <c r="N266" s="378"/>
      <c r="O266" s="378"/>
      <c r="P266" s="378"/>
      <c r="Q266" s="378"/>
      <c r="R266" s="379" t="str">
        <f>IF($AF$178=2,$E$179,IF($AF$180=2,$E$181,IF($AF$182=2,$E$183,IF($AF$184=2,$E$185,IF($AF$186=2,$E$187,"2nd Place "&amp;$A266)))))</f>
        <v>fj2scmid5pm</v>
      </c>
      <c r="S266" s="379"/>
      <c r="T266" s="379"/>
      <c r="U266" s="380"/>
      <c r="V266" s="381" t="str">
        <f>IF($AF$178=3,$E$178,IF($AF$180=3,$E$180,IF($AF$182=3,$E$182,IF($AF$184=3,$E$184,IF($AF$186=3,$E$186,"3rd Place "&amp;$A266)))))</f>
        <v>Kershaw Dev 12 Black</v>
      </c>
      <c r="W266" s="382"/>
      <c r="X266" s="382"/>
      <c r="Y266" s="382"/>
      <c r="Z266" s="382"/>
      <c r="AA266" s="382"/>
      <c r="AB266" s="383" t="str">
        <f>IF($AF$178=3,$E$179,IF($AF$180=3,$E$181,IF($AF$182=3,$E$183,IF($AF$184=3,$E$185,IF($AF$186=3,$E$187,"3rd Place "&amp;$A266)))))</f>
        <v>fj2kersh3pm</v>
      </c>
      <c r="AC266" s="383"/>
      <c r="AD266" s="383"/>
      <c r="AE266" s="384"/>
      <c r="AF266" s="369" t="str">
        <f>IF($AF$178=4,$E$178,IF($AF$180=4,$E$180,IF($AF$182=4,$E$182,IF($AF$184=4,$E$184,IF($AF$186=4,$E$186,"4th Place "&amp;$A266)))))</f>
        <v>4th Place Court 3</v>
      </c>
      <c r="AG266" s="370"/>
      <c r="AH266" s="370"/>
      <c r="AI266" s="370"/>
      <c r="AJ266" s="370"/>
      <c r="AK266" s="370"/>
      <c r="AL266" s="371" t="str">
        <f>IF($AF$178=4,$E$179,IF($AF$180=4,$E$181,IF($AF$182=4,$E$183,IF($AF$184=4,$E$185,IF($AF$186=4,$E$187,"4th Place "&amp;$A266)))))</f>
        <v>4th Place Court 3</v>
      </c>
      <c r="AM266" s="371"/>
      <c r="AN266" s="371"/>
      <c r="AO266" s="372"/>
    </row>
  </sheetData>
  <sheetProtection formatCells="0" selectLockedCells="1"/>
  <mergeCells count="455">
    <mergeCell ref="B264:G264"/>
    <mergeCell ref="H264:K264"/>
    <mergeCell ref="L264:Q264"/>
    <mergeCell ref="R264:U264"/>
    <mergeCell ref="V264:AA264"/>
    <mergeCell ref="AB264:AE264"/>
    <mergeCell ref="AF266:AK266"/>
    <mergeCell ref="AL266:AO266"/>
    <mergeCell ref="B266:G266"/>
    <mergeCell ref="H266:K266"/>
    <mergeCell ref="L266:Q266"/>
    <mergeCell ref="R266:U266"/>
    <mergeCell ref="V266:AA266"/>
    <mergeCell ref="AB266:AE266"/>
    <mergeCell ref="AF264:AK264"/>
    <mergeCell ref="AL264:AO264"/>
    <mergeCell ref="B265:G265"/>
    <mergeCell ref="H265:K265"/>
    <mergeCell ref="L265:Q265"/>
    <mergeCell ref="R265:U265"/>
    <mergeCell ref="V265:AA265"/>
    <mergeCell ref="AB265:AE265"/>
    <mergeCell ref="AF265:AK265"/>
    <mergeCell ref="AL265:AO265"/>
    <mergeCell ref="A261:AQ261"/>
    <mergeCell ref="A262:A263"/>
    <mergeCell ref="B262:K262"/>
    <mergeCell ref="L262:U262"/>
    <mergeCell ref="V262:AE262"/>
    <mergeCell ref="AF262:AO262"/>
    <mergeCell ref="B263:G263"/>
    <mergeCell ref="H263:K263"/>
    <mergeCell ref="L263:Q263"/>
    <mergeCell ref="R263:U263"/>
    <mergeCell ref="V263:AA263"/>
    <mergeCell ref="AB263:AE263"/>
    <mergeCell ref="AF263:AK263"/>
    <mergeCell ref="AL263:AO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Z23:AB23"/>
    <mergeCell ref="AC23:AE23"/>
    <mergeCell ref="AT23:AV24"/>
    <mergeCell ref="AG57:AK57"/>
    <mergeCell ref="A89:AM89"/>
    <mergeCell ref="AN89:AQ89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V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93 A178 A8">
    <cfRule type="expression" dxfId="5336" priority="339" stopIfTrue="1">
      <formula>IF(AK9&gt;0,0,1)</formula>
    </cfRule>
  </conditionalFormatting>
  <conditionalFormatting sqref="A95:A96 A180:A181 A10:A11">
    <cfRule type="expression" dxfId="5335" priority="338" stopIfTrue="1">
      <formula>IF(AK9&gt;1,0,1)</formula>
    </cfRule>
  </conditionalFormatting>
  <conditionalFormatting sqref="A97:A98 A182:A183 A12:A13">
    <cfRule type="expression" dxfId="5334" priority="337" stopIfTrue="1">
      <formula>IF(AK9&gt;2,0,1)</formula>
    </cfRule>
  </conditionalFormatting>
  <conditionalFormatting sqref="A99:A100 A184:A185 A14:A15">
    <cfRule type="expression" dxfId="5333" priority="336" stopIfTrue="1">
      <formula>IF(AK9&gt;3,0,1)</formula>
    </cfRule>
  </conditionalFormatting>
  <conditionalFormatting sqref="A101:A102 A186:A187 A16:A17">
    <cfRule type="expression" dxfId="5332" priority="335" stopIfTrue="1">
      <formula>IF(AK9&gt;4,0,1)</formula>
    </cfRule>
  </conditionalFormatting>
  <conditionalFormatting sqref="B8 B178 B93">
    <cfRule type="expression" dxfId="5331" priority="334" stopIfTrue="1">
      <formula>IF(AK9&gt;0,0,1)</formula>
    </cfRule>
  </conditionalFormatting>
  <conditionalFormatting sqref="B9 B179 B94">
    <cfRule type="expression" dxfId="5330" priority="333" stopIfTrue="1">
      <formula>IF(AK9&gt;0,0,1)</formula>
    </cfRule>
  </conditionalFormatting>
  <conditionalFormatting sqref="B10 B180 B95">
    <cfRule type="expression" dxfId="5329" priority="332" stopIfTrue="1">
      <formula>IF(AK9&gt;1,0,1)</formula>
    </cfRule>
  </conditionalFormatting>
  <conditionalFormatting sqref="B11:D11 B181:D181 B96:D96">
    <cfRule type="expression" dxfId="5328" priority="331" stopIfTrue="1">
      <formula>IF(AK9&gt;1,0,1)</formula>
    </cfRule>
  </conditionalFormatting>
  <conditionalFormatting sqref="B12:D12 B182:D182 B97:D97">
    <cfRule type="expression" dxfId="5327" priority="330" stopIfTrue="1">
      <formula>IF(AK9&gt;2,0,1)</formula>
    </cfRule>
  </conditionalFormatting>
  <conditionalFormatting sqref="B13:D13 B183:D183 B98:D98">
    <cfRule type="expression" dxfId="5326" priority="329" stopIfTrue="1">
      <formula>IF(AK9&gt;2,0,1)</formula>
    </cfRule>
  </conditionalFormatting>
  <conditionalFormatting sqref="B14:D14 B184:D184 B99:D99">
    <cfRule type="expression" dxfId="5325" priority="328" stopIfTrue="1">
      <formula>IF(AK9&gt;3,0,1)</formula>
    </cfRule>
  </conditionalFormatting>
  <conditionalFormatting sqref="B15:D15 B185:D185 B100:D100">
    <cfRule type="expression" dxfId="5324" priority="327" stopIfTrue="1">
      <formula>IF(AK9&gt;3,0,1)</formula>
    </cfRule>
  </conditionalFormatting>
  <conditionalFormatting sqref="B16:D16 B186:D186 B101:D101">
    <cfRule type="expression" dxfId="5323" priority="326" stopIfTrue="1">
      <formula>IF(AK9&gt;4,0,1)</formula>
    </cfRule>
  </conditionalFormatting>
  <conditionalFormatting sqref="B17:D17 B187:D187 B102:D102">
    <cfRule type="expression" dxfId="5322" priority="325" stopIfTrue="1">
      <formula>IF(AK9&gt;4,0,1)</formula>
    </cfRule>
  </conditionalFormatting>
  <conditionalFormatting sqref="E178">
    <cfRule type="expression" dxfId="5321" priority="324" stopIfTrue="1">
      <formula>IF(AK179&gt;0,0,1)</formula>
    </cfRule>
  </conditionalFormatting>
  <conditionalFormatting sqref="E179">
    <cfRule type="expression" dxfId="5320" priority="323" stopIfTrue="1">
      <formula>IF(AK179&gt;0,0,1)</formula>
    </cfRule>
  </conditionalFormatting>
  <conditionalFormatting sqref="E180">
    <cfRule type="expression" dxfId="5319" priority="322" stopIfTrue="1">
      <formula>IF(AK179&gt;1,0,1)</formula>
    </cfRule>
  </conditionalFormatting>
  <conditionalFormatting sqref="E181">
    <cfRule type="expression" dxfId="5318" priority="321" stopIfTrue="1">
      <formula>IF(AK179&gt;1,0,1)</formula>
    </cfRule>
  </conditionalFormatting>
  <conditionalFormatting sqref="E182">
    <cfRule type="expression" dxfId="5317" priority="320" stopIfTrue="1">
      <formula>IF(AK179&gt;2,0,1)</formula>
    </cfRule>
  </conditionalFormatting>
  <conditionalFormatting sqref="E183">
    <cfRule type="expression" dxfId="5316" priority="319" stopIfTrue="1">
      <formula>IF(AK179&gt;2,0,1)</formula>
    </cfRule>
  </conditionalFormatting>
  <conditionalFormatting sqref="E184">
    <cfRule type="expression" dxfId="5315" priority="318" stopIfTrue="1">
      <formula>IF(AK179&gt;3,0,1)</formula>
    </cfRule>
  </conditionalFormatting>
  <conditionalFormatting sqref="E185">
    <cfRule type="expression" dxfId="5314" priority="317" stopIfTrue="1">
      <formula>IF(AK179&gt;3,0,1)</formula>
    </cfRule>
  </conditionalFormatting>
  <conditionalFormatting sqref="E16 E101 E186">
    <cfRule type="expression" dxfId="5313" priority="316" stopIfTrue="1">
      <formula>IF(AK9&gt;4,0,1)</formula>
    </cfRule>
  </conditionalFormatting>
  <conditionalFormatting sqref="E17 E102 E187">
    <cfRule type="expression" dxfId="5312" priority="315" stopIfTrue="1">
      <formula>IF(AK9&gt;4,0,1)</formula>
    </cfRule>
  </conditionalFormatting>
  <conditionalFormatting sqref="AC93 AC178 AC8">
    <cfRule type="expression" dxfId="5311" priority="314" stopIfTrue="1">
      <formula>IF(AK11=1,IF(AK9&gt;0,0,1),1)</formula>
    </cfRule>
  </conditionalFormatting>
  <conditionalFormatting sqref="AC95:AE96 AC180:AE181 AC10:AE11">
    <cfRule type="expression" dxfId="5310" priority="313" stopIfTrue="1">
      <formula>IF(AK11=1,IF(AK9&gt;1,0,1),1)</formula>
    </cfRule>
  </conditionalFormatting>
  <conditionalFormatting sqref="AC97:AE98 AC182:AE183 AC12:AE13">
    <cfRule type="expression" dxfId="5309" priority="312" stopIfTrue="1">
      <formula>IF(AK11=1,IF(AK9&gt;2,0,1),1)</formula>
    </cfRule>
  </conditionalFormatting>
  <conditionalFormatting sqref="AC99:AE100 AC184:AE185 AC14:AE15">
    <cfRule type="expression" dxfId="5308" priority="311" stopIfTrue="1">
      <formula>IF(AK11=1,IF(AK9&gt;3,0,1),1)</formula>
    </cfRule>
  </conditionalFormatting>
  <conditionalFormatting sqref="AC101:AE102 AC186:AE187 AC16:AE17">
    <cfRule type="expression" dxfId="5307" priority="310" stopIfTrue="1">
      <formula>IF(AK11=1,IF(AK9&gt;4,0,1),1)</formula>
    </cfRule>
  </conditionalFormatting>
  <conditionalFormatting sqref="AH93 AH178 AH8">
    <cfRule type="expression" dxfId="5306" priority="309" stopIfTrue="1">
      <formula>IF(AK9&gt;0,0,1)</formula>
    </cfRule>
  </conditionalFormatting>
  <conditionalFormatting sqref="AH95:AI96 AH180:AI181 AH10:AI11">
    <cfRule type="expression" dxfId="5305" priority="308" stopIfTrue="1">
      <formula>IF(AK9&gt;1,0,1)</formula>
    </cfRule>
  </conditionalFormatting>
  <conditionalFormatting sqref="AH97:AI98 AH182:AI183 AH12:AI13">
    <cfRule type="expression" dxfId="5304" priority="307" stopIfTrue="1">
      <formula>IF(AK9&gt;2,0,1)</formula>
    </cfRule>
  </conditionalFormatting>
  <conditionalFormatting sqref="AH99:AI100 AH184:AI185 AH14:AI15">
    <cfRule type="expression" dxfId="5303" priority="306" stopIfTrue="1">
      <formula>IF(AK9&gt;3,0,1)</formula>
    </cfRule>
  </conditionalFormatting>
  <conditionalFormatting sqref="AH101:AI102 AH186:AI187 AH16:AI17">
    <cfRule type="expression" dxfId="5302" priority="305" stopIfTrue="1">
      <formula>IF(AK9&gt;4,0,1)</formula>
    </cfRule>
  </conditionalFormatting>
  <conditionalFormatting sqref="K189:M189 K19:M19 K104:M104">
    <cfRule type="expression" dxfId="5301" priority="304" stopIfTrue="1">
      <formula>IF(AK8&gt;3,0,1)</formula>
    </cfRule>
  </conditionalFormatting>
  <conditionalFormatting sqref="N189:P189 N19:P19 N104:P104">
    <cfRule type="expression" dxfId="5300" priority="303" stopIfTrue="1">
      <formula>IF(AK8&gt;4,0,1)</formula>
    </cfRule>
  </conditionalFormatting>
  <conditionalFormatting sqref="Q189:S189 Q19:S19 Q104:S104">
    <cfRule type="expression" dxfId="5299" priority="302" stopIfTrue="1">
      <formula>IF(AK8&gt;5,0,1)</formula>
    </cfRule>
  </conditionalFormatting>
  <conditionalFormatting sqref="T189:V189 T19:V19 T104:V104">
    <cfRule type="expression" dxfId="5298" priority="301" stopIfTrue="1">
      <formula>IF(AK8&gt;6,0,1)</formula>
    </cfRule>
  </conditionalFormatting>
  <conditionalFormatting sqref="W189:Y189 W19:Y19 W104:Y104">
    <cfRule type="expression" dxfId="5297" priority="300" stopIfTrue="1">
      <formula>IF(AK8&gt;7,0,1)</formula>
    </cfRule>
  </conditionalFormatting>
  <conditionalFormatting sqref="Z189:AB189 Z19:AB19 Z104:AB104">
    <cfRule type="expression" dxfId="5296" priority="299" stopIfTrue="1">
      <formula>IF(AK8&gt;8,0,1)</formula>
    </cfRule>
  </conditionalFormatting>
  <conditionalFormatting sqref="AC189:AE189 AC19:AE19 AC104:AE104">
    <cfRule type="expression" dxfId="5295" priority="298" stopIfTrue="1">
      <formula>IF(AK8&gt;9,0,1)</formula>
    </cfRule>
  </conditionalFormatting>
  <conditionalFormatting sqref="B20:D20 B105:D105 B190:D190">
    <cfRule type="expression" dxfId="5294" priority="297" stopIfTrue="1">
      <formula>IF(AK8&gt;0,0,1)</formula>
    </cfRule>
  </conditionalFormatting>
  <conditionalFormatting sqref="E20:G20 E105:G105 E190:G190">
    <cfRule type="expression" dxfId="5293" priority="296" stopIfTrue="1">
      <formula>IF(AK8&gt;1,0,1)</formula>
    </cfRule>
  </conditionalFormatting>
  <conditionalFormatting sqref="H20:J20 H105:J105 H190:J190">
    <cfRule type="expression" dxfId="5292" priority="295" stopIfTrue="1">
      <formula>IF(AK8&gt;2,0,1)</formula>
    </cfRule>
  </conditionalFormatting>
  <conditionalFormatting sqref="K190:M190 K105:M105 K20:M20">
    <cfRule type="expression" dxfId="5291" priority="294" stopIfTrue="1">
      <formula>IF(AK8&gt;3,0,1)</formula>
    </cfRule>
  </conditionalFormatting>
  <conditionalFormatting sqref="N190:P190 N105:P105 N20:P20">
    <cfRule type="expression" dxfId="5290" priority="293" stopIfTrue="1">
      <formula>IF(AK8&gt;4,0,1)</formula>
    </cfRule>
  </conditionalFormatting>
  <conditionalFormatting sqref="Q190:S190 Q105:S105 Q20:S20">
    <cfRule type="expression" dxfId="5289" priority="292" stopIfTrue="1">
      <formula>IF(AK8&gt;5,0,1)</formula>
    </cfRule>
  </conditionalFormatting>
  <conditionalFormatting sqref="T190:V190 T105:V105 T20:V20">
    <cfRule type="expression" dxfId="5288" priority="291" stopIfTrue="1">
      <formula>IF(AK8&gt;6,0,1)</formula>
    </cfRule>
  </conditionalFormatting>
  <conditionalFormatting sqref="W190:Y190 W105:Y105 W20:Y20">
    <cfRule type="expression" dxfId="5287" priority="290" stopIfTrue="1">
      <formula>IF(AK8&gt;7,0,1)</formula>
    </cfRule>
  </conditionalFormatting>
  <conditionalFormatting sqref="Z190:AB190 Z105:AB105 Z20:AB20">
    <cfRule type="expression" dxfId="5286" priority="289" stopIfTrue="1">
      <formula>IF(AK8&gt;8,0,1)</formula>
    </cfRule>
  </conditionalFormatting>
  <conditionalFormatting sqref="AC190:AE190 AC105:AE105 AC20:AE20">
    <cfRule type="expression" dxfId="5285" priority="288" stopIfTrue="1">
      <formula>IF(AK8&gt;9,0,1)</formula>
    </cfRule>
  </conditionalFormatting>
  <conditionalFormatting sqref="E192:G192">
    <cfRule type="expression" dxfId="5284" priority="287" stopIfTrue="1">
      <formula>IF(AK178&gt;1,0,1)</formula>
    </cfRule>
  </conditionalFormatting>
  <conditionalFormatting sqref="H192:J192">
    <cfRule type="expression" dxfId="5283" priority="286" stopIfTrue="1">
      <formula>IF(AK178&gt;2,0,1)</formula>
    </cfRule>
  </conditionalFormatting>
  <conditionalFormatting sqref="K192:M192">
    <cfRule type="expression" dxfId="5282" priority="285" stopIfTrue="1">
      <formula>IF(AK178&gt;3,0,1)</formula>
    </cfRule>
  </conditionalFormatting>
  <conditionalFormatting sqref="N192:P192">
    <cfRule type="expression" dxfId="5281" priority="284" stopIfTrue="1">
      <formula>IF(AK178&gt;4,0,1)</formula>
    </cfRule>
  </conditionalFormatting>
  <conditionalFormatting sqref="Q192:S192">
    <cfRule type="expression" dxfId="5280" priority="283" stopIfTrue="1">
      <formula>IF(AK178&gt;5,0,1)</formula>
    </cfRule>
  </conditionalFormatting>
  <conditionalFormatting sqref="T22:V22 T192:V192 T107:V107">
    <cfRule type="expression" dxfId="5279" priority="282" stopIfTrue="1">
      <formula>IF(AK8&gt;6,0,1)</formula>
    </cfRule>
  </conditionalFormatting>
  <conditionalFormatting sqref="W22:Y22 W192:Y192 W107:Y107">
    <cfRule type="expression" dxfId="5278" priority="281" stopIfTrue="1">
      <formula>IF(AK8&gt;7,0,1)</formula>
    </cfRule>
  </conditionalFormatting>
  <conditionalFormatting sqref="Z22:AB22 Z192:AB192 Z107:AB107">
    <cfRule type="expression" dxfId="5277" priority="280" stopIfTrue="1">
      <formula>IF(AK8&gt;8,0,1)</formula>
    </cfRule>
  </conditionalFormatting>
  <conditionalFormatting sqref="AC22:AE22 AC192:AE192 AC107:AE107">
    <cfRule type="expression" dxfId="5276" priority="279" stopIfTrue="1">
      <formula>IF(AK8&gt;9,0,1)</formula>
    </cfRule>
  </conditionalFormatting>
  <conditionalFormatting sqref="B194">
    <cfRule type="expression" dxfId="5275" priority="278" stopIfTrue="1">
      <formula>IF(AK178&gt;0,0,1)</formula>
    </cfRule>
  </conditionalFormatting>
  <conditionalFormatting sqref="C194">
    <cfRule type="expression" dxfId="5274" priority="277" stopIfTrue="1">
      <formula>IF(AK178&gt;0,0,1)</formula>
    </cfRule>
  </conditionalFormatting>
  <conditionalFormatting sqref="D194">
    <cfRule type="expression" dxfId="5273" priority="276" stopIfTrue="1">
      <formula>IF(AK178&gt;0,0,1)</formula>
    </cfRule>
  </conditionalFormatting>
  <conditionalFormatting sqref="E193:G193">
    <cfRule type="expression" dxfId="5272" priority="275" stopIfTrue="1">
      <formula>IF(AK178&gt;1,0,1)</formula>
    </cfRule>
  </conditionalFormatting>
  <conditionalFormatting sqref="F194">
    <cfRule type="expression" dxfId="5271" priority="274" stopIfTrue="1">
      <formula>IF(AK178&gt;1,0,1)</formula>
    </cfRule>
  </conditionalFormatting>
  <conditionalFormatting sqref="G194">
    <cfRule type="expression" dxfId="5270" priority="273" stopIfTrue="1">
      <formula>IF(AK178&gt;1,0,1)</formula>
    </cfRule>
  </conditionalFormatting>
  <conditionalFormatting sqref="H193:J193">
    <cfRule type="expression" dxfId="5269" priority="272" stopIfTrue="1">
      <formula>IF(AK178&gt;2,0,1)</formula>
    </cfRule>
  </conditionalFormatting>
  <conditionalFormatting sqref="I194">
    <cfRule type="expression" dxfId="5268" priority="271" stopIfTrue="1">
      <formula>IF(AK178&gt;2,0,1)</formula>
    </cfRule>
  </conditionalFormatting>
  <conditionalFormatting sqref="J194">
    <cfRule type="expression" dxfId="5267" priority="270" stopIfTrue="1">
      <formula>IF(AK178&gt;2,0,1)</formula>
    </cfRule>
  </conditionalFormatting>
  <conditionalFormatting sqref="K193:M193">
    <cfRule type="expression" dxfId="5266" priority="269" stopIfTrue="1">
      <formula>IF(AK178&gt;3,0,1)</formula>
    </cfRule>
  </conditionalFormatting>
  <conditionalFormatting sqref="L194">
    <cfRule type="expression" dxfId="5265" priority="268" stopIfTrue="1">
      <formula>IF(AK178&gt;3,0,1)</formula>
    </cfRule>
  </conditionalFormatting>
  <conditionalFormatting sqref="M194">
    <cfRule type="expression" dxfId="5264" priority="267" stopIfTrue="1">
      <formula>IF(AK178&gt;3,0,1)</formula>
    </cfRule>
  </conditionalFormatting>
  <conditionalFormatting sqref="N193:P193">
    <cfRule type="expression" dxfId="5263" priority="266" stopIfTrue="1">
      <formula>IF(AK178&gt;4,0,1)</formula>
    </cfRule>
  </conditionalFormatting>
  <conditionalFormatting sqref="O194">
    <cfRule type="expression" dxfId="5262" priority="265" stopIfTrue="1">
      <formula>IF(AK178&gt;4,0,1)</formula>
    </cfRule>
  </conditionalFormatting>
  <conditionalFormatting sqref="P194">
    <cfRule type="expression" dxfId="5261" priority="264" stopIfTrue="1">
      <formula>IF(AK178&gt;4,0,1)</formula>
    </cfRule>
  </conditionalFormatting>
  <conditionalFormatting sqref="Q193:S193">
    <cfRule type="expression" dxfId="5260" priority="263" stopIfTrue="1">
      <formula>IF(AK178&gt;5,0,1)</formula>
    </cfRule>
  </conditionalFormatting>
  <conditionalFormatting sqref="R194">
    <cfRule type="expression" dxfId="5259" priority="262" stopIfTrue="1">
      <formula>IF(AK178&gt;5,0,1)</formula>
    </cfRule>
  </conditionalFormatting>
  <conditionalFormatting sqref="S194">
    <cfRule type="expression" dxfId="5258" priority="261" stopIfTrue="1">
      <formula>IF(AK178&gt;5,0,1)</formula>
    </cfRule>
  </conditionalFormatting>
  <conditionalFormatting sqref="T193:V193 T108:V108 T23:V23">
    <cfRule type="expression" dxfId="5257" priority="260" stopIfTrue="1">
      <formula>IF(AK8&gt;6,0,1)</formula>
    </cfRule>
  </conditionalFormatting>
  <conditionalFormatting sqref="U24 U194 U109">
    <cfRule type="expression" dxfId="5256" priority="259" stopIfTrue="1">
      <formula>IF(AK8&gt;6,0,1)</formula>
    </cfRule>
  </conditionalFormatting>
  <conditionalFormatting sqref="V24 V194 V109">
    <cfRule type="expression" dxfId="5255" priority="258" stopIfTrue="1">
      <formula>IF(AK8&gt;6,0,1)</formula>
    </cfRule>
  </conditionalFormatting>
  <conditionalFormatting sqref="W193:Y193 W108:Y108 W23:Y23">
    <cfRule type="expression" dxfId="5254" priority="257" stopIfTrue="1">
      <formula>IF(AK8&gt;7,0,1)</formula>
    </cfRule>
  </conditionalFormatting>
  <conditionalFormatting sqref="X24 X194 X109">
    <cfRule type="expression" dxfId="5253" priority="256" stopIfTrue="1">
      <formula>IF(AK8&gt;7,0,1)</formula>
    </cfRule>
  </conditionalFormatting>
  <conditionalFormatting sqref="Y24 Y194 Y109">
    <cfRule type="expression" dxfId="5252" priority="255" stopIfTrue="1">
      <formula>IF(AK8&gt;7,0,1)</formula>
    </cfRule>
  </conditionalFormatting>
  <conditionalFormatting sqref="Z193:AB193 Z108:AB108 Z23:AB23">
    <cfRule type="expression" dxfId="5251" priority="254" stopIfTrue="1">
      <formula>IF(AK8&gt;8,0,1)</formula>
    </cfRule>
  </conditionalFormatting>
  <conditionalFormatting sqref="AA24 AA194 AA109">
    <cfRule type="expression" dxfId="5250" priority="253" stopIfTrue="1">
      <formula>IF(AK8&gt;8,0,1)</formula>
    </cfRule>
  </conditionalFormatting>
  <conditionalFormatting sqref="AB24 AB194 AB109">
    <cfRule type="expression" dxfId="5249" priority="252" stopIfTrue="1">
      <formula>IF(AK8&gt;8,0,1)</formula>
    </cfRule>
  </conditionalFormatting>
  <conditionalFormatting sqref="AC193:AE193 AC108:AE108 AC23:AE23">
    <cfRule type="expression" dxfId="5248" priority="251" stopIfTrue="1">
      <formula>IF(AK8&gt;9,0,1)</formula>
    </cfRule>
  </conditionalFormatting>
  <conditionalFormatting sqref="AD24 AD194 AD109">
    <cfRule type="expression" dxfId="5247" priority="250" stopIfTrue="1">
      <formula>IF(AK8&gt;9,0,1)</formula>
    </cfRule>
  </conditionalFormatting>
  <conditionalFormatting sqref="AE24 AE194 AE109">
    <cfRule type="expression" dxfId="5246" priority="249" stopIfTrue="1">
      <formula>IF(AK8&gt;9,0,1)</formula>
    </cfRule>
  </conditionalFormatting>
  <conditionalFormatting sqref="A26 A196 A111">
    <cfRule type="expression" dxfId="5245" priority="248" stopIfTrue="1">
      <formula>IF(AK7&gt;1,0,1)</formula>
    </cfRule>
  </conditionalFormatting>
  <conditionalFormatting sqref="A27 A197 A112">
    <cfRule type="expression" dxfId="5244" priority="247" stopIfTrue="1">
      <formula>IF(AK7&gt;2,0,1)</formula>
    </cfRule>
  </conditionalFormatting>
  <conditionalFormatting sqref="A28 A198 A113">
    <cfRule type="expression" dxfId="5243" priority="246" stopIfTrue="1">
      <formula>IF(AK7&gt;3,0,1)</formula>
    </cfRule>
  </conditionalFormatting>
  <conditionalFormatting sqref="A29 A199 A114">
    <cfRule type="expression" dxfId="5242" priority="245" stopIfTrue="1">
      <formula>IF(AK7&gt;4,0,1)</formula>
    </cfRule>
  </conditionalFormatting>
  <conditionalFormatting sqref="B195:D195">
    <cfRule type="expression" dxfId="5241" priority="244" stopIfTrue="1">
      <formula>IF($AK178&gt;0,0,1)</formula>
    </cfRule>
  </conditionalFormatting>
  <conditionalFormatting sqref="B26:D26 B196:D196 B111:D111">
    <cfRule type="expression" dxfId="5240" priority="243" stopIfTrue="1">
      <formula>IF($AK8&lt;1,1,IF($AK7&lt;2,1,0))</formula>
    </cfRule>
  </conditionalFormatting>
  <conditionalFormatting sqref="B27:D27 B197:D197 B112:D112">
    <cfRule type="expression" dxfId="5239" priority="242" stopIfTrue="1">
      <formula>IF($AK8&lt;1,1,IF($AK7&lt;3,1,0))</formula>
    </cfRule>
  </conditionalFormatting>
  <conditionalFormatting sqref="B28:D28 B198:D198 B113:D113">
    <cfRule type="expression" dxfId="5238" priority="241" stopIfTrue="1">
      <formula>IF($AK8&lt;1,1,IF($AK7&lt;4,1,0))</formula>
    </cfRule>
  </conditionalFormatting>
  <conditionalFormatting sqref="B29:D29 B199:D199 B114:D114">
    <cfRule type="expression" dxfId="5237" priority="240" stopIfTrue="1">
      <formula>IF($AK8&lt;1,1,IF($AK7&lt;5,1,0))</formula>
    </cfRule>
  </conditionalFormatting>
  <conditionalFormatting sqref="AF26 AF196 AF111">
    <cfRule type="expression" dxfId="5236" priority="239" stopIfTrue="1">
      <formula>IF($AK9&gt;2,0,1)</formula>
    </cfRule>
  </conditionalFormatting>
  <conditionalFormatting sqref="AF25 AF195 AF110">
    <cfRule type="expression" dxfId="5235" priority="238" stopIfTrue="1">
      <formula>IF($AK9&gt;1,0,1)</formula>
    </cfRule>
  </conditionalFormatting>
  <conditionalFormatting sqref="AF24 AF194 AF109">
    <cfRule type="expression" dxfId="5234" priority="237" stopIfTrue="1">
      <formula>IF($AK9&gt;0,0,1)</formula>
    </cfRule>
  </conditionalFormatting>
  <conditionalFormatting sqref="AF27 AF197 AF112">
    <cfRule type="expression" dxfId="5233" priority="236" stopIfTrue="1">
      <formula>IF($AK9&gt;3,0,1)</formula>
    </cfRule>
  </conditionalFormatting>
  <conditionalFormatting sqref="AF28 AF198 AF113">
    <cfRule type="expression" dxfId="5232" priority="235" stopIfTrue="1">
      <formula>IF($AK9&gt;4,0,1)</formula>
    </cfRule>
  </conditionalFormatting>
  <conditionalFormatting sqref="AG23 AG193 AG108">
    <cfRule type="expression" dxfId="5231" priority="234" stopIfTrue="1">
      <formula>IF($AK8&lt;1,1,0)</formula>
    </cfRule>
  </conditionalFormatting>
  <conditionalFormatting sqref="AH23 AH193 AH108">
    <cfRule type="expression" dxfId="5230" priority="233" stopIfTrue="1">
      <formula>IF($AK8&lt;2,1,0)</formula>
    </cfRule>
  </conditionalFormatting>
  <conditionalFormatting sqref="AI23 AI193 AI108">
    <cfRule type="expression" dxfId="5229" priority="232" stopIfTrue="1">
      <formula>IF($AK8&lt;3,1,0)</formula>
    </cfRule>
  </conditionalFormatting>
  <conditionalFormatting sqref="AJ23 AJ193 AJ108">
    <cfRule type="expression" dxfId="5228" priority="231" stopIfTrue="1">
      <formula>IF($AK8&lt;4,1,0)</formula>
    </cfRule>
  </conditionalFormatting>
  <conditionalFormatting sqref="AK23 AK193 AK108">
    <cfRule type="expression" dxfId="5227" priority="230" stopIfTrue="1">
      <formula>IF($AK8&lt;5,1,0)</formula>
    </cfRule>
  </conditionalFormatting>
  <conditionalFormatting sqref="AL23 AL193 AL108">
    <cfRule type="expression" dxfId="5226" priority="229" stopIfTrue="1">
      <formula>IF($AK8&lt;6,1,0)</formula>
    </cfRule>
  </conditionalFormatting>
  <conditionalFormatting sqref="AM23 AM193 AM108">
    <cfRule type="expression" dxfId="5225" priority="228" stopIfTrue="1">
      <formula>IF($AK8&lt;7,1,0)</formula>
    </cfRule>
  </conditionalFormatting>
  <conditionalFormatting sqref="AN23 AN193 AN108">
    <cfRule type="expression" dxfId="5224" priority="227" stopIfTrue="1">
      <formula>IF($AK8&lt;8,1,0)</formula>
    </cfRule>
  </conditionalFormatting>
  <conditionalFormatting sqref="AO23 AO193 AO108">
    <cfRule type="expression" dxfId="5223" priority="226" stopIfTrue="1">
      <formula>IF($AK8&lt;9,1,0)</formula>
    </cfRule>
  </conditionalFormatting>
  <conditionalFormatting sqref="AP23 AP193 AP108">
    <cfRule type="expression" dxfId="5222" priority="225" stopIfTrue="1">
      <formula>IF($AK8&lt;10,1,0)</formula>
    </cfRule>
  </conditionalFormatting>
  <conditionalFormatting sqref="AQ24 AQ194 AQ109">
    <cfRule type="expression" dxfId="5221" priority="224" stopIfTrue="1">
      <formula>IF($AK9&gt;0,0,1)</formula>
    </cfRule>
  </conditionalFormatting>
  <conditionalFormatting sqref="AQ25 AQ195 AQ110">
    <cfRule type="expression" dxfId="5220" priority="223" stopIfTrue="1">
      <formula>IF($AK9&gt;1,0,1)</formula>
    </cfRule>
  </conditionalFormatting>
  <conditionalFormatting sqref="AQ26 AQ196 AQ111 H195:J195">
    <cfRule type="expression" dxfId="5219" priority="222" stopIfTrue="1">
      <formula>IF($AK9&gt;2,0,1)</formula>
    </cfRule>
  </conditionalFormatting>
  <conditionalFormatting sqref="K195:M195">
    <cfRule type="expression" dxfId="5218" priority="221" stopIfTrue="1">
      <formula>IF($AK178&gt;3,0,1)</formula>
    </cfRule>
  </conditionalFormatting>
  <conditionalFormatting sqref="AQ28 AQ198 AQ113">
    <cfRule type="expression" dxfId="5217" priority="220" stopIfTrue="1">
      <formula>IF($AK9&gt;4,0,1)</formula>
    </cfRule>
  </conditionalFormatting>
  <conditionalFormatting sqref="E26:G26 E196:G196 E111:G111">
    <cfRule type="expression" dxfId="5216" priority="219" stopIfTrue="1">
      <formula>IF($AK8&lt;2,1,IF($AK7&lt;2,1,0))</formula>
    </cfRule>
  </conditionalFormatting>
  <conditionalFormatting sqref="E27:G27 E197:G197 E112:G112">
    <cfRule type="expression" dxfId="5215" priority="218" stopIfTrue="1">
      <formula>IF($AK8&lt;2,1,IF($AK7&lt;3,1,0))</formula>
    </cfRule>
  </conditionalFormatting>
  <conditionalFormatting sqref="E28:G28 E198:G198 E113:G113">
    <cfRule type="expression" dxfId="5214" priority="217" stopIfTrue="1">
      <formula>IF($AK8&lt;2,1,IF($AK7&lt;4,1,0))</formula>
    </cfRule>
  </conditionalFormatting>
  <conditionalFormatting sqref="E29:G29 E199:G199 E114:G114">
    <cfRule type="expression" dxfId="5213" priority="216" stopIfTrue="1">
      <formula>IF($AK8&lt;2,1,IF($AK7&lt;5,1,0))</formula>
    </cfRule>
  </conditionalFormatting>
  <conditionalFormatting sqref="N195:P195">
    <cfRule type="expression" dxfId="5212" priority="215" stopIfTrue="1">
      <formula>IF($AK178&gt;4,0,1)</formula>
    </cfRule>
  </conditionalFormatting>
  <conditionalFormatting sqref="Q195:S195">
    <cfRule type="expression" dxfId="5211" priority="214" stopIfTrue="1">
      <formula>IF($AK178&gt;5,0,1)</formula>
    </cfRule>
  </conditionalFormatting>
  <conditionalFormatting sqref="T25:V25 T195:V195 T110:V110">
    <cfRule type="expression" dxfId="5210" priority="213" stopIfTrue="1">
      <formula>IF($AK8&gt;6,0,1)</formula>
    </cfRule>
  </conditionalFormatting>
  <conditionalFormatting sqref="W25:Y25 W195:Y195 W110:Y110">
    <cfRule type="expression" dxfId="5209" priority="212" stopIfTrue="1">
      <formula>IF($AK8&gt;7,0,1)</formula>
    </cfRule>
  </conditionalFormatting>
  <conditionalFormatting sqref="Z25:AB25 Z195:AB195 Z110:AB110">
    <cfRule type="expression" dxfId="5208" priority="211" stopIfTrue="1">
      <formula>IF($AK8&gt;8,0,1)</formula>
    </cfRule>
  </conditionalFormatting>
  <conditionalFormatting sqref="AC25:AE25 AC195:AE195 AC110:AE110">
    <cfRule type="expression" dxfId="5207" priority="210" stopIfTrue="1">
      <formula>IF($AK8&gt;9,0,1)</formula>
    </cfRule>
  </conditionalFormatting>
  <conditionalFormatting sqref="H26:J26 H196:J196 H111:J111">
    <cfRule type="expression" dxfId="5206" priority="209" stopIfTrue="1">
      <formula>IF($AK8&lt;3,1,IF($AK7&lt;2,1,0))</formula>
    </cfRule>
  </conditionalFormatting>
  <conditionalFormatting sqref="K26:M26 K196:M196 K111:M111">
    <cfRule type="expression" dxfId="5205" priority="208" stopIfTrue="1">
      <formula>IF($AK8&lt;4,1,IF($AK7&lt;2,1,0))</formula>
    </cfRule>
  </conditionalFormatting>
  <conditionalFormatting sqref="N26:P26 N196:P196 N111:P111">
    <cfRule type="expression" dxfId="5204" priority="207" stopIfTrue="1">
      <formula>IF($AK8&lt;5,1,IF($AK7&lt;2,1,0))</formula>
    </cfRule>
  </conditionalFormatting>
  <conditionalFormatting sqref="Q26:S26 Q196:S196 Q111:S111">
    <cfRule type="expression" dxfId="5203" priority="206" stopIfTrue="1">
      <formula>IF($AK8&lt;6,1,IF($AK7&lt;2,1,0))</formula>
    </cfRule>
  </conditionalFormatting>
  <conditionalFormatting sqref="T26:V26 T196:V196 T111:V111">
    <cfRule type="expression" dxfId="5202" priority="205" stopIfTrue="1">
      <formula>IF($AK8&lt;7,1,IF($AK7&lt;2,1,0))</formula>
    </cfRule>
  </conditionalFormatting>
  <conditionalFormatting sqref="W26:Y26 W196:Y196 W111:Y111">
    <cfRule type="expression" dxfId="5201" priority="204" stopIfTrue="1">
      <formula>IF($AK8&lt;8,1,IF($AK7&lt;2,1,0))</formula>
    </cfRule>
  </conditionalFormatting>
  <conditionalFormatting sqref="Z26:AB26 Z196:AB196 Z111:AB111">
    <cfRule type="expression" dxfId="5200" priority="203" stopIfTrue="1">
      <formula>IF($AK8&lt;9,1,IF($AK7&lt;2,1,0))</formula>
    </cfRule>
  </conditionalFormatting>
  <conditionalFormatting sqref="AC26:AE26 AC196:AE196 AC111:AE111">
    <cfRule type="expression" dxfId="5199" priority="202" stopIfTrue="1">
      <formula>IF($AK8&lt;10,1,IF($AK7&lt;2,1,0))</formula>
    </cfRule>
  </conditionalFormatting>
  <conditionalFormatting sqref="H27:J27 H197:J197 H112:J112">
    <cfRule type="expression" dxfId="5198" priority="201" stopIfTrue="1">
      <formula>IF($AK8&lt;3,1,IF($AK7&lt;3,1,0))</formula>
    </cfRule>
  </conditionalFormatting>
  <conditionalFormatting sqref="K27:M27 K197:M197 K112:M112">
    <cfRule type="expression" dxfId="5197" priority="200" stopIfTrue="1">
      <formula>IF($AK8&lt;4,1,IF($AK7&lt;3,1,0))</formula>
    </cfRule>
  </conditionalFormatting>
  <conditionalFormatting sqref="N27:P27 N197:P197 N112:P112">
    <cfRule type="expression" dxfId="5196" priority="199" stopIfTrue="1">
      <formula>IF($AK8&lt;5,1,IF($AK7&lt;3,1,0))</formula>
    </cfRule>
  </conditionalFormatting>
  <conditionalFormatting sqref="Q27:S27 Q197:S197 Q112:S112">
    <cfRule type="expression" dxfId="5195" priority="198" stopIfTrue="1">
      <formula>IF($AK8&lt;6,1,IF($AK7&lt;3,1,0))</formula>
    </cfRule>
  </conditionalFormatting>
  <conditionalFormatting sqref="T27:V27 T197:V197 T112:V112">
    <cfRule type="expression" dxfId="5194" priority="197" stopIfTrue="1">
      <formula>IF($AK8&lt;7,1,IF($AK7&lt;3,1,0))</formula>
    </cfRule>
  </conditionalFormatting>
  <conditionalFormatting sqref="W27:Y27 W197:Y197 W112:Y112">
    <cfRule type="expression" dxfId="5193" priority="196" stopIfTrue="1">
      <formula>IF($AK8&lt;8,1,IF($AK7&lt;3,1,0))</formula>
    </cfRule>
  </conditionalFormatting>
  <conditionalFormatting sqref="Z27:AB27 Z197:AB197 Z112:AB112">
    <cfRule type="expression" dxfId="5192" priority="195" stopIfTrue="1">
      <formula>IF($AK8&lt;9,1,IF($AK7&lt;3,1,0))</formula>
    </cfRule>
  </conditionalFormatting>
  <conditionalFormatting sqref="AC27:AE27 AC197:AE197 AC112:AE112">
    <cfRule type="expression" dxfId="5191" priority="194" stopIfTrue="1">
      <formula>IF($AK8&lt;10,1,IF($AK7&lt;3,1,0))</formula>
    </cfRule>
  </conditionalFormatting>
  <conditionalFormatting sqref="H28:J28 H198:J198 H113:J113">
    <cfRule type="expression" dxfId="5190" priority="193" stopIfTrue="1">
      <formula>IF($AK8&lt;3,1,IF($AK7&lt;4,1,0))</formula>
    </cfRule>
  </conditionalFormatting>
  <conditionalFormatting sqref="K28:M28 K198:M198 K113:M113">
    <cfRule type="expression" dxfId="5189" priority="192" stopIfTrue="1">
      <formula>IF($AK8&lt;4,1,IF($AK7&lt;4,1,0))</formula>
    </cfRule>
  </conditionalFormatting>
  <conditionalFormatting sqref="N28:P28 N198:P198 N113:P113">
    <cfRule type="expression" dxfId="5188" priority="191" stopIfTrue="1">
      <formula>IF($AK8&lt;5,1,IF($AK7&lt;4,1,0))</formula>
    </cfRule>
  </conditionalFormatting>
  <conditionalFormatting sqref="Q28:S28 Q198:S198 Q113:S113">
    <cfRule type="expression" dxfId="5187" priority="190" stopIfTrue="1">
      <formula>IF($AK8&lt;6,1,IF($AK7&lt;4,1,0))</formula>
    </cfRule>
  </conditionalFormatting>
  <conditionalFormatting sqref="T28:V28 T198:V198 T113:V113">
    <cfRule type="expression" dxfId="5186" priority="189" stopIfTrue="1">
      <formula>IF($AK8&lt;7,1,IF($AK7&lt;4,1,0))</formula>
    </cfRule>
  </conditionalFormatting>
  <conditionalFormatting sqref="W28:Y28 W198:Y198 W113:Y113">
    <cfRule type="expression" dxfId="5185" priority="188" stopIfTrue="1">
      <formula>IF($AK8&lt;8,1,IF($AK7&lt;4,1,0))</formula>
    </cfRule>
  </conditionalFormatting>
  <conditionalFormatting sqref="Z28:AB28 Z198:AB198 Z113:AB113">
    <cfRule type="expression" dxfId="5184" priority="187" stopIfTrue="1">
      <formula>IF($AK8&lt;9,1,IF($AK7&lt;4,1,0))</formula>
    </cfRule>
  </conditionalFormatting>
  <conditionalFormatting sqref="AC28:AE28 AC198:AE198 AC113:AE113">
    <cfRule type="expression" dxfId="5183" priority="186" stopIfTrue="1">
      <formula>IF($AK8&lt;10,1,IF($AK7&lt;4,1,0))</formula>
    </cfRule>
  </conditionalFormatting>
  <conditionalFormatting sqref="H29:J29 H199:J199 H114:J114">
    <cfRule type="expression" dxfId="5182" priority="185" stopIfTrue="1">
      <formula>IF($AK8&lt;3,1,IF($AK7&lt;5,1,0))</formula>
    </cfRule>
  </conditionalFormatting>
  <conditionalFormatting sqref="K29:M29 K199:M199 K114:M114">
    <cfRule type="expression" dxfId="5181" priority="184" stopIfTrue="1">
      <formula>IF($AK8&lt;4,1,IF($AK7&lt;5,1,0))</formula>
    </cfRule>
  </conditionalFormatting>
  <conditionalFormatting sqref="N29:P29 N199:P199 N114:P114">
    <cfRule type="expression" dxfId="5180" priority="183" stopIfTrue="1">
      <formula>IF($AK8&lt;5,1,IF($AK7&lt;5,1,0))</formula>
    </cfRule>
  </conditionalFormatting>
  <conditionalFormatting sqref="Q29:S29 Q199:S199 Q114:S114">
    <cfRule type="expression" dxfId="5179" priority="182" stopIfTrue="1">
      <formula>IF($AK8&lt;6,1,IF($AK7&lt;5,1,0))</formula>
    </cfRule>
  </conditionalFormatting>
  <conditionalFormatting sqref="T29:V29 T199:V199 T114:V114">
    <cfRule type="expression" dxfId="5178" priority="181" stopIfTrue="1">
      <formula>IF($AK8&lt;7,1,IF($AK7&lt;5,1,0))</formula>
    </cfRule>
  </conditionalFormatting>
  <conditionalFormatting sqref="W29:Y29 W199:Y199 W114:Y114">
    <cfRule type="expression" dxfId="5177" priority="180" stopIfTrue="1">
      <formula>IF($AK8&lt;8,1,IF($AK7&lt;5,1,0))</formula>
    </cfRule>
  </conditionalFormatting>
  <conditionalFormatting sqref="Z29:AB29 Z199:AB199 Z114:AB114">
    <cfRule type="expression" dxfId="5176" priority="179" stopIfTrue="1">
      <formula>IF($AK8&lt;9,1,IF($AK7&lt;5,1,0))</formula>
    </cfRule>
  </conditionalFormatting>
  <conditionalFormatting sqref="AC29:AE29 AC199:AE199 AC114:AE114">
    <cfRule type="expression" dxfId="5175" priority="178" stopIfTrue="1">
      <formula>IF($AK8&lt;10,1,IF($AK7&lt;5,1,0))</formula>
    </cfRule>
  </conditionalFormatting>
  <conditionalFormatting sqref="R184:AB185 AF184:AF185 L184:P185 R14:AB15 AF14:AF15 L14:P15 R99:AB100 AF99:AF100 L99:P100 AG14 AG99 AG184">
    <cfRule type="expression" dxfId="5174" priority="177" stopIfTrue="1">
      <formula>IF($AK9&gt;3,0,1)</formula>
    </cfRule>
  </conditionalFormatting>
  <conditionalFormatting sqref="R186:AB187 AF186:AF187 L186:P187 R16:AB17 AF16:AF17 L16:P17 R101:AB102 AF101:AF102 L101:P102 AG16 AG101 AG186">
    <cfRule type="expression" dxfId="5173" priority="176" stopIfTrue="1">
      <formula>IF($AK9&gt;4,0,1)</formula>
    </cfRule>
  </conditionalFormatting>
  <conditionalFormatting sqref="R178:AB179 AF178:AF179 L178:P179 R8:AB9 AF8:AF9 L8:P9 R93:AB94 AF93:AF94 L93:P94 AG8 AG93 AG178">
    <cfRule type="expression" dxfId="5172" priority="175" stopIfTrue="1">
      <formula>IF($AK9&gt;0,0,1)</formula>
    </cfRule>
  </conditionalFormatting>
  <conditionalFormatting sqref="R180:AB181 AF180:AF181 L180:P181 R10:AB11 AF10:AF11 L10:P11 R95:AB96 AF95:AF96 L95:P96 AG10 AG95 AG180">
    <cfRule type="expression" dxfId="5171" priority="174" stopIfTrue="1">
      <formula>IF($AK9&gt;1,0,1)</formula>
    </cfRule>
  </conditionalFormatting>
  <conditionalFormatting sqref="R182:AB183 AF182:AF183 L182:P183 R12:AB13 AF12:AF13 L12:P13 R97:AB98 AF97:AF98 L97:P98 AG12 AG97 AG182">
    <cfRule type="expression" dxfId="5170" priority="173" stopIfTrue="1">
      <formula>IF($AK9&gt;2,0,1)</formula>
    </cfRule>
  </conditionalFormatting>
  <conditionalFormatting sqref="E194">
    <cfRule type="expression" dxfId="5169" priority="172" stopIfTrue="1">
      <formula>IF(AK178&gt;1,0,1)</formula>
    </cfRule>
  </conditionalFormatting>
  <conditionalFormatting sqref="H194">
    <cfRule type="expression" dxfId="5168" priority="171" stopIfTrue="1">
      <formula>IF(AK178&gt;2,0,1)</formula>
    </cfRule>
  </conditionalFormatting>
  <conditionalFormatting sqref="K194">
    <cfRule type="expression" dxfId="5167" priority="170" stopIfTrue="1">
      <formula>IF(AK178&gt;3,0,1)</formula>
    </cfRule>
  </conditionalFormatting>
  <conditionalFormatting sqref="N194">
    <cfRule type="expression" dxfId="5166" priority="169" stopIfTrue="1">
      <formula>IF(AK178&gt;4,0,1)</formula>
    </cfRule>
  </conditionalFormatting>
  <conditionalFormatting sqref="Q194">
    <cfRule type="expression" dxfId="5165" priority="168" stopIfTrue="1">
      <formula>IF(AK178&gt;5,0,1)</formula>
    </cfRule>
  </conditionalFormatting>
  <conditionalFormatting sqref="T194 T109 T24">
    <cfRule type="expression" dxfId="5164" priority="167" stopIfTrue="1">
      <formula>IF(AK8&gt;6,0,1)</formula>
    </cfRule>
  </conditionalFormatting>
  <conditionalFormatting sqref="W194 W109 W24">
    <cfRule type="expression" dxfId="5163" priority="166" stopIfTrue="1">
      <formula>IF(AK8&gt;7,0,1)</formula>
    </cfRule>
  </conditionalFormatting>
  <conditionalFormatting sqref="Z194 Z109 Z24">
    <cfRule type="expression" dxfId="5162" priority="165" stopIfTrue="1">
      <formula>IF(AK8&gt;8,0,1)</formula>
    </cfRule>
  </conditionalFormatting>
  <conditionalFormatting sqref="AC194 AC109 AC24">
    <cfRule type="expression" dxfId="5161" priority="164" stopIfTrue="1">
      <formula>IF(AK8&gt;9,0,1)</formula>
    </cfRule>
  </conditionalFormatting>
  <conditionalFormatting sqref="AQ197 AQ112 AQ27">
    <cfRule type="expression" dxfId="5160" priority="163" stopIfTrue="1">
      <formula>IF($AK9&gt;3,0,1)</formula>
    </cfRule>
  </conditionalFormatting>
  <conditionalFormatting sqref="E195:G195">
    <cfRule type="expression" dxfId="5159" priority="162" stopIfTrue="1">
      <formula>IF($AK178&gt;1,0,1)</formula>
    </cfRule>
  </conditionalFormatting>
  <conditionalFormatting sqref="B21:D21 B106:D106 B191:D191">
    <cfRule type="expression" dxfId="5158" priority="161" stopIfTrue="1">
      <formula>IF(AK8&gt;0,0,1)</formula>
    </cfRule>
  </conditionalFormatting>
  <conditionalFormatting sqref="E21:G21 E106:G106 E191:G191">
    <cfRule type="expression" dxfId="5157" priority="160" stopIfTrue="1">
      <formula>IF(AK8&gt;1,0,1)</formula>
    </cfRule>
  </conditionalFormatting>
  <conditionalFormatting sqref="H21:J21 H106:J106 H191:J191">
    <cfRule type="expression" dxfId="5156" priority="159" stopIfTrue="1">
      <formula>IF(AK8&gt;2,0,1)</formula>
    </cfRule>
  </conditionalFormatting>
  <conditionalFormatting sqref="K191:M191 K106:M106 K21:M21">
    <cfRule type="expression" dxfId="5155" priority="158" stopIfTrue="1">
      <formula>IF(AK8&gt;3,0,1)</formula>
    </cfRule>
  </conditionalFormatting>
  <conditionalFormatting sqref="N191:P191 N106:P106 N21:P21">
    <cfRule type="expression" dxfId="5154" priority="157" stopIfTrue="1">
      <formula>IF(AK8&gt;4,0,1)</formula>
    </cfRule>
  </conditionalFormatting>
  <conditionalFormatting sqref="Q191:S191 Q106:S106 Q21:S21">
    <cfRule type="expression" dxfId="5153" priority="156" stopIfTrue="1">
      <formula>IF(AK8&gt;5,0,1)</formula>
    </cfRule>
  </conditionalFormatting>
  <conditionalFormatting sqref="T191:V191 T106:V106 T21:V21">
    <cfRule type="expression" dxfId="5152" priority="155" stopIfTrue="1">
      <formula>IF(AK8&gt;6,0,1)</formula>
    </cfRule>
  </conditionalFormatting>
  <conditionalFormatting sqref="W191:Y191 W106:Y106 W21:Y21">
    <cfRule type="expression" dxfId="5151" priority="154" stopIfTrue="1">
      <formula>IF(AK8&gt;7,0,1)</formula>
    </cfRule>
  </conditionalFormatting>
  <conditionalFormatting sqref="Z191:AB191 Z106:AB106 Z21:AB21">
    <cfRule type="expression" dxfId="5150" priority="153" stopIfTrue="1">
      <formula>IF(AK8&gt;8,0,1)</formula>
    </cfRule>
  </conditionalFormatting>
  <conditionalFormatting sqref="AC191:AE191 AC106:AE106 AC21:AE21">
    <cfRule type="expression" dxfId="5149" priority="152" stopIfTrue="1">
      <formula>IF(AK8&gt;9,0,1)</formula>
    </cfRule>
  </conditionalFormatting>
  <conditionalFormatting sqref="AG194:AP198 AG24:AP28 AG109:AP113">
    <cfRule type="cellIs" dxfId="5148" priority="151" stopIfTrue="1" operator="notBetween">
      <formula>-9999</formula>
      <formula>9999</formula>
    </cfRule>
  </conditionalFormatting>
  <conditionalFormatting sqref="AC92 AC177 AC7">
    <cfRule type="expression" dxfId="5147" priority="150" stopIfTrue="1">
      <formula>IF($AK$11=0,1,0)</formula>
    </cfRule>
  </conditionalFormatting>
  <conditionalFormatting sqref="B18">
    <cfRule type="expression" dxfId="5146" priority="149" stopIfTrue="1">
      <formula>IF($AK$9&gt;0,0,1)</formula>
    </cfRule>
  </conditionalFormatting>
  <conditionalFormatting sqref="B192:D193">
    <cfRule type="cellIs" dxfId="5145" priority="148" stopIfTrue="1" operator="equal">
      <formula>99</formula>
    </cfRule>
  </conditionalFormatting>
  <conditionalFormatting sqref="B18">
    <cfRule type="expression" dxfId="5144" priority="147" stopIfTrue="1">
      <formula>IF($AK$9&gt;0,0,1)</formula>
    </cfRule>
  </conditionalFormatting>
  <conditionalFormatting sqref="B20:D20">
    <cfRule type="expression" dxfId="5143" priority="146" stopIfTrue="1">
      <formula>IF(AK8&gt;0,0,1)</formula>
    </cfRule>
  </conditionalFormatting>
  <conditionalFormatting sqref="E20:G20">
    <cfRule type="expression" dxfId="5142" priority="145" stopIfTrue="1">
      <formula>IF(AK8&gt;1,0,1)</formula>
    </cfRule>
  </conditionalFormatting>
  <conditionalFormatting sqref="H20:J20">
    <cfRule type="expression" dxfId="5141" priority="144" stopIfTrue="1">
      <formula>IF(AK8&gt;2,0,1)</formula>
    </cfRule>
  </conditionalFormatting>
  <conditionalFormatting sqref="B21:D21">
    <cfRule type="expression" dxfId="5140" priority="143" stopIfTrue="1">
      <formula>IF(AK8&gt;0,0,1)</formula>
    </cfRule>
  </conditionalFormatting>
  <conditionalFormatting sqref="E21:G21">
    <cfRule type="expression" dxfId="5139" priority="142" stopIfTrue="1">
      <formula>IF(AK8&gt;1,0,1)</formula>
    </cfRule>
  </conditionalFormatting>
  <conditionalFormatting sqref="H21:J21">
    <cfRule type="expression" dxfId="5138" priority="141" stopIfTrue="1">
      <formula>IF(AK8&gt;2,0,1)</formula>
    </cfRule>
  </conditionalFormatting>
  <conditionalFormatting sqref="B105:D105">
    <cfRule type="expression" dxfId="5137" priority="140" stopIfTrue="1">
      <formula>IF(AK93&gt;0,0,1)</formula>
    </cfRule>
  </conditionalFormatting>
  <conditionalFormatting sqref="E105:G105">
    <cfRule type="expression" dxfId="5136" priority="139" stopIfTrue="1">
      <formula>IF(AK93&gt;1,0,1)</formula>
    </cfRule>
  </conditionalFormatting>
  <conditionalFormatting sqref="H105:J105">
    <cfRule type="expression" dxfId="5135" priority="138" stopIfTrue="1">
      <formula>IF(AK93&gt;2,0,1)</formula>
    </cfRule>
  </conditionalFormatting>
  <conditionalFormatting sqref="B106:D106">
    <cfRule type="expression" dxfId="5134" priority="137" stopIfTrue="1">
      <formula>IF(AK93&gt;0,0,1)</formula>
    </cfRule>
  </conditionalFormatting>
  <conditionalFormatting sqref="E106:G106">
    <cfRule type="expression" dxfId="5133" priority="136" stopIfTrue="1">
      <formula>IF(AK93&gt;1,0,1)</formula>
    </cfRule>
  </conditionalFormatting>
  <conditionalFormatting sqref="H106:J106">
    <cfRule type="expression" dxfId="5132" priority="135" stopIfTrue="1">
      <formula>IF(AK93&gt;2,0,1)</formula>
    </cfRule>
  </conditionalFormatting>
  <conditionalFormatting sqref="B190:D190">
    <cfRule type="expression" dxfId="5131" priority="134" stopIfTrue="1">
      <formula>IF(AK178&gt;0,0,1)</formula>
    </cfRule>
  </conditionalFormatting>
  <conditionalFormatting sqref="E190:G190">
    <cfRule type="expression" dxfId="5130" priority="133" stopIfTrue="1">
      <formula>IF(AK178&gt;1,0,1)</formula>
    </cfRule>
  </conditionalFormatting>
  <conditionalFormatting sqref="H190:J190">
    <cfRule type="expression" dxfId="5129" priority="132" stopIfTrue="1">
      <formula>IF(AK178&gt;2,0,1)</formula>
    </cfRule>
  </conditionalFormatting>
  <conditionalFormatting sqref="E192:G192">
    <cfRule type="expression" dxfId="5128" priority="131" stopIfTrue="1">
      <formula>IF(AK178&gt;1,0,1)</formula>
    </cfRule>
  </conditionalFormatting>
  <conditionalFormatting sqref="H192:J192">
    <cfRule type="expression" dxfId="5127" priority="130" stopIfTrue="1">
      <formula>IF(AK178&gt;2,0,1)</formula>
    </cfRule>
  </conditionalFormatting>
  <conditionalFormatting sqref="B194">
    <cfRule type="expression" dxfId="5126" priority="129" stopIfTrue="1">
      <formula>IF(AK178&gt;0,0,1)</formula>
    </cfRule>
  </conditionalFormatting>
  <conditionalFormatting sqref="C194">
    <cfRule type="expression" dxfId="5125" priority="128" stopIfTrue="1">
      <formula>IF(AK178&gt;0,0,1)</formula>
    </cfRule>
  </conditionalFormatting>
  <conditionalFormatting sqref="D194">
    <cfRule type="expression" dxfId="5124" priority="127" stopIfTrue="1">
      <formula>IF(AK178&gt;0,0,1)</formula>
    </cfRule>
  </conditionalFormatting>
  <conditionalFormatting sqref="E193:G193">
    <cfRule type="expression" dxfId="5123" priority="126" stopIfTrue="1">
      <formula>IF(AK178&gt;1,0,1)</formula>
    </cfRule>
  </conditionalFormatting>
  <conditionalFormatting sqref="F194">
    <cfRule type="expression" dxfId="5122" priority="125" stopIfTrue="1">
      <formula>IF(AK178&gt;1,0,1)</formula>
    </cfRule>
  </conditionalFormatting>
  <conditionalFormatting sqref="G194">
    <cfRule type="expression" dxfId="5121" priority="124" stopIfTrue="1">
      <formula>IF(AK178&gt;1,0,1)</formula>
    </cfRule>
  </conditionalFormatting>
  <conditionalFormatting sqref="H193:J193">
    <cfRule type="expression" dxfId="5120" priority="123" stopIfTrue="1">
      <formula>IF(AK178&gt;2,0,1)</formula>
    </cfRule>
  </conditionalFormatting>
  <conditionalFormatting sqref="I194">
    <cfRule type="expression" dxfId="5119" priority="122" stopIfTrue="1">
      <formula>IF(AK178&gt;2,0,1)</formula>
    </cfRule>
  </conditionalFormatting>
  <conditionalFormatting sqref="J194">
    <cfRule type="expression" dxfId="5118" priority="121" stopIfTrue="1">
      <formula>IF(AK178&gt;2,0,1)</formula>
    </cfRule>
  </conditionalFormatting>
  <conditionalFormatting sqref="B195:D195">
    <cfRule type="expression" dxfId="5117" priority="120" stopIfTrue="1">
      <formula>IF($AK178&gt;0,0,1)</formula>
    </cfRule>
  </conditionalFormatting>
  <conditionalFormatting sqref="H195:J195">
    <cfRule type="expression" dxfId="5116" priority="119" stopIfTrue="1">
      <formula>IF($AK178&gt;2,0,1)</formula>
    </cfRule>
  </conditionalFormatting>
  <conditionalFormatting sqref="E194">
    <cfRule type="expression" dxfId="5115" priority="118" stopIfTrue="1">
      <formula>IF(AK178&gt;1,0,1)</formula>
    </cfRule>
  </conditionalFormatting>
  <conditionalFormatting sqref="H194">
    <cfRule type="expression" dxfId="5114" priority="117" stopIfTrue="1">
      <formula>IF(AK178&gt;2,0,1)</formula>
    </cfRule>
  </conditionalFormatting>
  <conditionalFormatting sqref="E195:G195">
    <cfRule type="expression" dxfId="5113" priority="116" stopIfTrue="1">
      <formula>IF($AK178&gt;1,0,1)</formula>
    </cfRule>
  </conditionalFormatting>
  <conditionalFormatting sqref="B191:D191">
    <cfRule type="expression" dxfId="5112" priority="115" stopIfTrue="1">
      <formula>IF(AK178&gt;0,0,1)</formula>
    </cfRule>
  </conditionalFormatting>
  <conditionalFormatting sqref="E191:G191">
    <cfRule type="expression" dxfId="5111" priority="114" stopIfTrue="1">
      <formula>IF(AK178&gt;1,0,1)</formula>
    </cfRule>
  </conditionalFormatting>
  <conditionalFormatting sqref="H191:J191">
    <cfRule type="expression" dxfId="5110" priority="113" stopIfTrue="1">
      <formula>IF(AK178&gt;2,0,1)</formula>
    </cfRule>
  </conditionalFormatting>
  <conditionalFormatting sqref="B192:D193">
    <cfRule type="cellIs" dxfId="5109" priority="112" stopIfTrue="1" operator="equal">
      <formula>99</formula>
    </cfRule>
  </conditionalFormatting>
  <conditionalFormatting sqref="B18">
    <cfRule type="expression" dxfId="5108" priority="111" stopIfTrue="1">
      <formula>IF($AK$9&gt;0,0,1)</formula>
    </cfRule>
  </conditionalFormatting>
  <conditionalFormatting sqref="B103">
    <cfRule type="expression" dxfId="5107" priority="110" stopIfTrue="1">
      <formula>IF($AK$9&gt;0,0,1)</formula>
    </cfRule>
  </conditionalFormatting>
  <conditionalFormatting sqref="B103">
    <cfRule type="expression" dxfId="5106" priority="109" stopIfTrue="1">
      <formula>IF($AK$9&gt;0,0,1)</formula>
    </cfRule>
  </conditionalFormatting>
  <conditionalFormatting sqref="B103">
    <cfRule type="expression" dxfId="5105" priority="108" stopIfTrue="1">
      <formula>IF($AK$9&gt;0,0,1)</formula>
    </cfRule>
  </conditionalFormatting>
  <conditionalFormatting sqref="B188">
    <cfRule type="expression" dxfId="5104" priority="107" stopIfTrue="1">
      <formula>IF($AK$9&gt;0,0,1)</formula>
    </cfRule>
  </conditionalFormatting>
  <conditionalFormatting sqref="B188">
    <cfRule type="expression" dxfId="5103" priority="106" stopIfTrue="1">
      <formula>IF($AK$9&gt;0,0,1)</formula>
    </cfRule>
  </conditionalFormatting>
  <conditionalFormatting sqref="B188">
    <cfRule type="expression" dxfId="5102" priority="105" stopIfTrue="1">
      <formula>IF($AK$9&gt;0,0,1)</formula>
    </cfRule>
  </conditionalFormatting>
  <conditionalFormatting sqref="B104:D104">
    <cfRule type="expression" dxfId="5101" priority="98" stopIfTrue="1">
      <formula>IF(AK93&gt;0,0,1)</formula>
    </cfRule>
  </conditionalFormatting>
  <conditionalFormatting sqref="E104:G104">
    <cfRule type="expression" dxfId="5100" priority="97" stopIfTrue="1">
      <formula>IF(AK93&gt;1,0,1)</formula>
    </cfRule>
  </conditionalFormatting>
  <conditionalFormatting sqref="H104:J104">
    <cfRule type="expression" dxfId="5099" priority="96" stopIfTrue="1">
      <formula>IF(AK93&gt;2,0,1)</formula>
    </cfRule>
  </conditionalFormatting>
  <conditionalFormatting sqref="B104:D104">
    <cfRule type="expression" dxfId="5098" priority="95" stopIfTrue="1">
      <formula>IF(AK93&gt;0,0,1)</formula>
    </cfRule>
  </conditionalFormatting>
  <conditionalFormatting sqref="E104:G104">
    <cfRule type="expression" dxfId="5097" priority="94" stopIfTrue="1">
      <formula>IF(AK93&gt;1,0,1)</formula>
    </cfRule>
  </conditionalFormatting>
  <conditionalFormatting sqref="H104:J104">
    <cfRule type="expression" dxfId="5096" priority="93" stopIfTrue="1">
      <formula>IF(AK93&gt;2,0,1)</formula>
    </cfRule>
  </conditionalFormatting>
  <conditionalFormatting sqref="B19:D19">
    <cfRule type="expression" dxfId="5095" priority="104" stopIfTrue="1">
      <formula>IF(AK8&gt;0,0,1)</formula>
    </cfRule>
  </conditionalFormatting>
  <conditionalFormatting sqref="E19:G19">
    <cfRule type="expression" dxfId="5094" priority="103" stopIfTrue="1">
      <formula>IF(AK8&gt;1,0,1)</formula>
    </cfRule>
  </conditionalFormatting>
  <conditionalFormatting sqref="H19:J19">
    <cfRule type="expression" dxfId="5093" priority="102" stopIfTrue="1">
      <formula>IF(AK8&gt;2,0,1)</formula>
    </cfRule>
  </conditionalFormatting>
  <conditionalFormatting sqref="B19:D19">
    <cfRule type="expression" dxfId="5092" priority="101" stopIfTrue="1">
      <formula>IF(AK8&gt;0,0,1)</formula>
    </cfRule>
  </conditionalFormatting>
  <conditionalFormatting sqref="E19:G19">
    <cfRule type="expression" dxfId="5091" priority="100" stopIfTrue="1">
      <formula>IF(AK8&gt;1,0,1)</formula>
    </cfRule>
  </conditionalFormatting>
  <conditionalFormatting sqref="H19:J19">
    <cfRule type="expression" dxfId="5090" priority="99" stopIfTrue="1">
      <formula>IF(AK8&gt;2,0,1)</formula>
    </cfRule>
  </conditionalFormatting>
  <conditionalFormatting sqref="B189:D189">
    <cfRule type="expression" dxfId="5089" priority="92" stopIfTrue="1">
      <formula>IF(AK178&gt;0,0,1)</formula>
    </cfRule>
  </conditionalFormatting>
  <conditionalFormatting sqref="E189:G189">
    <cfRule type="expression" dxfId="5088" priority="91" stopIfTrue="1">
      <formula>IF(AK178&gt;1,0,1)</formula>
    </cfRule>
  </conditionalFormatting>
  <conditionalFormatting sqref="H189:J189">
    <cfRule type="expression" dxfId="5087" priority="90" stopIfTrue="1">
      <formula>IF(AK178&gt;2,0,1)</formula>
    </cfRule>
  </conditionalFormatting>
  <conditionalFormatting sqref="B189:D189">
    <cfRule type="expression" dxfId="5086" priority="89" stopIfTrue="1">
      <formula>IF(AK178&gt;0,0,1)</formula>
    </cfRule>
  </conditionalFormatting>
  <conditionalFormatting sqref="E189:G189">
    <cfRule type="expression" dxfId="5085" priority="88" stopIfTrue="1">
      <formula>IF(AK178&gt;1,0,1)</formula>
    </cfRule>
  </conditionalFormatting>
  <conditionalFormatting sqref="H189:J189">
    <cfRule type="expression" dxfId="5084" priority="87" stopIfTrue="1">
      <formula>IF(AK178&gt;2,0,1)</formula>
    </cfRule>
  </conditionalFormatting>
  <conditionalFormatting sqref="E8">
    <cfRule type="expression" dxfId="5083" priority="86" stopIfTrue="1">
      <formula>IF(AK9&gt;0,0,1)</formula>
    </cfRule>
  </conditionalFormatting>
  <conditionalFormatting sqref="E9">
    <cfRule type="expression" dxfId="5082" priority="85" stopIfTrue="1">
      <formula>IF(AK9&gt;0,0,1)</formula>
    </cfRule>
  </conditionalFormatting>
  <conditionalFormatting sqref="E10">
    <cfRule type="expression" dxfId="5081" priority="84" stopIfTrue="1">
      <formula>IF(AK9&gt;1,0,1)</formula>
    </cfRule>
  </conditionalFormatting>
  <conditionalFormatting sqref="E11">
    <cfRule type="expression" dxfId="5080" priority="83" stopIfTrue="1">
      <formula>IF(AK9&gt;1,0,1)</formula>
    </cfRule>
  </conditionalFormatting>
  <conditionalFormatting sqref="E12">
    <cfRule type="expression" dxfId="5079" priority="82" stopIfTrue="1">
      <formula>IF(AK9&gt;2,0,1)</formula>
    </cfRule>
  </conditionalFormatting>
  <conditionalFormatting sqref="E13">
    <cfRule type="expression" dxfId="5078" priority="81" stopIfTrue="1">
      <formula>IF(AK9&gt;2,0,1)</formula>
    </cfRule>
  </conditionalFormatting>
  <conditionalFormatting sqref="E93">
    <cfRule type="expression" dxfId="5077" priority="80" stopIfTrue="1">
      <formula>IF(AK94&gt;0,0,1)</formula>
    </cfRule>
  </conditionalFormatting>
  <conditionalFormatting sqref="E94">
    <cfRule type="expression" dxfId="5076" priority="79" stopIfTrue="1">
      <formula>IF(AK94&gt;0,0,1)</formula>
    </cfRule>
  </conditionalFormatting>
  <conditionalFormatting sqref="E95">
    <cfRule type="expression" dxfId="5075" priority="78" stopIfTrue="1">
      <formula>IF(AK94&gt;1,0,1)</formula>
    </cfRule>
  </conditionalFormatting>
  <conditionalFormatting sqref="E96">
    <cfRule type="expression" dxfId="5074" priority="77" stopIfTrue="1">
      <formula>IF(AK94&gt;1,0,1)</formula>
    </cfRule>
  </conditionalFormatting>
  <conditionalFormatting sqref="E97">
    <cfRule type="expression" dxfId="5073" priority="76" stopIfTrue="1">
      <formula>IF(AK94&gt;2,0,1)</formula>
    </cfRule>
  </conditionalFormatting>
  <conditionalFormatting sqref="E98">
    <cfRule type="expression" dxfId="5072" priority="75" stopIfTrue="1">
      <formula>IF(AK94&gt;2,0,1)</formula>
    </cfRule>
  </conditionalFormatting>
  <conditionalFormatting sqref="E14">
    <cfRule type="expression" dxfId="5071" priority="74" stopIfTrue="1">
      <formula>IF(AK9&gt;3,0,1)</formula>
    </cfRule>
  </conditionalFormatting>
  <conditionalFormatting sqref="E15">
    <cfRule type="expression" dxfId="5070" priority="73" stopIfTrue="1">
      <formula>IF(AK9&gt;3,0,1)</formula>
    </cfRule>
  </conditionalFormatting>
  <conditionalFormatting sqref="E99">
    <cfRule type="expression" dxfId="5069" priority="72" stopIfTrue="1">
      <formula>IF(AK94&gt;3,0,1)</formula>
    </cfRule>
  </conditionalFormatting>
  <conditionalFormatting sqref="E100">
    <cfRule type="expression" dxfId="5068" priority="71" stopIfTrue="1">
      <formula>IF(AK94&gt;3,0,1)</formula>
    </cfRule>
  </conditionalFormatting>
  <conditionalFormatting sqref="E22:G22">
    <cfRule type="expression" dxfId="5067" priority="70" stopIfTrue="1">
      <formula>IF(AK8&gt;1,0,1)</formula>
    </cfRule>
  </conditionalFormatting>
  <conditionalFormatting sqref="H22:J22">
    <cfRule type="expression" dxfId="5066" priority="69" stopIfTrue="1">
      <formula>IF(AK8&gt;2,0,1)</formula>
    </cfRule>
  </conditionalFormatting>
  <conditionalFormatting sqref="K22:M22">
    <cfRule type="expression" dxfId="5065" priority="68" stopIfTrue="1">
      <formula>IF(AK8&gt;3,0,1)</formula>
    </cfRule>
  </conditionalFormatting>
  <conditionalFormatting sqref="N22:P22">
    <cfRule type="expression" dxfId="5064" priority="67" stopIfTrue="1">
      <formula>IF(AK8&gt;4,0,1)</formula>
    </cfRule>
  </conditionalFormatting>
  <conditionalFormatting sqref="Q22:S22">
    <cfRule type="expression" dxfId="5063" priority="66" stopIfTrue="1">
      <formula>IF(AK8&gt;5,0,1)</formula>
    </cfRule>
  </conditionalFormatting>
  <conditionalFormatting sqref="B24">
    <cfRule type="expression" dxfId="5062" priority="65" stopIfTrue="1">
      <formula>IF(AK8&gt;0,0,1)</formula>
    </cfRule>
  </conditionalFormatting>
  <conditionalFormatting sqref="C24">
    <cfRule type="expression" dxfId="5061" priority="64" stopIfTrue="1">
      <formula>IF(AK8&gt;0,0,1)</formula>
    </cfRule>
  </conditionalFormatting>
  <conditionalFormatting sqref="D24">
    <cfRule type="expression" dxfId="5060" priority="63" stopIfTrue="1">
      <formula>IF(AK8&gt;0,0,1)</formula>
    </cfRule>
  </conditionalFormatting>
  <conditionalFormatting sqref="E23:G23">
    <cfRule type="expression" dxfId="5059" priority="62" stopIfTrue="1">
      <formula>IF(AK8&gt;1,0,1)</formula>
    </cfRule>
  </conditionalFormatting>
  <conditionalFormatting sqref="F24">
    <cfRule type="expression" dxfId="5058" priority="61" stopIfTrue="1">
      <formula>IF(AK8&gt;1,0,1)</formula>
    </cfRule>
  </conditionalFormatting>
  <conditionalFormatting sqref="G24">
    <cfRule type="expression" dxfId="5057" priority="60" stopIfTrue="1">
      <formula>IF(AK8&gt;1,0,1)</formula>
    </cfRule>
  </conditionalFormatting>
  <conditionalFormatting sqref="H23:J23">
    <cfRule type="expression" dxfId="5056" priority="59" stopIfTrue="1">
      <formula>IF(AK8&gt;2,0,1)</formula>
    </cfRule>
  </conditionalFormatting>
  <conditionalFormatting sqref="I24">
    <cfRule type="expression" dxfId="5055" priority="58" stopIfTrue="1">
      <formula>IF(AK8&gt;2,0,1)</formula>
    </cfRule>
  </conditionalFormatting>
  <conditionalFormatting sqref="J24">
    <cfRule type="expression" dxfId="5054" priority="57" stopIfTrue="1">
      <formula>IF(AK8&gt;2,0,1)</formula>
    </cfRule>
  </conditionalFormatting>
  <conditionalFormatting sqref="K23:M23">
    <cfRule type="expression" dxfId="5053" priority="56" stopIfTrue="1">
      <formula>IF(AK8&gt;3,0,1)</formula>
    </cfRule>
  </conditionalFormatting>
  <conditionalFormatting sqref="L24">
    <cfRule type="expression" dxfId="5052" priority="55" stopIfTrue="1">
      <formula>IF(AK8&gt;3,0,1)</formula>
    </cfRule>
  </conditionalFormatting>
  <conditionalFormatting sqref="M24">
    <cfRule type="expression" dxfId="5051" priority="54" stopIfTrue="1">
      <formula>IF(AK8&gt;3,0,1)</formula>
    </cfRule>
  </conditionalFormatting>
  <conditionalFormatting sqref="N23:P23">
    <cfRule type="expression" dxfId="5050" priority="53" stopIfTrue="1">
      <formula>IF(AK8&gt;4,0,1)</formula>
    </cfRule>
  </conditionalFormatting>
  <conditionalFormatting sqref="O24">
    <cfRule type="expression" dxfId="5049" priority="52" stopIfTrue="1">
      <formula>IF(AK8&gt;4,0,1)</formula>
    </cfRule>
  </conditionalFormatting>
  <conditionalFormatting sqref="P24">
    <cfRule type="expression" dxfId="5048" priority="51" stopIfTrue="1">
      <formula>IF(AK8&gt;4,0,1)</formula>
    </cfRule>
  </conditionalFormatting>
  <conditionalFormatting sqref="Q23:S23">
    <cfRule type="expression" dxfId="5047" priority="50" stopIfTrue="1">
      <formula>IF(AK8&gt;5,0,1)</formula>
    </cfRule>
  </conditionalFormatting>
  <conditionalFormatting sqref="R24">
    <cfRule type="expression" dxfId="5046" priority="49" stopIfTrue="1">
      <formula>IF(AK8&gt;5,0,1)</formula>
    </cfRule>
  </conditionalFormatting>
  <conditionalFormatting sqref="S24">
    <cfRule type="expression" dxfId="5045" priority="48" stopIfTrue="1">
      <formula>IF(AK8&gt;5,0,1)</formula>
    </cfRule>
  </conditionalFormatting>
  <conditionalFormatting sqref="B25:D25">
    <cfRule type="expression" dxfId="5044" priority="47" stopIfTrue="1">
      <formula>IF($AK8&gt;0,0,1)</formula>
    </cfRule>
  </conditionalFormatting>
  <conditionalFormatting sqref="H25:J25">
    <cfRule type="expression" dxfId="5043" priority="46" stopIfTrue="1">
      <formula>IF($AK8&gt;2,0,1)</formula>
    </cfRule>
  </conditionalFormatting>
  <conditionalFormatting sqref="K25:M25">
    <cfRule type="expression" dxfId="5042" priority="45" stopIfTrue="1">
      <formula>IF($AK8&gt;3,0,1)</formula>
    </cfRule>
  </conditionalFormatting>
  <conditionalFormatting sqref="N25:P25">
    <cfRule type="expression" dxfId="5041" priority="44" stopIfTrue="1">
      <formula>IF($AK8&gt;4,0,1)</formula>
    </cfRule>
  </conditionalFormatting>
  <conditionalFormatting sqref="Q25:S25">
    <cfRule type="expression" dxfId="5040" priority="43" stopIfTrue="1">
      <formula>IF($AK8&gt;5,0,1)</formula>
    </cfRule>
  </conditionalFormatting>
  <conditionalFormatting sqref="E24">
    <cfRule type="expression" dxfId="5039" priority="42" stopIfTrue="1">
      <formula>IF(AK8&gt;1,0,1)</formula>
    </cfRule>
  </conditionalFormatting>
  <conditionalFormatting sqref="H24">
    <cfRule type="expression" dxfId="5038" priority="41" stopIfTrue="1">
      <formula>IF(AK8&gt;2,0,1)</formula>
    </cfRule>
  </conditionalFormatting>
  <conditionalFormatting sqref="K24">
    <cfRule type="expression" dxfId="5037" priority="40" stopIfTrue="1">
      <formula>IF(AK8&gt;3,0,1)</formula>
    </cfRule>
  </conditionalFormatting>
  <conditionalFormatting sqref="N24">
    <cfRule type="expression" dxfId="5036" priority="39" stopIfTrue="1">
      <formula>IF(AK8&gt;4,0,1)</formula>
    </cfRule>
  </conditionalFormatting>
  <conditionalFormatting sqref="Q24">
    <cfRule type="expression" dxfId="5035" priority="38" stopIfTrue="1">
      <formula>IF(AK8&gt;5,0,1)</formula>
    </cfRule>
  </conditionalFormatting>
  <conditionalFormatting sqref="E25:G25">
    <cfRule type="expression" dxfId="5034" priority="37" stopIfTrue="1">
      <formula>IF($AK8&gt;1,0,1)</formula>
    </cfRule>
  </conditionalFormatting>
  <conditionalFormatting sqref="B22:D23">
    <cfRule type="cellIs" dxfId="5033" priority="36" stopIfTrue="1" operator="equal">
      <formula>99</formula>
    </cfRule>
  </conditionalFormatting>
  <conditionalFormatting sqref="E107:G107">
    <cfRule type="expression" dxfId="5032" priority="35" stopIfTrue="1">
      <formula>IF(AK93&gt;1,0,1)</formula>
    </cfRule>
  </conditionalFormatting>
  <conditionalFormatting sqref="H107:J107">
    <cfRule type="expression" dxfId="5031" priority="34" stopIfTrue="1">
      <formula>IF(AK93&gt;2,0,1)</formula>
    </cfRule>
  </conditionalFormatting>
  <conditionalFormatting sqref="K107:M107">
    <cfRule type="expression" dxfId="5030" priority="33" stopIfTrue="1">
      <formula>IF(AK93&gt;3,0,1)</formula>
    </cfRule>
  </conditionalFormatting>
  <conditionalFormatting sqref="N107:P107">
    <cfRule type="expression" dxfId="5029" priority="32" stopIfTrue="1">
      <formula>IF(AK93&gt;4,0,1)</formula>
    </cfRule>
  </conditionalFormatting>
  <conditionalFormatting sqref="Q107:S107">
    <cfRule type="expression" dxfId="5028" priority="31" stopIfTrue="1">
      <formula>IF(AK93&gt;5,0,1)</formula>
    </cfRule>
  </conditionalFormatting>
  <conditionalFormatting sqref="B109">
    <cfRule type="expression" dxfId="5027" priority="30" stopIfTrue="1">
      <formula>IF(AK93&gt;0,0,1)</formula>
    </cfRule>
  </conditionalFormatting>
  <conditionalFormatting sqref="C109">
    <cfRule type="expression" dxfId="5026" priority="29" stopIfTrue="1">
      <formula>IF(AK93&gt;0,0,1)</formula>
    </cfRule>
  </conditionalFormatting>
  <conditionalFormatting sqref="D109">
    <cfRule type="expression" dxfId="5025" priority="28" stopIfTrue="1">
      <formula>IF(AK93&gt;0,0,1)</formula>
    </cfRule>
  </conditionalFormatting>
  <conditionalFormatting sqref="E108:G108">
    <cfRule type="expression" dxfId="5024" priority="27" stopIfTrue="1">
      <formula>IF(AK93&gt;1,0,1)</formula>
    </cfRule>
  </conditionalFormatting>
  <conditionalFormatting sqref="F109">
    <cfRule type="expression" dxfId="5023" priority="26" stopIfTrue="1">
      <formula>IF(AK93&gt;1,0,1)</formula>
    </cfRule>
  </conditionalFormatting>
  <conditionalFormatting sqref="G109">
    <cfRule type="expression" dxfId="5022" priority="25" stopIfTrue="1">
      <formula>IF(AK93&gt;1,0,1)</formula>
    </cfRule>
  </conditionalFormatting>
  <conditionalFormatting sqref="H108:J108">
    <cfRule type="expression" dxfId="5021" priority="24" stopIfTrue="1">
      <formula>IF(AK93&gt;2,0,1)</formula>
    </cfRule>
  </conditionalFormatting>
  <conditionalFormatting sqref="I109">
    <cfRule type="expression" dxfId="5020" priority="23" stopIfTrue="1">
      <formula>IF(AK93&gt;2,0,1)</formula>
    </cfRule>
  </conditionalFormatting>
  <conditionalFormatting sqref="J109">
    <cfRule type="expression" dxfId="5019" priority="22" stopIfTrue="1">
      <formula>IF(AK93&gt;2,0,1)</formula>
    </cfRule>
  </conditionalFormatting>
  <conditionalFormatting sqref="K108:M108">
    <cfRule type="expression" dxfId="5018" priority="21" stopIfTrue="1">
      <formula>IF(AK93&gt;3,0,1)</formula>
    </cfRule>
  </conditionalFormatting>
  <conditionalFormatting sqref="L109">
    <cfRule type="expression" dxfId="5017" priority="20" stopIfTrue="1">
      <formula>IF(AK93&gt;3,0,1)</formula>
    </cfRule>
  </conditionalFormatting>
  <conditionalFormatting sqref="M109">
    <cfRule type="expression" dxfId="5016" priority="19" stopIfTrue="1">
      <formula>IF(AK93&gt;3,0,1)</formula>
    </cfRule>
  </conditionalFormatting>
  <conditionalFormatting sqref="N108:P108">
    <cfRule type="expression" dxfId="5015" priority="18" stopIfTrue="1">
      <formula>IF(AK93&gt;4,0,1)</formula>
    </cfRule>
  </conditionalFormatting>
  <conditionalFormatting sqref="O109">
    <cfRule type="expression" dxfId="5014" priority="17" stopIfTrue="1">
      <formula>IF(AK93&gt;4,0,1)</formula>
    </cfRule>
  </conditionalFormatting>
  <conditionalFormatting sqref="P109">
    <cfRule type="expression" dxfId="5013" priority="16" stopIfTrue="1">
      <formula>IF(AK93&gt;4,0,1)</formula>
    </cfRule>
  </conditionalFormatting>
  <conditionalFormatting sqref="Q108:S108">
    <cfRule type="expression" dxfId="5012" priority="15" stopIfTrue="1">
      <formula>IF(AK93&gt;5,0,1)</formula>
    </cfRule>
  </conditionalFormatting>
  <conditionalFormatting sqref="R109">
    <cfRule type="expression" dxfId="5011" priority="14" stopIfTrue="1">
      <formula>IF(AK93&gt;5,0,1)</formula>
    </cfRule>
  </conditionalFormatting>
  <conditionalFormatting sqref="S109">
    <cfRule type="expression" dxfId="5010" priority="13" stopIfTrue="1">
      <formula>IF(AK93&gt;5,0,1)</formula>
    </cfRule>
  </conditionalFormatting>
  <conditionalFormatting sqref="B110:D110">
    <cfRule type="expression" dxfId="5009" priority="12" stopIfTrue="1">
      <formula>IF($AK93&gt;0,0,1)</formula>
    </cfRule>
  </conditionalFormatting>
  <conditionalFormatting sqref="H110:J110">
    <cfRule type="expression" dxfId="5008" priority="11" stopIfTrue="1">
      <formula>IF($AK93&gt;2,0,1)</formula>
    </cfRule>
  </conditionalFormatting>
  <conditionalFormatting sqref="K110:M110">
    <cfRule type="expression" dxfId="5007" priority="10" stopIfTrue="1">
      <formula>IF($AK93&gt;3,0,1)</formula>
    </cfRule>
  </conditionalFormatting>
  <conditionalFormatting sqref="N110:P110">
    <cfRule type="expression" dxfId="5006" priority="9" stopIfTrue="1">
      <formula>IF($AK93&gt;4,0,1)</formula>
    </cfRule>
  </conditionalFormatting>
  <conditionalFormatting sqref="Q110:S110">
    <cfRule type="expression" dxfId="5005" priority="8" stopIfTrue="1">
      <formula>IF($AK93&gt;5,0,1)</formula>
    </cfRule>
  </conditionalFormatting>
  <conditionalFormatting sqref="E109">
    <cfRule type="expression" dxfId="5004" priority="7" stopIfTrue="1">
      <formula>IF(AK93&gt;1,0,1)</formula>
    </cfRule>
  </conditionalFormatting>
  <conditionalFormatting sqref="H109">
    <cfRule type="expression" dxfId="5003" priority="6" stopIfTrue="1">
      <formula>IF(AK93&gt;2,0,1)</formula>
    </cfRule>
  </conditionalFormatting>
  <conditionalFormatting sqref="K109">
    <cfRule type="expression" dxfId="5002" priority="5" stopIfTrue="1">
      <formula>IF(AK93&gt;3,0,1)</formula>
    </cfRule>
  </conditionalFormatting>
  <conditionalFormatting sqref="N109">
    <cfRule type="expression" dxfId="5001" priority="4" stopIfTrue="1">
      <formula>IF(AK93&gt;4,0,1)</formula>
    </cfRule>
  </conditionalFormatting>
  <conditionalFormatting sqref="Q109">
    <cfRule type="expression" dxfId="5000" priority="3" stopIfTrue="1">
      <formula>IF(AK93&gt;5,0,1)</formula>
    </cfRule>
  </conditionalFormatting>
  <conditionalFormatting sqref="E110:G110">
    <cfRule type="expression" dxfId="4999" priority="2" stopIfTrue="1">
      <formula>IF($AK93&gt;1,0,1)</formula>
    </cfRule>
  </conditionalFormatting>
  <conditionalFormatting sqref="B107:D108">
    <cfRule type="cellIs" dxfId="4998" priority="1" stopIfTrue="1" operator="equal">
      <formula>99</formula>
    </cfRule>
  </conditionalFormatting>
  <pageMargins left="0.25" right="0.25" top="0.25" bottom="0.25" header="0" footer="0"/>
  <pageSetup scale="80" fitToHeight="8" orientation="landscape" r:id="rId1"/>
  <headerFooter alignWithMargins="0"/>
  <rowBreaks count="2" manualBreakCount="2">
    <brk id="90" max="42" man="1"/>
    <brk id="175" max="42" man="1"/>
  </rowBreaks>
  <drawing r:id="rId2"/>
  <legacyDrawing r:id="rId3"/>
  <controls>
    <mc:AlternateContent xmlns:mc="http://schemas.openxmlformats.org/markup-compatibility/2006">
      <mc:Choice Requires="x14">
        <control shapeId="20481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260</xdr:row>
                <xdr:rowOff>0</xdr:rowOff>
              </from>
              <to>
                <xdr:col>41</xdr:col>
                <xdr:colOff>228600</xdr:colOff>
                <xdr:row>260</xdr:row>
                <xdr:rowOff>0</xdr:rowOff>
              </to>
            </anchor>
          </controlPr>
        </control>
      </mc:Choice>
      <mc:Fallback>
        <control shapeId="20481" r:id="rId4" name="Pool4RecalcFinish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indexed="11"/>
  </sheetPr>
  <dimension ref="A1:BY658"/>
  <sheetViews>
    <sheetView topLeftCell="R1" zoomScale="85" zoomScaleNormal="85" workbookViewId="0">
      <selection activeCell="AW10" sqref="AW10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30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3"/>
      <c r="AW1" s="194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199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 t="s">
        <v>200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45" t="s">
        <v>201</v>
      </c>
      <c r="AV3" s="145" t="s">
        <v>202</v>
      </c>
      <c r="AW3" s="16">
        <f>VLOOKUP(AV3,Initial!G:K,5,FALSE)</f>
        <v>1545.8627202771247</v>
      </c>
      <c r="AX3" s="17">
        <f t="shared" ref="AX3:AX12" si="0">VLOOKUP(AU3,AT$79:AU$174,2,FALSE)</f>
        <v>1456.6511937127591</v>
      </c>
      <c r="AY3" s="18">
        <f t="shared" ref="AY3:AY12" si="1">IF(ISNA(VLOOKUP(AU3,AT$182:AU$234,2,FALSE)),AX3,VLOOKUP(AU3,AT$182:AU$234,2,FALSE))</f>
        <v>1445.0590104301564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26</v>
      </c>
      <c r="F4" s="210"/>
      <c r="G4" s="210"/>
      <c r="H4" s="210"/>
      <c r="I4" s="210"/>
      <c r="J4" s="210"/>
      <c r="K4" s="210"/>
      <c r="L4" s="210"/>
      <c r="M4" s="211"/>
      <c r="N4" s="206" t="s">
        <v>27</v>
      </c>
      <c r="O4" s="207"/>
      <c r="P4" s="207"/>
      <c r="Q4" s="208"/>
      <c r="R4" s="212" t="s">
        <v>28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29</v>
      </c>
      <c r="AC4" s="207"/>
      <c r="AD4" s="207"/>
      <c r="AE4" s="208"/>
      <c r="AF4" s="407">
        <v>42759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46" t="s">
        <v>203</v>
      </c>
      <c r="AV4" s="146" t="s">
        <v>204</v>
      </c>
      <c r="AW4" s="16">
        <f>VLOOKUP(AV4,Initial!G:K,5,FALSE)</f>
        <v>1475.1822078119806</v>
      </c>
      <c r="AX4" s="20">
        <f t="shared" si="0"/>
        <v>1401.235994520837</v>
      </c>
      <c r="AY4" s="21">
        <f t="shared" si="1"/>
        <v>1401.235994520837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205</v>
      </c>
      <c r="AV5" s="15" t="s">
        <v>206</v>
      </c>
      <c r="AW5" s="16">
        <f>VLOOKUP(AV5,Initial!G:K,5,FALSE)</f>
        <v>1456.291164140775</v>
      </c>
      <c r="AX5" s="20">
        <f t="shared" si="0"/>
        <v>1528.0189022825616</v>
      </c>
      <c r="AY5" s="21">
        <f t="shared" si="1"/>
        <v>1541.7446072243681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207</v>
      </c>
      <c r="AV6" s="15" t="s">
        <v>208</v>
      </c>
      <c r="AW6" s="16">
        <f>VLOOKUP(AV6,Initial!G:K,5,FALSE)</f>
        <v>1450.7912672511281</v>
      </c>
      <c r="AX6" s="20">
        <f t="shared" si="0"/>
        <v>1425.021571274649</v>
      </c>
      <c r="AY6" s="21">
        <f t="shared" si="1"/>
        <v>1453.397960125621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Games Won</v>
      </c>
      <c r="M7" s="255"/>
      <c r="N7" s="255"/>
      <c r="O7" s="255"/>
      <c r="P7" s="255"/>
      <c r="Q7" s="256"/>
      <c r="R7" s="254" t="str">
        <f>IF($AK10=0,"Games Lost","Matches Lost")</f>
        <v>Games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209</v>
      </c>
      <c r="AV7" s="15" t="s">
        <v>210</v>
      </c>
      <c r="AW7" s="16">
        <f>VLOOKUP(AV7,Initial!G:K,5,FALSE)</f>
        <v>1443.6793957766529</v>
      </c>
      <c r="AX7" s="20">
        <f t="shared" si="0"/>
        <v>1361.4639314907565</v>
      </c>
      <c r="AY7" s="21">
        <f t="shared" si="1"/>
        <v>1361.4639314907565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Palm Strikers 12 Premier</v>
      </c>
      <c r="F8" s="233"/>
      <c r="G8" s="233"/>
      <c r="H8" s="233"/>
      <c r="I8" s="233"/>
      <c r="J8" s="233"/>
      <c r="K8" s="234"/>
      <c r="L8" s="235">
        <f>IF($AK10=0,AF64,AF46)</f>
        <v>2</v>
      </c>
      <c r="M8" s="236"/>
      <c r="N8" s="236"/>
      <c r="O8" s="236"/>
      <c r="P8" s="236"/>
      <c r="Q8" s="256"/>
      <c r="R8" s="235">
        <f>IF($AK10=0,AG64,AG46)</f>
        <v>6</v>
      </c>
      <c r="S8" s="236"/>
      <c r="T8" s="236"/>
      <c r="U8" s="236"/>
      <c r="V8" s="236"/>
      <c r="W8" s="235">
        <f>AQ24</f>
        <v>-24</v>
      </c>
      <c r="X8" s="236"/>
      <c r="Y8" s="236"/>
      <c r="Z8" s="239">
        <f>IF(AF58&gt;0,(AQ24/AF58),0)</f>
        <v>-0.11822660098522167</v>
      </c>
      <c r="AA8" s="240"/>
      <c r="AB8" s="240"/>
      <c r="AC8" s="262">
        <f>IF(AF72=0,0,(AF64/AF72))</f>
        <v>0.25</v>
      </c>
      <c r="AD8" s="263"/>
      <c r="AE8" s="264"/>
      <c r="AF8" s="268">
        <v>4</v>
      </c>
      <c r="AG8" s="268">
        <v>1</v>
      </c>
      <c r="AH8" s="270">
        <v>7</v>
      </c>
      <c r="AI8" s="271"/>
      <c r="AJ8" s="27"/>
      <c r="AK8" s="28">
        <v>10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211</v>
      </c>
      <c r="AV8" s="15" t="s">
        <v>212</v>
      </c>
      <c r="AW8" s="16">
        <f>VLOOKUP(AV8,Initial!G:K,5,FALSE)</f>
        <v>1426.4507672949526</v>
      </c>
      <c r="AX8" s="20">
        <f t="shared" si="0"/>
        <v>1368.3971990345021</v>
      </c>
      <c r="AY8" s="21">
        <f t="shared" si="1"/>
        <v>1354.9820024523272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fj2pstri2pm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5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213</v>
      </c>
      <c r="AV9" s="15" t="s">
        <v>214</v>
      </c>
      <c r="AW9" s="16">
        <f>VLOOKUP(AV9,Initial!G:K,5,FALSE)</f>
        <v>1418.8311236422678</v>
      </c>
      <c r="AX9" s="20">
        <f t="shared" si="0"/>
        <v>1404.2553853233485</v>
      </c>
      <c r="AY9" s="21">
        <f t="shared" si="1"/>
        <v>1400.8863763371542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SCWE12FLYERS</v>
      </c>
      <c r="F10" s="233"/>
      <c r="G10" s="233"/>
      <c r="H10" s="233"/>
      <c r="I10" s="233"/>
      <c r="J10" s="233"/>
      <c r="K10" s="234"/>
      <c r="L10" s="235">
        <f>IF($AK10=0,AF65,AF47)</f>
        <v>3</v>
      </c>
      <c r="M10" s="236"/>
      <c r="N10" s="236"/>
      <c r="O10" s="236"/>
      <c r="P10" s="236"/>
      <c r="Q10" s="256"/>
      <c r="R10" s="235">
        <f>IF($AK10=0,AG65,AG47)</f>
        <v>5</v>
      </c>
      <c r="S10" s="236"/>
      <c r="T10" s="236"/>
      <c r="U10" s="236"/>
      <c r="V10" s="236"/>
      <c r="W10" s="235">
        <f>AQ25</f>
        <v>-2</v>
      </c>
      <c r="X10" s="236"/>
      <c r="Y10" s="236"/>
      <c r="Z10" s="239">
        <f>IF(AF59&gt;0,(AQ25/AF59),0)</f>
        <v>-9.9502487562189053E-3</v>
      </c>
      <c r="AA10" s="240"/>
      <c r="AB10" s="240"/>
      <c r="AC10" s="262">
        <f>IF(AF73=0,0,(AF65/AF73))</f>
        <v>0.375</v>
      </c>
      <c r="AD10" s="263"/>
      <c r="AE10" s="264"/>
      <c r="AF10" s="268">
        <v>3</v>
      </c>
      <c r="AG10" s="268">
        <v>1</v>
      </c>
      <c r="AH10" s="270">
        <v>5</v>
      </c>
      <c r="AI10" s="271"/>
      <c r="AJ10" s="27"/>
      <c r="AK10" s="28">
        <v>0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215</v>
      </c>
      <c r="AV10" s="15" t="s">
        <v>216</v>
      </c>
      <c r="AW10" s="16">
        <f>VLOOKUP(AV10,Initial!G:K,5,FALSE)</f>
        <v>1417.7394943703641</v>
      </c>
      <c r="AX10" s="20">
        <f t="shared" si="0"/>
        <v>1509.7737947906535</v>
      </c>
      <c r="AY10" s="21">
        <f t="shared" si="1"/>
        <v>1516.8809749614643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fj2scwea1pm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5" t="s">
        <v>217</v>
      </c>
      <c r="AV11" s="15" t="s">
        <v>218</v>
      </c>
      <c r="AW11" s="16">
        <f>VLOOKUP(AV11,Initial!G:K,5,FALSE)</f>
        <v>1400.1815869502536</v>
      </c>
      <c r="AX11" s="20">
        <f t="shared" si="0"/>
        <v>1505.3439733567056</v>
      </c>
      <c r="AY11" s="21">
        <f t="shared" si="1"/>
        <v>1498.9080818919695</v>
      </c>
    </row>
    <row r="12" spans="1:53" ht="18.75" customHeight="1" thickBot="1" x14ac:dyDescent="0.25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Region 12 Intense gvl</v>
      </c>
      <c r="F12" s="233"/>
      <c r="G12" s="233"/>
      <c r="H12" s="233"/>
      <c r="I12" s="233"/>
      <c r="J12" s="233"/>
      <c r="K12" s="234"/>
      <c r="L12" s="235">
        <f>IF($AK10=0,AF66,AF48)</f>
        <v>1</v>
      </c>
      <c r="M12" s="236"/>
      <c r="N12" s="236"/>
      <c r="O12" s="236"/>
      <c r="P12" s="236"/>
      <c r="Q12" s="256"/>
      <c r="R12" s="235">
        <f>IF($AK10=0,AG66,AG48)</f>
        <v>7</v>
      </c>
      <c r="S12" s="236"/>
      <c r="T12" s="236"/>
      <c r="U12" s="236"/>
      <c r="V12" s="236"/>
      <c r="W12" s="235">
        <f>AQ26</f>
        <v>-50</v>
      </c>
      <c r="X12" s="236"/>
      <c r="Y12" s="236"/>
      <c r="Z12" s="239">
        <f>IF(AF60&gt;0,(AQ26/AF60),0)</f>
        <v>-0.25</v>
      </c>
      <c r="AA12" s="240"/>
      <c r="AB12" s="240"/>
      <c r="AC12" s="262">
        <f>IF(AF74=0,0,(AF66/AF74))</f>
        <v>0.125</v>
      </c>
      <c r="AD12" s="263"/>
      <c r="AE12" s="264"/>
      <c r="AF12" s="268">
        <v>5</v>
      </c>
      <c r="AG12" s="268">
        <v>1</v>
      </c>
      <c r="AH12" s="270">
        <v>9</v>
      </c>
      <c r="AI12" s="271"/>
      <c r="AJ12" s="31"/>
      <c r="AK12" s="28">
        <v>8</v>
      </c>
      <c r="AL12" s="32" t="s">
        <v>61</v>
      </c>
      <c r="AM12" s="29"/>
      <c r="AN12" s="29"/>
      <c r="AO12" s="29"/>
      <c r="AP12" s="29"/>
      <c r="AQ12" s="29"/>
      <c r="AR12" s="30"/>
      <c r="AT12" s="33">
        <v>10</v>
      </c>
      <c r="AU12" s="15" t="s">
        <v>219</v>
      </c>
      <c r="AV12" s="15" t="s">
        <v>220</v>
      </c>
      <c r="AW12" s="16">
        <f>VLOOKUP(AV12,Initial!G:K,5,FALSE)</f>
        <v>1400</v>
      </c>
      <c r="AX12" s="34">
        <f t="shared" si="0"/>
        <v>1474.8477817287267</v>
      </c>
      <c r="AY12" s="35">
        <f t="shared" si="1"/>
        <v>1460.4507880808455</v>
      </c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fj2inten5pm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39" t="s">
        <v>64</v>
      </c>
      <c r="AU13" s="340"/>
      <c r="AV13" s="340"/>
      <c r="AW13" s="340"/>
      <c r="AX13" s="340"/>
      <c r="AY13" s="341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CSRA Heat 12 Gold</v>
      </c>
      <c r="F14" s="233"/>
      <c r="G14" s="233"/>
      <c r="H14" s="233"/>
      <c r="I14" s="233"/>
      <c r="J14" s="233"/>
      <c r="K14" s="234"/>
      <c r="L14" s="235">
        <f>IF($AK10=0,AF67,AF49)</f>
        <v>7</v>
      </c>
      <c r="M14" s="236"/>
      <c r="N14" s="236"/>
      <c r="O14" s="236"/>
      <c r="P14" s="236"/>
      <c r="Q14" s="256"/>
      <c r="R14" s="235">
        <f>IF($AK10=0,AG67,AG49)</f>
        <v>1</v>
      </c>
      <c r="S14" s="236"/>
      <c r="T14" s="236"/>
      <c r="U14" s="236"/>
      <c r="V14" s="236"/>
      <c r="W14" s="235">
        <f>AQ27</f>
        <v>35</v>
      </c>
      <c r="X14" s="236"/>
      <c r="Y14" s="236"/>
      <c r="Z14" s="239">
        <f>IF(AF61&gt;0,(AQ27/AF61),0)</f>
        <v>0.17326732673267325</v>
      </c>
      <c r="AA14" s="240"/>
      <c r="AB14" s="240"/>
      <c r="AC14" s="262">
        <f>IF(AF75=0,0,(AF67/AF75))</f>
        <v>0.875</v>
      </c>
      <c r="AD14" s="263"/>
      <c r="AE14" s="264"/>
      <c r="AF14" s="268">
        <v>1</v>
      </c>
      <c r="AG14" s="268">
        <v>3</v>
      </c>
      <c r="AH14" s="270">
        <v>2</v>
      </c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42"/>
      <c r="AU14" s="343"/>
      <c r="AV14" s="343"/>
      <c r="AW14" s="343"/>
      <c r="AX14" s="343"/>
      <c r="AY14" s="344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fj2csrah1pm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  <c r="AW15" s="97"/>
      <c r="AX15" s="97"/>
      <c r="AY15" s="97"/>
    </row>
    <row r="16" spans="1:53" ht="18.75" customHeight="1" x14ac:dyDescent="0.2">
      <c r="A16" s="227" t="str">
        <f>IF($AK9&gt;4,"5","")</f>
        <v>5</v>
      </c>
      <c r="B16" s="286" t="s">
        <v>10</v>
      </c>
      <c r="C16" s="287"/>
      <c r="D16" s="287"/>
      <c r="E16" s="232" t="str">
        <f>AU11</f>
        <v>Crossfire 12</v>
      </c>
      <c r="F16" s="233"/>
      <c r="G16" s="233"/>
      <c r="H16" s="233"/>
      <c r="I16" s="233"/>
      <c r="J16" s="233"/>
      <c r="K16" s="234"/>
      <c r="L16" s="235">
        <f>IF($AK10=0,AF68,AF50)</f>
        <v>7</v>
      </c>
      <c r="M16" s="236"/>
      <c r="N16" s="236"/>
      <c r="O16" s="236"/>
      <c r="P16" s="236"/>
      <c r="Q16" s="256"/>
      <c r="R16" s="235">
        <f>IF($AK10=0,AG68,AG50)</f>
        <v>1</v>
      </c>
      <c r="S16" s="236"/>
      <c r="T16" s="236"/>
      <c r="U16" s="236"/>
      <c r="V16" s="236"/>
      <c r="W16" s="235">
        <f>AQ28</f>
        <v>41</v>
      </c>
      <c r="X16" s="236"/>
      <c r="Y16" s="236"/>
      <c r="Z16" s="239">
        <f>IF(AF62&gt;0,(AQ28/AF62),0)</f>
        <v>0.20297029702970298</v>
      </c>
      <c r="AA16" s="240"/>
      <c r="AB16" s="240"/>
      <c r="AC16" s="262">
        <f>IF(AF76=0,0,(AF68/AF76))</f>
        <v>0.875</v>
      </c>
      <c r="AD16" s="263"/>
      <c r="AE16" s="264"/>
      <c r="AF16" s="268">
        <v>2</v>
      </c>
      <c r="AG16" s="268">
        <v>3</v>
      </c>
      <c r="AH16" s="270">
        <v>3</v>
      </c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T16" s="39"/>
      <c r="AU16" s="97"/>
      <c r="AV16" s="97"/>
      <c r="AW16" s="97"/>
      <c r="AX16" s="97"/>
      <c r="AY16" s="97"/>
    </row>
    <row r="17" spans="1:51" ht="18.75" customHeight="1" thickBot="1" x14ac:dyDescent="0.25">
      <c r="A17" s="228"/>
      <c r="B17" s="296" t="s">
        <v>11</v>
      </c>
      <c r="C17" s="297"/>
      <c r="D17" s="297"/>
      <c r="E17" s="410" t="str">
        <f>AV11</f>
        <v>fj2crosf1pm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T17" s="39"/>
      <c r="AU17" s="97"/>
      <c r="AV17" s="97"/>
      <c r="AW17" s="97"/>
      <c r="AX17" s="97"/>
      <c r="AY17" s="97"/>
    </row>
    <row r="18" spans="1:51" ht="21" customHeight="1" thickTop="1" thickBot="1" x14ac:dyDescent="0.25">
      <c r="A18" s="40"/>
      <c r="B18" s="305" t="s">
        <v>65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T18" s="39"/>
      <c r="AU18" s="97"/>
      <c r="AV18" s="97"/>
      <c r="AW18" s="4"/>
    </row>
    <row r="19" spans="1:51" ht="13.5" thickTop="1" x14ac:dyDescent="0.2">
      <c r="A19" s="4" t="s">
        <v>66</v>
      </c>
      <c r="B19" s="308">
        <v>0.35416666666666669</v>
      </c>
      <c r="C19" s="309"/>
      <c r="D19" s="310"/>
      <c r="E19" s="308">
        <v>0.38541666666666669</v>
      </c>
      <c r="F19" s="309"/>
      <c r="G19" s="310"/>
      <c r="H19" s="308">
        <v>0.41666666666666669</v>
      </c>
      <c r="I19" s="309"/>
      <c r="J19" s="310"/>
      <c r="K19" s="308">
        <v>0.44791666666666669</v>
      </c>
      <c r="L19" s="309"/>
      <c r="M19" s="310"/>
      <c r="N19" s="308">
        <v>0.47916666666666669</v>
      </c>
      <c r="O19" s="309"/>
      <c r="P19" s="310"/>
      <c r="Q19" s="308">
        <v>0.51041666666666663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T19" s="39"/>
      <c r="AU19" s="97"/>
      <c r="AV19" s="97"/>
      <c r="AW19" s="4"/>
    </row>
    <row r="20" spans="1:51" x14ac:dyDescent="0.2">
      <c r="A20" s="41" t="s">
        <v>68</v>
      </c>
      <c r="B20" s="319">
        <v>0.35416666666666669</v>
      </c>
      <c r="C20" s="320"/>
      <c r="D20" s="321"/>
      <c r="E20" s="319">
        <v>0.3923611111111111</v>
      </c>
      <c r="F20" s="320"/>
      <c r="G20" s="321"/>
      <c r="H20" s="319">
        <v>0.43055555555555558</v>
      </c>
      <c r="I20" s="320"/>
      <c r="J20" s="321"/>
      <c r="K20" s="319">
        <v>0.45833333333333331</v>
      </c>
      <c r="L20" s="320"/>
      <c r="M20" s="321"/>
      <c r="N20" s="319">
        <v>0.48819444444444443</v>
      </c>
      <c r="O20" s="320"/>
      <c r="P20" s="321"/>
      <c r="Q20" s="319">
        <v>0.52083333333333337</v>
      </c>
      <c r="R20" s="320"/>
      <c r="S20" s="321"/>
      <c r="T20" s="319">
        <v>0.54861111111111105</v>
      </c>
      <c r="U20" s="320"/>
      <c r="V20" s="321"/>
      <c r="W20" s="319">
        <v>0.57847222222222217</v>
      </c>
      <c r="X20" s="320"/>
      <c r="Y20" s="321"/>
      <c r="Z20" s="319">
        <v>0.60277777777777775</v>
      </c>
      <c r="AA20" s="320"/>
      <c r="AB20" s="321"/>
      <c r="AC20" s="319">
        <v>0.64236111111111105</v>
      </c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T20" s="39"/>
      <c r="AU20" s="97"/>
      <c r="AV20" s="97"/>
      <c r="AW20" s="4"/>
    </row>
    <row r="21" spans="1:51" x14ac:dyDescent="0.2">
      <c r="A21" s="41" t="s">
        <v>69</v>
      </c>
      <c r="B21" s="319">
        <v>0.38472222222222219</v>
      </c>
      <c r="C21" s="320"/>
      <c r="D21" s="321"/>
      <c r="E21" s="319">
        <v>0.42222222222222222</v>
      </c>
      <c r="F21" s="320"/>
      <c r="G21" s="321"/>
      <c r="H21" s="319">
        <v>0.44861111111111113</v>
      </c>
      <c r="I21" s="320"/>
      <c r="J21" s="321"/>
      <c r="K21" s="319">
        <v>0.48125000000000001</v>
      </c>
      <c r="L21" s="320"/>
      <c r="M21" s="321"/>
      <c r="N21" s="319">
        <v>0.51041666666666663</v>
      </c>
      <c r="O21" s="320"/>
      <c r="P21" s="321"/>
      <c r="Q21" s="319">
        <v>0.54236111111111118</v>
      </c>
      <c r="R21" s="320"/>
      <c r="S21" s="321"/>
      <c r="T21" s="319">
        <v>0.57291666666666663</v>
      </c>
      <c r="U21" s="320"/>
      <c r="V21" s="321"/>
      <c r="W21" s="319">
        <v>0.60138888888888886</v>
      </c>
      <c r="X21" s="320"/>
      <c r="Y21" s="321"/>
      <c r="Z21" s="319">
        <v>0.63402777777777775</v>
      </c>
      <c r="AA21" s="320"/>
      <c r="AB21" s="321"/>
      <c r="AC21" s="319">
        <v>0.66319444444444442</v>
      </c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T21" s="6"/>
      <c r="AU21" s="6"/>
      <c r="AV21" s="6"/>
      <c r="AW21" s="4"/>
    </row>
    <row r="22" spans="1:51" ht="13.5" thickBot="1" x14ac:dyDescent="0.25">
      <c r="A22" s="7"/>
      <c r="B22" s="322" t="s">
        <v>70</v>
      </c>
      <c r="C22" s="323"/>
      <c r="D22" s="324"/>
      <c r="E22" s="322" t="str">
        <f>IF($AK8&gt;1,"Match 2","")</f>
        <v>Match 2</v>
      </c>
      <c r="F22" s="323"/>
      <c r="G22" s="324"/>
      <c r="H22" s="322" t="str">
        <f>IF($AK8&gt;2,"Match 3","")</f>
        <v>Match 3</v>
      </c>
      <c r="I22" s="323"/>
      <c r="J22" s="324"/>
      <c r="K22" s="322" t="str">
        <f>IF($AK8&gt;3,"Match 4","")</f>
        <v>Match 4</v>
      </c>
      <c r="L22" s="323"/>
      <c r="M22" s="324"/>
      <c r="N22" s="322" t="str">
        <f>IF($AK8&gt;4,"Match 5","")</f>
        <v>Match 5</v>
      </c>
      <c r="O22" s="323"/>
      <c r="P22" s="324"/>
      <c r="Q22" s="322" t="str">
        <f>IF($AK8&gt;5,"Match 6","")</f>
        <v>Match 6</v>
      </c>
      <c r="R22" s="323"/>
      <c r="S22" s="324"/>
      <c r="T22" s="322" t="str">
        <f>IF($AK8&gt;6,"Match 7","")</f>
        <v>Match 7</v>
      </c>
      <c r="U22" s="323"/>
      <c r="V22" s="324"/>
      <c r="W22" s="322" t="str">
        <f>IF($AK8&gt;7,"Match 8","")</f>
        <v>Match 8</v>
      </c>
      <c r="X22" s="323"/>
      <c r="Y22" s="324"/>
      <c r="Z22" s="322" t="str">
        <f>IF($AK8&gt;8,"Match 9","")</f>
        <v>Match 9</v>
      </c>
      <c r="AA22" s="323"/>
      <c r="AB22" s="324"/>
      <c r="AC22" s="322" t="str">
        <f>IF($AK8&gt;9,"Match 10","")</f>
        <v>Match 10</v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T22" s="39"/>
      <c r="AU22" s="97"/>
      <c r="AV22" s="97"/>
      <c r="AW22" s="4"/>
    </row>
    <row r="23" spans="1:51" ht="15.75" x14ac:dyDescent="0.25">
      <c r="A23" s="7"/>
      <c r="B23" s="325" t="s">
        <v>71</v>
      </c>
      <c r="C23" s="326"/>
      <c r="D23" s="327"/>
      <c r="E23" s="325" t="s">
        <v>72</v>
      </c>
      <c r="F23" s="326"/>
      <c r="G23" s="327"/>
      <c r="H23" s="325" t="s">
        <v>73</v>
      </c>
      <c r="I23" s="326"/>
      <c r="J23" s="327"/>
      <c r="K23" s="325" t="s">
        <v>74</v>
      </c>
      <c r="L23" s="326"/>
      <c r="M23" s="327"/>
      <c r="N23" s="325" t="s">
        <v>75</v>
      </c>
      <c r="O23" s="326"/>
      <c r="P23" s="327"/>
      <c r="Q23" s="325" t="s">
        <v>73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74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9"/>
      <c r="AU23" s="97"/>
      <c r="AV23" s="97"/>
      <c r="AW23" s="97"/>
      <c r="AX23" s="97"/>
      <c r="AY23" s="97"/>
    </row>
    <row r="24" spans="1:51" ht="15.75" x14ac:dyDescent="0.25">
      <c r="A24" s="7"/>
      <c r="B24" s="45">
        <v>2</v>
      </c>
      <c r="C24" s="46" t="s">
        <v>78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2" t="str">
        <f>IF($AK9&gt;0,"Team 1","")</f>
        <v>Team 1</v>
      </c>
      <c r="AG24" s="48" t="str">
        <f>IF($AK9&lt;1,"",IF($AK8&lt;1,"",IF(B24=1,B30-D30,IF(D24=1,D30-B30,""))))</f>
        <v/>
      </c>
      <c r="AH24" s="48">
        <f>IF($AK9&lt;1,"",IF($AK8&lt;2,"",IF(E24=1,E30-G30,IF(G24=1,G30-E30,""))))</f>
        <v>-15</v>
      </c>
      <c r="AI24" s="48" t="str">
        <f>IF($AK9&lt;1,"",IF($AK8&lt;3,"",IF(H24=1,H30-J30,IF(J24=1,J30-H30,""))))</f>
        <v/>
      </c>
      <c r="AJ24" s="48" t="str">
        <f>IF($AK9&lt;1,"",IF($AK8&lt;4,"",IF(K24=1,K30-M30,IF(M24=1,M30-K30,""))))</f>
        <v/>
      </c>
      <c r="AK24" s="48">
        <f>IF($AK9&lt;1,"",IF($AK8&lt;5,"",IF(N24=1,N30-P30,IF(P24=1,P30-N30,""))))</f>
        <v>7</v>
      </c>
      <c r="AL24" s="48" t="str">
        <f>IF($AK9&lt;1,"",IF($AK8&lt;6,"",IF(Q24=1,Q30-S30,IF(S24=1,S30-Q30,""))))</f>
        <v/>
      </c>
      <c r="AM24" s="48" t="str">
        <f>IF($AK9&lt;1,"",IF($AK8&lt;7,"",IF(T24=1,T30-V30,IF(V24=1,V30-T30,""))))</f>
        <v/>
      </c>
      <c r="AN24" s="48">
        <f>IF($AK9&lt;1,"",IF($AK8&lt;8,"",IF(W24=1,W30-Y30,IF(Y24=1,Y30-W30,""))))</f>
        <v>-12</v>
      </c>
      <c r="AO24" s="48" t="str">
        <f>IF($AK9&lt;1,"",IF($AK8&lt;9,"",IF(Z24=1,Z30-AB30,IF(AB24=1,AB30-Z30,""))))</f>
        <v/>
      </c>
      <c r="AP24" s="48">
        <f>IF($AK9&lt;1,"",IF($AK8&lt;10,"",IF(AC24=1,AC30-AE30,IF(AE24=1,AE30-AC30,""))))</f>
        <v>-4</v>
      </c>
      <c r="AQ24" s="44">
        <f>SUM(AG24:AP24)</f>
        <v>-24</v>
      </c>
      <c r="AT24" s="39"/>
      <c r="AU24" s="97"/>
      <c r="AV24" s="97"/>
      <c r="AW24" s="97"/>
      <c r="AX24" s="97"/>
      <c r="AY24" s="97"/>
    </row>
    <row r="25" spans="1:51" ht="15" x14ac:dyDescent="0.2">
      <c r="A25" s="4" t="s">
        <v>79</v>
      </c>
      <c r="B25" s="49">
        <v>24</v>
      </c>
      <c r="C25" s="50" t="s">
        <v>80</v>
      </c>
      <c r="D25" s="51">
        <v>26</v>
      </c>
      <c r="E25" s="49">
        <v>26</v>
      </c>
      <c r="F25" s="50" t="str">
        <f>IF($AK8&gt;1,"/","")</f>
        <v>/</v>
      </c>
      <c r="G25" s="51">
        <v>27</v>
      </c>
      <c r="H25" s="49">
        <v>16</v>
      </c>
      <c r="I25" s="50" t="str">
        <f>IF($AK8&gt;2,"/","")</f>
        <v>/</v>
      </c>
      <c r="J25" s="51">
        <v>25</v>
      </c>
      <c r="K25" s="49">
        <v>21</v>
      </c>
      <c r="L25" s="50" t="str">
        <f>IF($AK8&gt;3,"/","")</f>
        <v>/</v>
      </c>
      <c r="M25" s="51">
        <v>25</v>
      </c>
      <c r="N25" s="49">
        <v>25</v>
      </c>
      <c r="O25" s="50" t="str">
        <f>IF($AK8&gt;4,"/","")</f>
        <v>/</v>
      </c>
      <c r="P25" s="51">
        <v>16</v>
      </c>
      <c r="Q25" s="49">
        <v>25</v>
      </c>
      <c r="R25" s="50" t="str">
        <f>IF($AK8&gt;5,"/","")</f>
        <v>/</v>
      </c>
      <c r="S25" s="51">
        <v>18</v>
      </c>
      <c r="T25" s="49">
        <v>25</v>
      </c>
      <c r="U25" s="50" t="str">
        <f>IF($AK8&gt;6,"/","")</f>
        <v>/</v>
      </c>
      <c r="V25" s="51">
        <v>21</v>
      </c>
      <c r="W25" s="49">
        <v>15</v>
      </c>
      <c r="X25" s="50" t="str">
        <f>IF($AK8&gt;7,"/","")</f>
        <v>/</v>
      </c>
      <c r="Y25" s="51">
        <v>25</v>
      </c>
      <c r="Z25" s="49">
        <v>19</v>
      </c>
      <c r="AA25" s="50" t="str">
        <f>IF($AK8&gt;8,"/","")</f>
        <v>/</v>
      </c>
      <c r="AB25" s="51">
        <v>25</v>
      </c>
      <c r="AC25" s="49">
        <v>25</v>
      </c>
      <c r="AD25" s="50" t="str">
        <f>IF($AK8&gt;9,"/","")</f>
        <v>/</v>
      </c>
      <c r="AE25" s="51">
        <v>21</v>
      </c>
      <c r="AF25" s="42" t="str">
        <f>IF($AK9&gt;1,"Team 2","")</f>
        <v>Team 2</v>
      </c>
      <c r="AG25" s="48">
        <f>IF($AK9&lt;2,"",IF($AK8&lt;1,"",IF(B24=2,B30-D30,IF(D24=2,D30-B30,""))))</f>
        <v>-10</v>
      </c>
      <c r="AH25" s="48" t="str">
        <f>IF($AK9&lt;2,"",IF($AK8&lt;2,"",IF(E24=2,E30-G30,IF(G24=2,G30-E30,""))))</f>
        <v/>
      </c>
      <c r="AI25" s="48" t="str">
        <f>IF($AK9&lt;2,"",IF($AK8&lt;3,"",IF(H24=2,H30-J30,IF(J24=2,J30-H30,""))))</f>
        <v/>
      </c>
      <c r="AJ25" s="48">
        <f>IF($AK9&lt;2,"",IF($AK8&lt;4,"",IF(K24=2,K30-M30,IF(M24=2,M30-K30,""))))</f>
        <v>-6</v>
      </c>
      <c r="AK25" s="48" t="str">
        <f>IF($AK9&lt;2,"",IF($AK8&lt;5,"",IF(N24=2,N30-P30,IF(P24=2,P30-N30,""))))</f>
        <v/>
      </c>
      <c r="AL25" s="48" t="str">
        <f>IF($AK9&lt;2,"",IF($AK8&lt;6,"",IF(Q24=2,Q30-S30,IF(S24=2,S30-Q30,""))))</f>
        <v/>
      </c>
      <c r="AM25" s="48">
        <f>IF($AK9&lt;2,"",IF($AK8&lt;7,"",IF(T24=2,T30-V30,IF(V24=2,V30-T30,""))))</f>
        <v>10</v>
      </c>
      <c r="AN25" s="48" t="str">
        <f>IF($AK9&lt;2,"",IF($AK8&lt;8,"",IF(W24=2,W30-Y30,IF(Y24=2,Y30-W30,""))))</f>
        <v/>
      </c>
      <c r="AO25" s="48" t="str">
        <f>IF($AK9&lt;2,"",IF($AK8&lt;9,"",IF(Z24=2,Z30-AB30,IF(AB24=2,AB30-Z30,""))))</f>
        <v/>
      </c>
      <c r="AP25" s="48">
        <f>IF($AK9&lt;2,"",IF($AK8&lt;10,"",IF(AC24=2,AC30-AE30,IF(AE24=2,AE30-AC30,""))))</f>
        <v>4</v>
      </c>
      <c r="AQ25" s="44">
        <f>SUM(AG25:AP25)</f>
        <v>-2</v>
      </c>
      <c r="AW25" s="4"/>
    </row>
    <row r="26" spans="1:51" ht="15" x14ac:dyDescent="0.2">
      <c r="A26" s="3" t="str">
        <f>IF($AK7&gt;1,"Game 2","")</f>
        <v>Game 2</v>
      </c>
      <c r="B26" s="49">
        <v>17</v>
      </c>
      <c r="C26" s="50" t="s">
        <v>80</v>
      </c>
      <c r="D26" s="51">
        <v>25</v>
      </c>
      <c r="E26" s="49">
        <v>11</v>
      </c>
      <c r="F26" s="50" t="str">
        <f>IF($AK8&gt;1,IF($AK7&gt;1,"/",""),"")</f>
        <v>/</v>
      </c>
      <c r="G26" s="51">
        <v>25</v>
      </c>
      <c r="H26" s="49">
        <v>11</v>
      </c>
      <c r="I26" s="50" t="str">
        <f>IF($AK8&gt;2,IF($AK7&gt;1,"/",""),"")</f>
        <v>/</v>
      </c>
      <c r="J26" s="51">
        <v>25</v>
      </c>
      <c r="K26" s="49">
        <v>23</v>
      </c>
      <c r="L26" s="50" t="str">
        <f>IF($AK8&gt;3,IF($AK7&gt;1,"/",""),"")</f>
        <v>/</v>
      </c>
      <c r="M26" s="51">
        <v>25</v>
      </c>
      <c r="N26" s="49">
        <v>23</v>
      </c>
      <c r="O26" s="50" t="str">
        <f>IF($AK8&gt;4,IF($AK7&gt;1,"/",""),"")</f>
        <v>/</v>
      </c>
      <c r="P26" s="51">
        <v>25</v>
      </c>
      <c r="Q26" s="49">
        <v>22</v>
      </c>
      <c r="R26" s="50" t="str">
        <f>IF($AK8&gt;5,IF($AK7&gt;1,"/",""),"")</f>
        <v>/</v>
      </c>
      <c r="S26" s="51">
        <v>25</v>
      </c>
      <c r="T26" s="49">
        <v>25</v>
      </c>
      <c r="U26" s="50" t="str">
        <f>IF($AK8&gt;6,IF($AK7&gt;1,"/",""),"")</f>
        <v>/</v>
      </c>
      <c r="V26" s="51">
        <v>19</v>
      </c>
      <c r="W26" s="49">
        <v>24</v>
      </c>
      <c r="X26" s="50" t="str">
        <f>IF($AK8&gt;7,IF($AK7&gt;1,"/",""),"")</f>
        <v>/</v>
      </c>
      <c r="Y26" s="51">
        <v>26</v>
      </c>
      <c r="Z26" s="49">
        <v>21</v>
      </c>
      <c r="AA26" s="50" t="str">
        <f>IF($AK8&gt;8,IF($AK7&gt;1,"/",""),"")</f>
        <v>/</v>
      </c>
      <c r="AB26" s="51">
        <v>25</v>
      </c>
      <c r="AC26" s="49">
        <v>17</v>
      </c>
      <c r="AD26" s="50" t="str">
        <f>IF($AK8&gt;9,IF($AK7&gt;1,"/",""),"")</f>
        <v>/</v>
      </c>
      <c r="AE26" s="51">
        <v>25</v>
      </c>
      <c r="AF26" s="42" t="str">
        <f>IF($AK9&gt;2,"Team 3","")</f>
        <v>Team 3</v>
      </c>
      <c r="AG26" s="48" t="str">
        <f>IF($AK9&lt;3,"",IF($AK8&lt;1,"",IF(B24=3,B30-D30,IF(D24=3,D30-B30,""))))</f>
        <v/>
      </c>
      <c r="AH26" s="48" t="str">
        <f>IF($AK9&lt;3,"",IF($AK8&lt;2,"",IF(E24=3,E30-G30,IF(G24=3,G30-E30,""))))</f>
        <v/>
      </c>
      <c r="AI26" s="48">
        <f>IF($AK9&lt;3,"",IF($AK8&lt;3,"",IF(H24=3,H30-J30,IF(J24=3,J30-H30,""))))</f>
        <v>-23</v>
      </c>
      <c r="AJ26" s="48" t="str">
        <f>IF($AK9&lt;3,"",IF($AK8&lt;4,"",IF(K24=3,K30-M30,IF(M24=3,M30-K30,""))))</f>
        <v/>
      </c>
      <c r="AK26" s="48">
        <f>IF($AK9&lt;3,"",IF($AK8&lt;5,"",IF(N24=3,N30-P30,IF(P24=3,P30-N30,""))))</f>
        <v>-7</v>
      </c>
      <c r="AL26" s="48" t="str">
        <f>IF($AK9&lt;3,"",IF($AK8&lt;6,"",IF(Q24=3,Q30-S30,IF(S24=3,S30-Q30,""))))</f>
        <v/>
      </c>
      <c r="AM26" s="48">
        <f>IF($AK9&lt;3,"",IF($AK8&lt;7,"",IF(T24=3,T30-V30,IF(V24=3,V30-T30,""))))</f>
        <v>-10</v>
      </c>
      <c r="AN26" s="48" t="str">
        <f>IF($AK9&lt;3,"",IF($AK8&lt;8,"",IF(W24=3,W30-Y30,IF(Y24=3,Y30-W30,""))))</f>
        <v/>
      </c>
      <c r="AO26" s="48">
        <f>IF($AK9&lt;3,"",IF($AK8&lt;9,"",IF(Z24=3,Z30-AB30,IF(AB24=3,AB30-Z30,""))))</f>
        <v>-10</v>
      </c>
      <c r="AP26" s="48" t="str">
        <f>IF($AK9&lt;3,"",IF($AK8&lt;9,"",IF(AC24=3,AC30-AE30,IF(AE24=3,AE30-AC30,""))))</f>
        <v/>
      </c>
      <c r="AQ26" s="44">
        <f>SUM(AG26:AP26)</f>
        <v>-50</v>
      </c>
      <c r="AW26" s="4"/>
    </row>
    <row r="27" spans="1:51" ht="15" x14ac:dyDescent="0.2">
      <c r="A27" s="3" t="str">
        <f>IF($AK7&gt;2,"Game 3","")</f>
        <v/>
      </c>
      <c r="B27" s="49"/>
      <c r="C27" s="50" t="s">
        <v>80</v>
      </c>
      <c r="D27" s="51"/>
      <c r="E27" s="49"/>
      <c r="F27" s="50" t="str">
        <f>IF($AK8&gt;1,IF($AK7&gt;2,"/",""),"")</f>
        <v/>
      </c>
      <c r="G27" s="51"/>
      <c r="H27" s="49"/>
      <c r="I27" s="50" t="str">
        <f>IF($AK8&gt;2,IF($AK7&gt;2,"/",""),"")</f>
        <v/>
      </c>
      <c r="J27" s="51"/>
      <c r="K27" s="49"/>
      <c r="L27" s="50" t="str">
        <f>IF($AK8&gt;3,IF($AK7&gt;2,"/",""),"")</f>
        <v/>
      </c>
      <c r="M27" s="51"/>
      <c r="N27" s="49"/>
      <c r="O27" s="50" t="str">
        <f>IF($AK8&gt;4,IF($AK7&gt;2,"/",""),"")</f>
        <v/>
      </c>
      <c r="P27" s="51"/>
      <c r="Q27" s="49"/>
      <c r="R27" s="50" t="str">
        <f>IF($AK8&gt;5,IF($AK7&gt;2,"/",""),"")</f>
        <v/>
      </c>
      <c r="S27" s="51"/>
      <c r="T27" s="49"/>
      <c r="U27" s="50" t="str">
        <f>IF($AK8&gt;6,IF($AK7&gt;2,"/",""),"")</f>
        <v/>
      </c>
      <c r="V27" s="51"/>
      <c r="W27" s="49"/>
      <c r="X27" s="50" t="str">
        <f>IF($AK8&gt;7,IF($AK7&gt;2,"/",""),"")</f>
        <v/>
      </c>
      <c r="Y27" s="51"/>
      <c r="Z27" s="49"/>
      <c r="AA27" s="50" t="str">
        <f>IF($AK8&gt;8,IF($AK7&gt;2,"/",""),"")</f>
        <v/>
      </c>
      <c r="AB27" s="51"/>
      <c r="AC27" s="49">
        <v>25</v>
      </c>
      <c r="AD27" s="50" t="str">
        <f>IF($AK8&gt;9,IF($AK7&gt;2,"/",""),"")</f>
        <v/>
      </c>
      <c r="AE27" s="51"/>
      <c r="AF27" s="42" t="str">
        <f>IF($AK9&gt;3,"Team 4","")</f>
        <v>Team 4</v>
      </c>
      <c r="AG27" s="48" t="str">
        <f>IF($AK9&lt;4,"",IF($AK8&lt;1,"",IF(B24=4,B30-D30,IF(D24=4,D30-B30,""))))</f>
        <v/>
      </c>
      <c r="AH27" s="48">
        <f>IF($AK9&lt;4,"",IF($AK8&lt;2,"",IF(E24=4,E30-G30,IF(G24=4,G30-E30,""))))</f>
        <v>15</v>
      </c>
      <c r="AI27" s="48" t="str">
        <f>IF($AK9&lt;4,"",IF($AK8&lt;3,"",IF(H24=4,H30-J30,IF(J24=4,J30-H30,""))))</f>
        <v/>
      </c>
      <c r="AJ27" s="48">
        <f>IF($AK9&lt;4,"",IF($AK8&lt;4,"",IF(K24=4,K30-M30,IF(M24=4,M30-K30,""))))</f>
        <v>6</v>
      </c>
      <c r="AK27" s="48" t="str">
        <f>IF($AK9&lt;4,"",IF($AK8&lt;5,"",IF(N24=4,N30-P30,IF(P24=4,P30-N30,""))))</f>
        <v/>
      </c>
      <c r="AL27" s="48">
        <f>IF($AK9&lt;4,"",IF($AK8&lt;6,"",IF(Q24=4,Q30-S30,IF(S24=4,S30-Q30,""))))</f>
        <v>4</v>
      </c>
      <c r="AM27" s="48" t="str">
        <f>IF($AK9&lt;4,"",IF($AK8&lt;7,"",IF(T24=4,T30-V30,IF(V24=4,V30-T30,""))))</f>
        <v/>
      </c>
      <c r="AN27" s="48" t="str">
        <f>IF($AK9&lt;4,"",IF($AK8&lt;8,"",IF(W24=4,W30-Y30,IF(Y24=4,Y30-W30,""))))</f>
        <v/>
      </c>
      <c r="AO27" s="48">
        <f>IF($AK9&lt;4,"",IF($AK8&lt;9,"",IF(Z24=4,Z30-AB30,IF(AB24=4,AB30-Z30,""))))</f>
        <v>10</v>
      </c>
      <c r="AP27" s="48" t="str">
        <f>IF($AK9&lt;4,"",IF($AK8&lt;10,"",IF(AC24=4,AC30-AE30,IF(AE24=4,AE30-AC30,""))))</f>
        <v/>
      </c>
      <c r="AQ27" s="44">
        <f>SUM(AG27:AP27)</f>
        <v>35</v>
      </c>
      <c r="AW27" s="4"/>
    </row>
    <row r="28" spans="1:51" ht="15" x14ac:dyDescent="0.2">
      <c r="A28" s="3" t="str">
        <f>IF($AK7&gt;3,"Game 4","")</f>
        <v/>
      </c>
      <c r="B28" s="49"/>
      <c r="C28" s="50" t="s">
        <v>80</v>
      </c>
      <c r="D28" s="51"/>
      <c r="E28" s="49"/>
      <c r="F28" s="50" t="str">
        <f>IF($AK8&gt;1,IF($AK7&gt;3,"/",""),"")</f>
        <v/>
      </c>
      <c r="G28" s="51"/>
      <c r="H28" s="49"/>
      <c r="I28" s="50" t="str">
        <f>IF($AK8&gt;2,IF($AK7&gt;3,"/",""),"")</f>
        <v/>
      </c>
      <c r="J28" s="51"/>
      <c r="K28" s="49"/>
      <c r="L28" s="50" t="str">
        <f>IF($AK8&gt;3,IF($AK7&gt;3,"/",""),"")</f>
        <v/>
      </c>
      <c r="M28" s="51"/>
      <c r="N28" s="49"/>
      <c r="O28" s="50" t="str">
        <f>IF($AK8&gt;4,IF($AK7&gt;3,"/",""),"")</f>
        <v/>
      </c>
      <c r="P28" s="51"/>
      <c r="Q28" s="49"/>
      <c r="R28" s="50" t="str">
        <f>IF($AK8&gt;5,IF($AK7&gt;3,"/",""),"")</f>
        <v/>
      </c>
      <c r="S28" s="51"/>
      <c r="T28" s="49"/>
      <c r="U28" s="50" t="str">
        <f>IF($AK8&gt;6,IF($AK7&gt;3,"/",""),"")</f>
        <v/>
      </c>
      <c r="V28" s="51"/>
      <c r="W28" s="49"/>
      <c r="X28" s="50" t="str">
        <f>IF($AK8&gt;7,IF($AK7&gt;3,"/",""),"")</f>
        <v/>
      </c>
      <c r="Y28" s="51"/>
      <c r="Z28" s="49"/>
      <c r="AA28" s="50" t="str">
        <f>IF($AK8&gt;8,IF($AK7&gt;3,"/",""),"")</f>
        <v/>
      </c>
      <c r="AB28" s="51"/>
      <c r="AC28" s="49"/>
      <c r="AD28" s="50" t="str">
        <f>IF($AK8&gt;9,IF($AK7&gt;3,"/",""),"")</f>
        <v/>
      </c>
      <c r="AE28" s="51"/>
      <c r="AF28" s="42" t="str">
        <f>IF($AK9&gt;4,"Team 5","")</f>
        <v>Team 5</v>
      </c>
      <c r="AG28" s="52">
        <f>IF($AK9&lt;5,"",IF($AK8&lt;1,"",IF(B24=5,B30-D30,IF(D24=5,D30-B30,""))))</f>
        <v>10</v>
      </c>
      <c r="AH28" s="48" t="str">
        <f>IF($AK9&lt;5,"",IF($AK8&lt;2,"",IF(E24=5,E30-G30,IF(G24=5,G30-E30,""))))</f>
        <v/>
      </c>
      <c r="AI28" s="48">
        <f>IF($AK9&lt;5,"",IF($AK8&lt;3,"",IF(H24=5,H30-J30,IF(J24=5,J30-H30,""))))</f>
        <v>23</v>
      </c>
      <c r="AJ28" s="48" t="str">
        <f>IF($AK9&lt;5,"",IF($AK8&lt;4,"",IF(K24=5,K30-M30,IF(M24=5,M30-K30,""))))</f>
        <v/>
      </c>
      <c r="AK28" s="48" t="str">
        <f>IF($AK9&lt;5,"",IF($AK8&lt;5,"",IF(N24=5,N30-P30,IF(P24=5,P30-N30,""))))</f>
        <v/>
      </c>
      <c r="AL28" s="48">
        <f>IF($AK9&lt;5,"",IF($AK8&lt;6,"",IF(Q24=5,Q30-S30,IF(S24=5,S30-Q30,""))))</f>
        <v>-4</v>
      </c>
      <c r="AM28" s="48" t="str">
        <f>IF($AK9&lt;5,"",IF($AK8&lt;7,"",IF(T24=5,T30-V30,IF(V24=5,V30-T30,""))))</f>
        <v/>
      </c>
      <c r="AN28" s="48">
        <f>IF($AK9&lt;5,"",IF($AK8&lt;8,"",IF(W24=5,W30-Y30,IF(Y24=5,Y30-W30,""))))</f>
        <v>12</v>
      </c>
      <c r="AO28" s="48" t="str">
        <f>IF($AK9&lt;5,"",IF($AK8&lt;9,"",IF(Z24=5,Z30-AB30,IF(AB24=5,AB30-Z30,""))))</f>
        <v/>
      </c>
      <c r="AP28" s="48" t="str">
        <f>IF($AK9&lt;5,"",IF($AK8&lt;10,"",IF(AC24=5,AC30-AE30,IF(AE24=5,AE30-AC30,""))))</f>
        <v/>
      </c>
      <c r="AQ28" s="44">
        <f>SUM(AG28:AP28)</f>
        <v>41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49"/>
      <c r="C29" s="50" t="s">
        <v>80</v>
      </c>
      <c r="D29" s="51"/>
      <c r="E29" s="49"/>
      <c r="F29" s="50" t="str">
        <f>IF($AK8&gt;1,IF($AK7&gt;4,"/",""),"")</f>
        <v/>
      </c>
      <c r="G29" s="51"/>
      <c r="H29" s="49"/>
      <c r="I29" s="50" t="str">
        <f>IF($AK8&gt;2,IF($AK7&gt;4,"/",""),"")</f>
        <v/>
      </c>
      <c r="J29" s="51"/>
      <c r="K29" s="49"/>
      <c r="L29" s="50" t="str">
        <f>IF($AK8&gt;3,IF($AK7&gt;4,"/",""),"")</f>
        <v/>
      </c>
      <c r="M29" s="51"/>
      <c r="N29" s="49"/>
      <c r="O29" s="50" t="str">
        <f>IF($AK8&gt;4,IF($AK7&gt;4,"/",""),"")</f>
        <v/>
      </c>
      <c r="P29" s="51"/>
      <c r="Q29" s="49"/>
      <c r="R29" s="50" t="str">
        <f>IF($AK8&gt;5,IF($AK7&gt;4,"/",""),"")</f>
        <v/>
      </c>
      <c r="S29" s="51"/>
      <c r="T29" s="49"/>
      <c r="U29" s="50" t="str">
        <f>IF($AK8&gt;6,IF($AK7&gt;4,"/",""),"")</f>
        <v/>
      </c>
      <c r="V29" s="51"/>
      <c r="W29" s="49"/>
      <c r="X29" s="50" t="str">
        <f>IF($AK8&gt;7,IF($AK7&gt;4,"/",""),"")</f>
        <v/>
      </c>
      <c r="Y29" s="51"/>
      <c r="Z29" s="49"/>
      <c r="AA29" s="50" t="str">
        <f>IF($AK8&gt;8,IF($AK7&gt;4,"/",""),"")</f>
        <v/>
      </c>
      <c r="AB29" s="51"/>
      <c r="AC29" s="49"/>
      <c r="AD29" s="50" t="str">
        <f>IF($AK8&gt;9,IF($AK7&gt;4,"/",""),"")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3"/>
      <c r="B30" s="53">
        <f>IF($AK7=5,SUM(B25:B29),IF($AK7=4,SUM(B25:B28),IF($AK7=3,SUM(B25:B27),IF($AK7=2,SUM(B25:B26),B25))))</f>
        <v>41</v>
      </c>
      <c r="C30" s="53"/>
      <c r="D30" s="53">
        <f>IF($AK7=5,SUM(D25:D29),IF($AK7=4,SUM(D25:D28),IF($AK7=3,SUM(D25:D27),IF($AK7=2,SUM(D25:D26),D25))))</f>
        <v>51</v>
      </c>
      <c r="E30" s="53">
        <f>IF($AK7=5,SUM(E25:E29),IF($AK7=4,SUM(E25:E28),IF($AK7=3,SUM(E25:E27),IF($AK7=2,SUM(E25:E26),E25))))</f>
        <v>37</v>
      </c>
      <c r="F30" s="53"/>
      <c r="G30" s="53">
        <f>IF($AK7=5,SUM(G25:G29),IF($AK7=4,SUM(G25:G28),IF($AK7=3,SUM(G25:G27),IF($AK7=2,SUM(G25:G26),G25))))</f>
        <v>52</v>
      </c>
      <c r="H30" s="53">
        <f>IF($AK7=5,SUM(H25:H29),IF($AK7=4,SUM(H25:H28),IF($AK7=3,SUM(H25:H27),IF($AK7=2,SUM(H25:H26),H25))))</f>
        <v>27</v>
      </c>
      <c r="I30" s="53"/>
      <c r="J30" s="53">
        <f>IF($AK7=5,SUM(J25:J29),IF($AK7=4,SUM(J25:J28),IF($AK7=3,SUM(J25:J27),IF($AK7=2,SUM(J25:J26),J25))))</f>
        <v>50</v>
      </c>
      <c r="K30" s="53">
        <f>IF($AK7=5,SUM(K25:K29),IF($AK7=4,SUM(K25:K28),IF($AK7=3,SUM(K25:K27),IF($AK7=2,SUM(K25:K26),K25))))</f>
        <v>44</v>
      </c>
      <c r="L30" s="53"/>
      <c r="M30" s="53">
        <f>IF($AK7=5,SUM(M25:M29),IF($AK7=4,SUM(M25:M28),IF($AK7=3,SUM(M25:M27),IF($AK7=2,SUM(M25:M26),M25))))</f>
        <v>50</v>
      </c>
      <c r="N30" s="53">
        <f>IF($AK7=5,SUM(N25:N29),IF($AK7=4,SUM(N25:N28),IF($AK7=3,SUM(N25:N27),IF($AK7=2,SUM(N25:N26),N25))))</f>
        <v>48</v>
      </c>
      <c r="O30" s="53"/>
      <c r="P30" s="53">
        <f>IF($AK7=5,SUM(P25:P29),IF($AK7=4,SUM(P25:P28),IF($AK7=3,SUM(P25:P27),IF($AK7=2,SUM(P25:P26),P25))))</f>
        <v>41</v>
      </c>
      <c r="Q30" s="53">
        <f>IF($AK7=5,SUM(Q25:Q29),IF($AK7=4,SUM(Q25:Q28),IF($AK7=3,SUM(Q25:Q27),IF($AK7=2,SUM(Q25:Q26),Q25))))</f>
        <v>47</v>
      </c>
      <c r="R30" s="53"/>
      <c r="S30" s="53">
        <f>IF($AK7=5,SUM(S25:S29),IF($AK7=4,SUM(S25:S28),IF($AK7=3,SUM(S25:S27),IF($AK7=2,SUM(S25:S26),S25))))</f>
        <v>43</v>
      </c>
      <c r="T30" s="53">
        <f>IF($AK7=5,SUM(T25:T29),IF($AK7=4,SUM(T25:T28),IF($AK7=3,SUM(T25:T27),IF($AK7=2,SUM(T25:T26),T25))))</f>
        <v>50</v>
      </c>
      <c r="U30" s="53"/>
      <c r="V30" s="53">
        <f>IF($AK7=5,SUM(V25:V29),IF($AK7=4,SUM(V25:V28),IF($AK7=3,SUM(V25:V27),IF($AK7=2,SUM(V25:V26),V25))))</f>
        <v>40</v>
      </c>
      <c r="W30" s="53">
        <f>IF($AK7=5,SUM(W25:W29),IF($AK7=4,SUM(W25:W28),IF($AK7=3,SUM(W25:W27),IF($AK7=2,SUM(W25:W26),W25))))</f>
        <v>39</v>
      </c>
      <c r="X30" s="53"/>
      <c r="Y30" s="53">
        <f>IF($AK7=5,SUM(Y25:Y29),IF($AK7=4,SUM(Y25:Y28),IF($AK7=3,SUM(Y25:Y27),IF($AK7=2,SUM(Y25:Y26),Y25))))</f>
        <v>51</v>
      </c>
      <c r="Z30" s="53">
        <f>IF($AK7=5,SUM(Z25:Z29),IF($AK7=4,SUM(Z25:Z28),IF($AK7=3,SUM(Z25:Z27),IF($AK7=2,SUM(Z25:Z26),Z25))))</f>
        <v>40</v>
      </c>
      <c r="AA30" s="53"/>
      <c r="AB30" s="53">
        <f>IF($AK7=5,SUM(AB25:AB29),IF($AK7=4,SUM(AB25:AB28),IF($AK7=3,SUM(AB25:AB27),IF($AK7=2,SUM(AB25:AB26),AB25))))</f>
        <v>50</v>
      </c>
      <c r="AC30" s="53">
        <f>IF($AK7=5,SUM(AC25:AC29),IF($AK7=4,SUM(AC25:AC28),IF($AK7=3,SUM(AC25:AC27),IF($AK7=2,SUM(AC25:AC26),AC25))))</f>
        <v>42</v>
      </c>
      <c r="AD30" s="53"/>
      <c r="AE30" s="53">
        <f>IF($AK7=5,SUM(AE25:AE29),IF($AK7=4,SUM(AE25:AE28),IF($AK7=3,SUM(AE25:AE27),IF($AK7=2,SUM(AE25:AE26),AE25))))</f>
        <v>46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5" customFormat="1" ht="12.75" hidden="1" customHeight="1" x14ac:dyDescent="0.2">
      <c r="A31" s="55" t="s">
        <v>81</v>
      </c>
      <c r="B31" s="56">
        <f>IF(AND(B25&gt;D25,$AK8&gt;0,ISNUMBER(B25),ISNUMBER(D25)),1,0)</f>
        <v>0</v>
      </c>
      <c r="C31" s="56"/>
      <c r="D31" s="57">
        <f>IF(AND(D25&gt;B25,$AK8&gt;0,ISNUMBER(B25),ISNUMBER(D25)),1,0)</f>
        <v>1</v>
      </c>
      <c r="E31" s="56">
        <f>IF(AND(E25&gt;G25,$AK8&gt;1,ISNUMBER(E25),ISNUMBER(G25)),1,0)</f>
        <v>0</v>
      </c>
      <c r="F31" s="56"/>
      <c r="G31" s="57">
        <f>IF(AND(G25&gt;E25,$AK8&gt;1,ISNUMBER(E25),ISNUMBER(G25)),1,0)</f>
        <v>1</v>
      </c>
      <c r="H31" s="56">
        <f>IF(AND(H25&gt;J25,$AK8&gt;2,ISNUMBER(H25),ISNUMBER(J25)),1,0)</f>
        <v>0</v>
      </c>
      <c r="I31" s="56"/>
      <c r="J31" s="57">
        <f>IF(AND(J25&gt;H25,$AK8&gt;2,ISNUMBER(H25),ISNUMBER(J25)),1,0)</f>
        <v>1</v>
      </c>
      <c r="K31" s="56">
        <f>IF(AND(K25&gt;M25,$AK8&gt;3,ISNUMBER(K25),ISNUMBER(M25)),1,0)</f>
        <v>0</v>
      </c>
      <c r="L31" s="56"/>
      <c r="M31" s="57">
        <f>IF(AND(M25&gt;K25,$AK8&gt;3,ISNUMBER(K25),ISNUMBER(M25)),1,0)</f>
        <v>1</v>
      </c>
      <c r="N31" s="56">
        <f>IF(AND(N25&gt;P25,$AK8&gt;4,ISNUMBER(N25),ISNUMBER(P25)),1,0)</f>
        <v>1</v>
      </c>
      <c r="O31" s="56"/>
      <c r="P31" s="57">
        <f>IF(AND(P25&gt;N25,$AK8&gt;4,ISNUMBER(N25),ISNUMBER(P25)),1,0)</f>
        <v>0</v>
      </c>
      <c r="Q31" s="56">
        <f>IF(AND(Q25&gt;S25,$AK8&gt;5,ISNUMBER(Q25),ISNUMBER(S25)),1,0)</f>
        <v>1</v>
      </c>
      <c r="R31" s="56"/>
      <c r="S31" s="57">
        <f>IF(AND(S25&gt;Q25,$AK8&gt;5,ISNUMBER(Q25),ISNUMBER(S25)),1,0)</f>
        <v>0</v>
      </c>
      <c r="T31" s="56">
        <f>IF(AND(T25&gt;V25,$AK8&gt;6,ISNUMBER(T25),ISNUMBER(V25)),1,0)</f>
        <v>1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0</v>
      </c>
      <c r="X31" s="56"/>
      <c r="Y31" s="57">
        <f>IF(AND(Y25&gt;W25,$AK8&gt;7,ISNUMBER(W25),ISNUMBER(Y25)),1,0)</f>
        <v>1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1</v>
      </c>
      <c r="AC31" s="56">
        <f>IF(AND(AC25&gt;AE25,$AK8&gt;9,ISNUMBER(AC25),ISNUMBER(AE25)),1,0)</f>
        <v>1</v>
      </c>
      <c r="AD31" s="56"/>
      <c r="AE31" s="57">
        <f>IF(AND(AE25&gt;AC25,$AK8&gt;9,ISNUMBER(AC25),ISNUMBER(AE25)),1,0)</f>
        <v>0</v>
      </c>
      <c r="AW31" s="58"/>
    </row>
    <row r="32" spans="1:51" s="55" customFormat="1" ht="12.75" hidden="1" customHeight="1" x14ac:dyDescent="0.2">
      <c r="A32" s="55" t="s">
        <v>82</v>
      </c>
      <c r="B32" s="56">
        <f>IF(AND(B26&gt;D26,$AK8&gt;0,$AK7&gt;1,ISNUMBER(B26),ISNUMBER(D26)),1,0)</f>
        <v>0</v>
      </c>
      <c r="C32" s="56"/>
      <c r="D32" s="57">
        <f>IF(AND(D26&gt;B26,$AK8&gt;0,$AK7&gt;1,ISNUMBER(B26),ISNUMBER(D26)),1,0)</f>
        <v>1</v>
      </c>
      <c r="E32" s="56">
        <f>IF(AND(E26&gt;G26,$AK8&gt;1,$AK7&gt;1,ISNUMBER(E26),ISNUMBER(G26)),1,0)</f>
        <v>0</v>
      </c>
      <c r="F32" s="56"/>
      <c r="G32" s="57">
        <f>IF(AND(G26&gt;E26,$AK8&gt;1,$AK7&gt;1,ISNUMBER(E26),ISNUMBER(G26)),1,0)</f>
        <v>1</v>
      </c>
      <c r="H32" s="56">
        <f>IF(AND(H26&gt;J26,$AK8&gt;2,$AK7&gt;1,ISNUMBER(H26),ISNUMBER(J26)),1,0)</f>
        <v>0</v>
      </c>
      <c r="I32" s="56"/>
      <c r="J32" s="57">
        <f>IF(AND(J26&gt;H26,$AK8&gt;2,$AK7&gt;1,ISNUMBER(H26),ISNUMBER(J26)),1,0)</f>
        <v>1</v>
      </c>
      <c r="K32" s="56">
        <f>IF(AND(K26&gt;M26,$AK8&gt;3,$AK7&gt;1,ISNUMBER(K26),ISNUMBER(M26)),1,0)</f>
        <v>0</v>
      </c>
      <c r="L32" s="56"/>
      <c r="M32" s="57">
        <f>IF(AND(M26&gt;K26,$AK8&gt;3,$AK7&gt;1,ISNUMBER(K26),ISNUMBER(M26)),1,0)</f>
        <v>1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1</v>
      </c>
      <c r="Q32" s="56">
        <f>IF(AND(Q26&gt;S26,$AK8&gt;5,$AK7&gt;1,ISNUMBER(Q26),ISNUMBER(S26)),1,0)</f>
        <v>0</v>
      </c>
      <c r="R32" s="56"/>
      <c r="S32" s="57">
        <f>IF(AND(S26&gt;Q26,$AK8&gt;5,$AK7&gt;1,ISNUMBER(Q26),ISNUMBER(S26)),1,0)</f>
        <v>1</v>
      </c>
      <c r="T32" s="56">
        <f>IF(AND(T26&gt;V26,$AK8&gt;6,$AK7&gt;1,ISNUMBER(T26),ISNUMBER(V26)),1,0)</f>
        <v>1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0</v>
      </c>
      <c r="X32" s="56"/>
      <c r="Y32" s="57">
        <f>IF(AND(Y26&gt;W26,$AK8&gt;7,$AK7&gt;1,ISNUMBER(W26),ISNUMBER(Y26)),1,0)</f>
        <v>1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1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1</v>
      </c>
      <c r="AW32" s="58"/>
    </row>
    <row r="33" spans="1:49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  <c r="AW33" s="58"/>
    </row>
    <row r="34" spans="1:49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  <c r="AW34" s="58"/>
    </row>
    <row r="35" spans="1:49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  <c r="AW35" s="58"/>
    </row>
    <row r="36" spans="1:49" s="55" customFormat="1" ht="38.25" hidden="1" customHeight="1" x14ac:dyDescent="0.2">
      <c r="A36" s="59" t="s">
        <v>86</v>
      </c>
      <c r="B36" s="55">
        <f>SUM(B31:B35)</f>
        <v>0</v>
      </c>
      <c r="D36" s="60">
        <f>SUM(D31:D35)</f>
        <v>2</v>
      </c>
      <c r="E36" s="55">
        <f>SUM(E31:E35)</f>
        <v>0</v>
      </c>
      <c r="G36" s="60">
        <f>SUM(G31:G35)</f>
        <v>2</v>
      </c>
      <c r="H36" s="55">
        <f>SUM(H31:H35)</f>
        <v>0</v>
      </c>
      <c r="J36" s="60">
        <f>SUM(J31:J35)</f>
        <v>2</v>
      </c>
      <c r="K36" s="55">
        <f>SUM(K31:K35)</f>
        <v>0</v>
      </c>
      <c r="M36" s="60">
        <f>SUM(M31:M35)</f>
        <v>2</v>
      </c>
      <c r="N36" s="55">
        <f>SUM(N31:N35)</f>
        <v>1</v>
      </c>
      <c r="P36" s="60">
        <f>SUM(P31:P35)</f>
        <v>1</v>
      </c>
      <c r="Q36" s="55">
        <f>SUM(Q31:Q35)</f>
        <v>1</v>
      </c>
      <c r="S36" s="60">
        <f>SUM(S31:S35)</f>
        <v>1</v>
      </c>
      <c r="T36" s="55">
        <f>SUM(T31:T35)</f>
        <v>2</v>
      </c>
      <c r="V36" s="60">
        <f>SUM(V31:V35)</f>
        <v>0</v>
      </c>
      <c r="W36" s="55">
        <f>SUM(W31:W35)</f>
        <v>0</v>
      </c>
      <c r="Y36" s="60">
        <f>SUM(Y31:Y35)</f>
        <v>2</v>
      </c>
      <c r="Z36" s="55">
        <f>SUM(Z31:Z35)</f>
        <v>0</v>
      </c>
      <c r="AB36" s="60">
        <f>SUM(AB31:AB35)</f>
        <v>2</v>
      </c>
      <c r="AC36" s="55">
        <f>SUM(AC31:AC35)</f>
        <v>1</v>
      </c>
      <c r="AE36" s="60">
        <f>SUM(AE31:AE35)</f>
        <v>1</v>
      </c>
      <c r="AW36" s="58"/>
    </row>
    <row r="37" spans="1:49" s="55" customFormat="1" ht="25.5" hidden="1" customHeight="1" x14ac:dyDescent="0.2">
      <c r="A37" s="59" t="s">
        <v>87</v>
      </c>
      <c r="B37" s="55">
        <f>IF(B36&gt;D36,IF(C71=AK7,1,IF(C71=AK7-1,1,0)),0)</f>
        <v>0</v>
      </c>
      <c r="C37" s="55">
        <f>B37+D37</f>
        <v>1</v>
      </c>
      <c r="D37" s="60">
        <f>IF(D36&gt;B36,IF(C71=AK7,1,IF(C71=AK7-1,1,0)),0)</f>
        <v>1</v>
      </c>
      <c r="E37" s="55">
        <f>IF(E36&gt;G36,IF(F71=AK7,1,IF(F71=AK7-1,1,0)),0)</f>
        <v>0</v>
      </c>
      <c r="F37" s="55">
        <f>E37+G37</f>
        <v>1</v>
      </c>
      <c r="G37" s="60">
        <f>IF(G36&gt;E36,IF(F71=AK7,1,IF(F71=AK7-1,1,0)),0)</f>
        <v>1</v>
      </c>
      <c r="H37" s="55">
        <f>IF(H36&gt;J36,IF(I71=AK7,1,IF(I71=AK7-1,1,0)),0)</f>
        <v>0</v>
      </c>
      <c r="I37" s="55">
        <f>H37+J37</f>
        <v>1</v>
      </c>
      <c r="J37" s="60">
        <f>IF(J36&gt;H36,IF(I71=AK7,1,IF(I71=AK7-1,1,0)),0)</f>
        <v>1</v>
      </c>
      <c r="K37" s="55">
        <f>IF(K36&gt;M36,IF(L71=AK7,1,IF(L71=AK7-1,1,0)),0)</f>
        <v>0</v>
      </c>
      <c r="L37" s="55">
        <f>K37+M37</f>
        <v>1</v>
      </c>
      <c r="M37" s="60">
        <f>IF(M36&gt;K36,IF(L71=AK7,1,IF(L71=AK7-1,1,0)),0)</f>
        <v>1</v>
      </c>
      <c r="N37" s="55">
        <f>IF(N36&gt;P36,IF(O71=AK7,1,IF(O71=AK7-1,1,0)),0)</f>
        <v>0</v>
      </c>
      <c r="O37" s="55">
        <f>N37+P37</f>
        <v>0</v>
      </c>
      <c r="P37" s="60">
        <f>IF(P36&gt;N36,IF(O71=AK7,1,IF(O71=AK7-1,1,0)),0)</f>
        <v>0</v>
      </c>
      <c r="Q37" s="55">
        <f>IF(Q36&gt;S36,IF(R71=AK7,1,IF(R71=AK7-1,1,0)),0)</f>
        <v>0</v>
      </c>
      <c r="R37" s="55">
        <f>Q37+S37</f>
        <v>0</v>
      </c>
      <c r="S37" s="60">
        <f>IF(S36&gt;Q36,IF(R71=AK7,1,IF(R71=AK7-1,1,0)),0)</f>
        <v>0</v>
      </c>
      <c r="T37" s="55">
        <f>IF(T36&gt;V36,IF(U71=AK7,1,IF(U71=AK7-1,1,0)),0)</f>
        <v>1</v>
      </c>
      <c r="U37" s="55">
        <f>T37+V37</f>
        <v>1</v>
      </c>
      <c r="V37" s="60">
        <f>IF(V36&gt;T36,IF(U71=AK7,1,IF(U71=AK7-1,1,0)),0)</f>
        <v>0</v>
      </c>
      <c r="W37" s="55">
        <f>IF(W36&gt;Y36,IF(X71=AK7,1,IF(X71=AK7-1,1,0)),0)</f>
        <v>0</v>
      </c>
      <c r="X37" s="55">
        <f>W37+Y37</f>
        <v>1</v>
      </c>
      <c r="Y37" s="60">
        <f>IF(Y36&gt;W36,IF(X71=AK7,1,IF(X71=AK7-1,1,0)),0)</f>
        <v>1</v>
      </c>
      <c r="Z37" s="55">
        <f>IF(Z36&gt;AB36,IF(AA71=AK7,1,IF(AA71=AK7-1,1,0)),0)</f>
        <v>0</v>
      </c>
      <c r="AA37" s="55">
        <f>Z37+AB37</f>
        <v>1</v>
      </c>
      <c r="AB37" s="60">
        <f>IF(AB36&gt;Z36,IF(AA71=AK7,1,IF(AA71=AK7-1,1,0)),0)</f>
        <v>1</v>
      </c>
      <c r="AC37" s="55">
        <f>IF(AC36&gt;AE36,IF(AD71=AK7,1,IF(AD71=AK7-1,1,0)),0)</f>
        <v>0</v>
      </c>
      <c r="AD37" s="55">
        <f>AC37+AE37</f>
        <v>0</v>
      </c>
      <c r="AE37" s="60">
        <f>IF(AE36&gt;AC36,IF(AD71=AK7,1,IF(AD71=AK7-1,1,0)),0)</f>
        <v>0</v>
      </c>
      <c r="AW37" s="58"/>
    </row>
    <row r="38" spans="1:49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  <c r="AW38" s="58"/>
    </row>
    <row r="39" spans="1:49" s="55" customFormat="1" ht="12.75" hidden="1" customHeight="1" x14ac:dyDescent="0.2">
      <c r="A39" s="55" t="s">
        <v>88</v>
      </c>
      <c r="B39" s="55">
        <f>IF(B31=1,B25,0)</f>
        <v>0</v>
      </c>
      <c r="D39" s="60">
        <f t="shared" ref="D39:E43" si="2">IF(D31=1,D25,0)</f>
        <v>26</v>
      </c>
      <c r="E39" s="55">
        <f t="shared" si="2"/>
        <v>0</v>
      </c>
      <c r="G39" s="60">
        <f t="shared" ref="G39:H43" si="3">IF(G31=1,G25,0)</f>
        <v>27</v>
      </c>
      <c r="H39" s="55">
        <f t="shared" si="3"/>
        <v>0</v>
      </c>
      <c r="J39" s="60">
        <f t="shared" ref="J39:K43" si="4">IF(J31=1,J25,0)</f>
        <v>25</v>
      </c>
      <c r="K39" s="55">
        <f t="shared" si="4"/>
        <v>0</v>
      </c>
      <c r="M39" s="60">
        <f t="shared" ref="M39:N43" si="5">IF(M31=1,M25,0)</f>
        <v>25</v>
      </c>
      <c r="N39" s="55">
        <f t="shared" si="5"/>
        <v>25</v>
      </c>
      <c r="P39" s="60">
        <f t="shared" ref="P39:Q43" si="6">IF(P31=1,P25,0)</f>
        <v>0</v>
      </c>
      <c r="Q39" s="55">
        <f t="shared" si="6"/>
        <v>25</v>
      </c>
      <c r="S39" s="60">
        <f t="shared" ref="S39:T43" si="7">IF(S31=1,S25,0)</f>
        <v>0</v>
      </c>
      <c r="T39" s="55">
        <f t="shared" si="7"/>
        <v>25</v>
      </c>
      <c r="V39" s="60">
        <f t="shared" ref="V39:W43" si="8">IF(V31=1,V25,0)</f>
        <v>0</v>
      </c>
      <c r="W39" s="55">
        <f t="shared" si="8"/>
        <v>0</v>
      </c>
      <c r="Y39" s="60">
        <f t="shared" ref="Y39:Z43" si="9">IF(Y31=1,Y25,0)</f>
        <v>25</v>
      </c>
      <c r="Z39" s="55">
        <f t="shared" si="9"/>
        <v>0</v>
      </c>
      <c r="AB39" s="60">
        <f t="shared" ref="AB39:AC43" si="10">IF(AB31=1,AB25,0)</f>
        <v>25</v>
      </c>
      <c r="AC39" s="55">
        <f t="shared" si="10"/>
        <v>25</v>
      </c>
      <c r="AE39" s="60">
        <f>IF(AE31=1,AE25,0)</f>
        <v>0</v>
      </c>
      <c r="AW39" s="58"/>
    </row>
    <row r="40" spans="1:49" s="55" customFormat="1" ht="12.75" hidden="1" customHeight="1" x14ac:dyDescent="0.2">
      <c r="A40" s="55" t="s">
        <v>89</v>
      </c>
      <c r="B40" s="55">
        <f>IF(B32=1,B26,0)</f>
        <v>0</v>
      </c>
      <c r="D40" s="60">
        <f t="shared" si="2"/>
        <v>25</v>
      </c>
      <c r="E40" s="55">
        <f t="shared" si="2"/>
        <v>0</v>
      </c>
      <c r="G40" s="60">
        <f t="shared" si="3"/>
        <v>25</v>
      </c>
      <c r="H40" s="55">
        <f t="shared" si="3"/>
        <v>0</v>
      </c>
      <c r="J40" s="60">
        <f t="shared" si="4"/>
        <v>25</v>
      </c>
      <c r="K40" s="55">
        <f t="shared" si="4"/>
        <v>0</v>
      </c>
      <c r="M40" s="60">
        <f t="shared" si="5"/>
        <v>25</v>
      </c>
      <c r="N40" s="55">
        <f t="shared" si="5"/>
        <v>0</v>
      </c>
      <c r="P40" s="60">
        <f t="shared" si="6"/>
        <v>25</v>
      </c>
      <c r="Q40" s="55">
        <f t="shared" si="6"/>
        <v>0</v>
      </c>
      <c r="S40" s="60">
        <f t="shared" si="7"/>
        <v>25</v>
      </c>
      <c r="T40" s="55">
        <f t="shared" si="7"/>
        <v>25</v>
      </c>
      <c r="V40" s="60">
        <f t="shared" si="8"/>
        <v>0</v>
      </c>
      <c r="W40" s="55">
        <f t="shared" si="8"/>
        <v>0</v>
      </c>
      <c r="Y40" s="60">
        <f t="shared" si="9"/>
        <v>26</v>
      </c>
      <c r="Z40" s="55">
        <f t="shared" si="9"/>
        <v>0</v>
      </c>
      <c r="AB40" s="60">
        <f t="shared" si="10"/>
        <v>25</v>
      </c>
      <c r="AC40" s="55">
        <f t="shared" si="10"/>
        <v>0</v>
      </c>
      <c r="AE40" s="60">
        <f>IF(AE32=1,AE26,0)</f>
        <v>25</v>
      </c>
      <c r="AW40" s="58"/>
    </row>
    <row r="41" spans="1:49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  <c r="AW41" s="58"/>
    </row>
    <row r="42" spans="1:49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  <c r="AW42" s="58"/>
    </row>
    <row r="43" spans="1:49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  <c r="AW43" s="58"/>
    </row>
    <row r="44" spans="1:49" s="55" customFormat="1" ht="38.25" hidden="1" customHeight="1" x14ac:dyDescent="0.2">
      <c r="A44" s="59" t="s">
        <v>93</v>
      </c>
      <c r="B44" s="55">
        <f>SUM(B39:D43)</f>
        <v>51</v>
      </c>
      <c r="D44" s="60"/>
      <c r="E44" s="55">
        <f>SUM(E39:G43)</f>
        <v>52</v>
      </c>
      <c r="G44" s="60"/>
      <c r="H44" s="55">
        <f>SUM(H39:J43)</f>
        <v>50</v>
      </c>
      <c r="J44" s="60"/>
      <c r="K44" s="55">
        <f>SUM(K39:M43)</f>
        <v>50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50</v>
      </c>
      <c r="V44" s="60"/>
      <c r="W44" s="55">
        <f>SUM(W39:Y43)</f>
        <v>51</v>
      </c>
      <c r="Y44" s="60"/>
      <c r="Z44" s="55">
        <f>SUM(Z39:AB43)</f>
        <v>50</v>
      </c>
      <c r="AB44" s="60"/>
      <c r="AC44" s="55">
        <f>SUM(AC39:AE43)</f>
        <v>50</v>
      </c>
      <c r="AE44" s="60"/>
      <c r="AW44" s="58"/>
    </row>
    <row r="45" spans="1:49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  <c r="AW45" s="58"/>
    </row>
    <row r="46" spans="1:49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0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0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0</v>
      </c>
      <c r="AG46" s="55">
        <f>AF52-AF46</f>
        <v>2</v>
      </c>
      <c r="AW46" s="58"/>
    </row>
    <row r="47" spans="1:49" s="55" customFormat="1" ht="12.75" hidden="1" customHeight="1" x14ac:dyDescent="0.2">
      <c r="A47" s="55" t="s">
        <v>98</v>
      </c>
      <c r="B47" s="55">
        <f>IF(B24=2,IF(B37=1,1,0),0)</f>
        <v>0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1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1</v>
      </c>
      <c r="AG47" s="55">
        <f>AF53-AF47</f>
        <v>2</v>
      </c>
      <c r="AW47" s="58"/>
    </row>
    <row r="48" spans="1:49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0</v>
      </c>
      <c r="AG48" s="55">
        <f>AF54-AF48</f>
        <v>3</v>
      </c>
      <c r="AW48" s="58"/>
    </row>
    <row r="49" spans="1:49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1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1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1</v>
      </c>
      <c r="AC49" s="55">
        <f>IF(AC24=4,IF(AC37=1,1,0),0)</f>
        <v>0</v>
      </c>
      <c r="AE49" s="60">
        <f>IF(AE24=4,IF(AE37=1,1,0),0)</f>
        <v>0</v>
      </c>
      <c r="AF49" s="55">
        <f>SUM(B49:AE49)</f>
        <v>3</v>
      </c>
      <c r="AG49" s="55">
        <f>AF55-AF49</f>
        <v>0</v>
      </c>
      <c r="AW49" s="58"/>
    </row>
    <row r="50" spans="1:49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1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1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1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3</v>
      </c>
      <c r="AG50" s="55">
        <f>AF56-AF50</f>
        <v>0</v>
      </c>
      <c r="AW50" s="58"/>
    </row>
    <row r="51" spans="1:49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  <c r="AW51" s="58"/>
    </row>
    <row r="52" spans="1:49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0</v>
      </c>
      <c r="P52" s="60">
        <f>IF(P24=1,IF(O37=1,1,0),0)</f>
        <v>0</v>
      </c>
      <c r="Q52" s="55">
        <f>IF(Q24=1,IF(R37=1,1,0),0)</f>
        <v>0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1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0</v>
      </c>
      <c r="AE52" s="60">
        <f>IF(AE24=1,IF(AD37=1,1,0),0)</f>
        <v>0</v>
      </c>
      <c r="AF52" s="55">
        <f>SUM(B52:AE52)</f>
        <v>2</v>
      </c>
      <c r="AW52" s="58"/>
    </row>
    <row r="53" spans="1:49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0</v>
      </c>
      <c r="J53" s="60">
        <f>IF(J24=2,IF(I37=1,1,0),0)</f>
        <v>0</v>
      </c>
      <c r="K53" s="55">
        <f>IF(K24=2,IF(L37=1,1,0),0)</f>
        <v>1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0</v>
      </c>
      <c r="T53" s="55">
        <f>IF(T24=2,IF(U37=1,1,0),0)</f>
        <v>1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0</v>
      </c>
      <c r="AF53" s="55">
        <f>SUM(B53:AE53)</f>
        <v>3</v>
      </c>
      <c r="AW53" s="58"/>
    </row>
    <row r="54" spans="1:49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0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1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0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1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1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3</v>
      </c>
      <c r="AW54" s="58"/>
    </row>
    <row r="55" spans="1:49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0</v>
      </c>
      <c r="K55" s="55">
        <f>IF(K24=4,IF(L37=1,1,0),0)</f>
        <v>0</v>
      </c>
      <c r="M55" s="60">
        <f>IF(M24=4,IF(L37=1,1,0),0)</f>
        <v>1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0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1</v>
      </c>
      <c r="AC55" s="55">
        <f>IF(AC24=4,IF(AD37=1,1,0),0)</f>
        <v>0</v>
      </c>
      <c r="AE55" s="60">
        <f>IF(AE24=4,IF(AD37=1,1,0),0)</f>
        <v>0</v>
      </c>
      <c r="AF55" s="55">
        <f>SUM(B55:AE55)</f>
        <v>3</v>
      </c>
      <c r="AW55" s="58"/>
    </row>
    <row r="56" spans="1:49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1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1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0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1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3</v>
      </c>
      <c r="AW56" s="58"/>
    </row>
    <row r="57" spans="1:49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  <c r="AW57" s="58"/>
    </row>
    <row r="58" spans="1:49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52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0</v>
      </c>
      <c r="M58" s="60">
        <f>IF(M24=1,K44,0)</f>
        <v>0</v>
      </c>
      <c r="N58" s="55">
        <f>IF(N24=1,N44,0)</f>
        <v>50</v>
      </c>
      <c r="P58" s="60">
        <f>IF(P24=1,N44,0)</f>
        <v>0</v>
      </c>
      <c r="Q58" s="55">
        <f>IF(Q24=1,Q44,0)</f>
        <v>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51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50</v>
      </c>
      <c r="AE58" s="60">
        <f>IF(AE24=1,AC44,0)</f>
        <v>0</v>
      </c>
      <c r="AF58" s="55">
        <f>SUM(B58:AE58)</f>
        <v>203</v>
      </c>
      <c r="AW58" s="58"/>
    </row>
    <row r="59" spans="1:49" s="55" customFormat="1" ht="12.75" hidden="1" customHeight="1" x14ac:dyDescent="0.2">
      <c r="A59" s="55" t="s">
        <v>104</v>
      </c>
      <c r="B59" s="55">
        <f>IF(B24=2,B44,0)</f>
        <v>51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0</v>
      </c>
      <c r="J59" s="60">
        <f>IF(J24=2,H44,0)</f>
        <v>0</v>
      </c>
      <c r="K59" s="55">
        <f>IF(K24=2,K44,0)</f>
        <v>50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0</v>
      </c>
      <c r="T59" s="55">
        <f>IF(T24=2,T44,0)</f>
        <v>50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50</v>
      </c>
      <c r="AF59" s="55">
        <f>SUM(B59:AE59)</f>
        <v>201</v>
      </c>
      <c r="AW59" s="58"/>
    </row>
    <row r="60" spans="1:49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0</v>
      </c>
      <c r="E60" s="55">
        <f>IF(E24=3,E44,0)</f>
        <v>0</v>
      </c>
      <c r="G60" s="60">
        <f>IF(G24=3,E44,0)</f>
        <v>0</v>
      </c>
      <c r="H60" s="55">
        <f>IF(H24=3,H44,0)</f>
        <v>50</v>
      </c>
      <c r="J60" s="60">
        <f>IF(J24=3,H44,0)</f>
        <v>0</v>
      </c>
      <c r="K60" s="55">
        <f>IF(K24=3,K44,0)</f>
        <v>0</v>
      </c>
      <c r="M60" s="60">
        <f>IF(M24=3,K44,0)</f>
        <v>0</v>
      </c>
      <c r="N60" s="55">
        <f>IF(N24=3,N44,0)</f>
        <v>0</v>
      </c>
      <c r="P60" s="60">
        <f>IF(P24=3,N44,0)</f>
        <v>50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50</v>
      </c>
      <c r="W60" s="55">
        <f>IF(W24=3,W44,0)</f>
        <v>0</v>
      </c>
      <c r="Y60" s="60">
        <f>IF(Y24=3,W44,0)</f>
        <v>0</v>
      </c>
      <c r="Z60" s="55">
        <f>IF(Z24=3,Z44,0)</f>
        <v>50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200</v>
      </c>
      <c r="AW60" s="58"/>
    </row>
    <row r="61" spans="1:49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52</v>
      </c>
      <c r="H61" s="55">
        <f>IF(H24=4,H44,0)</f>
        <v>0</v>
      </c>
      <c r="J61" s="60">
        <f>IF(J24=4,H44,0)</f>
        <v>0</v>
      </c>
      <c r="K61" s="55">
        <f>IF(K24=4,K44,0)</f>
        <v>0</v>
      </c>
      <c r="M61" s="60">
        <f>IF(M24=4,K44,0)</f>
        <v>50</v>
      </c>
      <c r="N61" s="55">
        <f>IF(N24=4,N44,0)</f>
        <v>0</v>
      </c>
      <c r="P61" s="60">
        <f>IF(P24=4,N44,0)</f>
        <v>0</v>
      </c>
      <c r="Q61" s="55">
        <f>IF(Q24=4,Q44,0)</f>
        <v>50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50</v>
      </c>
      <c r="AC61" s="55">
        <f>IF(AC24=4,AC44,0)</f>
        <v>0</v>
      </c>
      <c r="AE61" s="60">
        <f>IF(AE24=4,AC44,0)</f>
        <v>0</v>
      </c>
      <c r="AF61" s="55">
        <f>SUM(B61:AE61)</f>
        <v>202</v>
      </c>
      <c r="AW61" s="58"/>
    </row>
    <row r="62" spans="1:49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51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50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50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51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202</v>
      </c>
      <c r="AW62" s="58"/>
    </row>
    <row r="63" spans="1:49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  <c r="AW63" s="58"/>
    </row>
    <row r="64" spans="1:49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0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1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0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1</v>
      </c>
      <c r="AE64" s="60">
        <f>IF(AE24=1,SUMIF(AE31:AE35,"&gt;0"),0)</f>
        <v>0</v>
      </c>
      <c r="AF64" s="55">
        <f>SUM(B64:AE64)</f>
        <v>2</v>
      </c>
      <c r="AG64" s="55">
        <f>AF72-AF64</f>
        <v>6</v>
      </c>
      <c r="AW64" s="58"/>
    </row>
    <row r="65" spans="1:54" s="55" customFormat="1" ht="12.75" hidden="1" customHeight="1" x14ac:dyDescent="0.2">
      <c r="A65" s="55" t="s">
        <v>98</v>
      </c>
      <c r="B65" s="55">
        <f>IF(B24=2,SUMIF(B31:B35,"&gt;0"),0)</f>
        <v>0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0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2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1</v>
      </c>
      <c r="AF65" s="55">
        <f>SUM(B65:AE65)</f>
        <v>3</v>
      </c>
      <c r="AG65" s="55">
        <f>AF73-AF65</f>
        <v>5</v>
      </c>
      <c r="AW65" s="58"/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1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0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0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1</v>
      </c>
      <c r="AG66" s="55">
        <f>AF74-AF66</f>
        <v>7</v>
      </c>
      <c r="AW66" s="58"/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2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2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1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2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7</v>
      </c>
      <c r="AG67" s="55">
        <f>AF75-AF67</f>
        <v>1</v>
      </c>
      <c r="AW67" s="58"/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2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2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1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2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7</v>
      </c>
      <c r="AG68" s="55">
        <f>AF76-AF68</f>
        <v>1</v>
      </c>
      <c r="AW68" s="58"/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  <c r="AW69" s="58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  <c r="AW70" s="58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2</v>
      </c>
      <c r="V71" s="60"/>
      <c r="X71" s="55">
        <f>SUMIF(W64:Y68,"&gt;0")</f>
        <v>2</v>
      </c>
      <c r="Y71" s="60"/>
      <c r="AA71" s="55">
        <f>SUMIF(Z64:AB68,"&gt;0")</f>
        <v>2</v>
      </c>
      <c r="AB71" s="60"/>
      <c r="AD71" s="55">
        <f>SUMIF(AC64:AE68,"&gt;0")</f>
        <v>2</v>
      </c>
      <c r="AE71" s="60"/>
      <c r="AF71" s="59" t="s">
        <v>113</v>
      </c>
      <c r="AW71" s="58"/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0</v>
      </c>
      <c r="M72" s="60">
        <f>IF(M24=1,L71,0)</f>
        <v>0</v>
      </c>
      <c r="N72" s="55">
        <f>IF(N24=1,O71,0)</f>
        <v>2</v>
      </c>
      <c r="P72" s="60">
        <f>IF(P24=1,O71,0)</f>
        <v>0</v>
      </c>
      <c r="Q72" s="55">
        <f>IF(Q24=1,R71,0)</f>
        <v>0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2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2</v>
      </c>
      <c r="AE72" s="60">
        <f>IF(AE24=1,AD71,0)</f>
        <v>0</v>
      </c>
      <c r="AF72" s="55">
        <f>SUM(B72:AE72)</f>
        <v>8</v>
      </c>
      <c r="AW72" s="58"/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0</v>
      </c>
      <c r="J73" s="60">
        <f>IF(J24=2,I71,0)</f>
        <v>0</v>
      </c>
      <c r="K73" s="55">
        <f>IF(K24=2,L71,0)</f>
        <v>2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0</v>
      </c>
      <c r="T73" s="55">
        <f>IF(T24=2,U71,0)</f>
        <v>2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2</v>
      </c>
      <c r="AF73" s="55">
        <f>SUM(B73:AE73)</f>
        <v>8</v>
      </c>
      <c r="AW73" s="58"/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0</v>
      </c>
      <c r="E74" s="55">
        <f>IF(E24=3,F71,0)</f>
        <v>0</v>
      </c>
      <c r="G74" s="60">
        <f>IF(G24=3,F71,0)</f>
        <v>0</v>
      </c>
      <c r="H74" s="55">
        <f>IF(H24=3,I71,0)</f>
        <v>2</v>
      </c>
      <c r="J74" s="60">
        <f>IF(J24=3,I71,0)</f>
        <v>0</v>
      </c>
      <c r="K74" s="55">
        <f>IF(K24=3,L71,0)</f>
        <v>0</v>
      </c>
      <c r="M74" s="60">
        <f>IF(M24=3,L71,0)</f>
        <v>0</v>
      </c>
      <c r="N74" s="55">
        <f>IF(N24=3,O71,0)</f>
        <v>0</v>
      </c>
      <c r="P74" s="60">
        <f>IF(P24=3,O71,0)</f>
        <v>2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2</v>
      </c>
      <c r="W74" s="55">
        <f>IF(W24=3,X71,0)</f>
        <v>0</v>
      </c>
      <c r="Y74" s="60">
        <f>IF(Y24=3,X71,0)</f>
        <v>0</v>
      </c>
      <c r="Z74" s="55">
        <f>IF(Z24=3,AA71,0)</f>
        <v>2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  <c r="AW74" s="58"/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0</v>
      </c>
      <c r="K75" s="55">
        <f>IF(K24=4,L71,0)</f>
        <v>0</v>
      </c>
      <c r="M75" s="60">
        <f>IF(M24=4,L71,0)</f>
        <v>2</v>
      </c>
      <c r="N75" s="55">
        <f>IF(N24=4,O71,0)</f>
        <v>0</v>
      </c>
      <c r="P75" s="60">
        <f>IF(P24=4,O71,0)</f>
        <v>0</v>
      </c>
      <c r="Q75" s="55">
        <f>IF(Q24=4,R71,0)</f>
        <v>2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2</v>
      </c>
      <c r="AC75" s="55">
        <f>IF(AC24=4,AD71,0)</f>
        <v>0</v>
      </c>
      <c r="AE75" s="60">
        <f>IF(AE24=4,AD71,0)</f>
        <v>0</v>
      </c>
      <c r="AF75" s="55">
        <f>SUM(B75:AE75)</f>
        <v>8</v>
      </c>
      <c r="AW75" s="58"/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2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2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2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2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8</v>
      </c>
      <c r="AW76" s="58"/>
    </row>
    <row r="77" spans="1:54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BB77" s="130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Palm Strikers 12 Premier</v>
      </c>
      <c r="C79" s="67">
        <f>VLOOKUP(B79,AU$3:AY$12,3,FALSE)</f>
        <v>1545.8627202771247</v>
      </c>
      <c r="D79" s="67">
        <f>IF(B72,B87,IF(D72,D87,C79))</f>
        <v>1545.8627202771247</v>
      </c>
      <c r="E79" s="67"/>
      <c r="F79" s="67"/>
      <c r="G79" s="67">
        <f>IF(E72,E87,IF(G72,G87,D79))</f>
        <v>1502.5694762237515</v>
      </c>
      <c r="H79" s="67"/>
      <c r="I79" s="67"/>
      <c r="J79" s="67">
        <f>IF(H72,H87,IF(J72,J87,G79))</f>
        <v>1502.5694762237515</v>
      </c>
      <c r="K79" s="67"/>
      <c r="L79" s="67"/>
      <c r="M79" s="67">
        <f>IF(K72,K87,IF(M72,M87,J79))</f>
        <v>1502.5694762237515</v>
      </c>
      <c r="N79" s="67"/>
      <c r="O79" s="67"/>
      <c r="P79" s="67">
        <f>IF(N72,N87,IF(P72,P87,M79))</f>
        <v>1494.3296432051725</v>
      </c>
      <c r="Q79" s="67"/>
      <c r="R79" s="67"/>
      <c r="S79" s="67">
        <f>IF(Q72,Q87,IF(S72,S87,P79))</f>
        <v>1494.3296432051725</v>
      </c>
      <c r="T79" s="67"/>
      <c r="U79" s="67"/>
      <c r="V79" s="67">
        <f>IF(T72,T87,IF(V72,V87,S79))</f>
        <v>1494.3296432051725</v>
      </c>
      <c r="W79" s="67"/>
      <c r="X79" s="67"/>
      <c r="Y79" s="67">
        <f>IF(W72,W87,IF(Y72,Y87,V79))</f>
        <v>1460.2041615102678</v>
      </c>
      <c r="Z79" s="67"/>
      <c r="AA79" s="67"/>
      <c r="AB79" s="67">
        <f>IF(Z72,Z87,IF(AB72,AB87,Y79))</f>
        <v>1460.2041615102678</v>
      </c>
      <c r="AC79" s="67"/>
      <c r="AD79" s="67"/>
      <c r="AE79" s="67">
        <f>IF(AC72,AC87,IF(AE72,AE87,AB79))</f>
        <v>1456.6511937127591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Palm Strikers 12 Premier</v>
      </c>
      <c r="AU79" s="63">
        <f>AE79</f>
        <v>1456.6511937127591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SCWE12FLYERS</v>
      </c>
      <c r="C80" s="67">
        <f>VLOOKUP(B80,AU$3:AY$12,3,FALSE)</f>
        <v>1450.7912672511281</v>
      </c>
      <c r="D80" s="67">
        <f>IF(B73,B87,IF(D73,D87,C80))</f>
        <v>1414.1626350563408</v>
      </c>
      <c r="E80" s="67"/>
      <c r="F80" s="67"/>
      <c r="G80" s="67">
        <f>IF(E73,E87,IF(G73,G87,D80))</f>
        <v>1414.1626350563408</v>
      </c>
      <c r="H80" s="67"/>
      <c r="I80" s="67"/>
      <c r="J80" s="67">
        <f>IF(H73,H87,IF(J73,J87,G80))</f>
        <v>1414.1626350563408</v>
      </c>
      <c r="K80" s="67"/>
      <c r="L80" s="67"/>
      <c r="M80" s="67">
        <f>IF(K73,K87,IF(M73,M87,J80))</f>
        <v>1386.4535328764503</v>
      </c>
      <c r="N80" s="67"/>
      <c r="O80" s="67"/>
      <c r="P80" s="67">
        <f>IF(N73,N87,IF(P73,P87,M80))</f>
        <v>1386.4535328764503</v>
      </c>
      <c r="Q80" s="67"/>
      <c r="R80" s="67"/>
      <c r="S80" s="67">
        <f>IF(Q73,Q87,IF(S73,S87,P80))</f>
        <v>1386.4535328764503</v>
      </c>
      <c r="T80" s="67"/>
      <c r="U80" s="67"/>
      <c r="V80" s="67">
        <f>IF(T73,T87,IF(V73,V87,S80))</f>
        <v>1421.4686034771403</v>
      </c>
      <c r="W80" s="67"/>
      <c r="X80" s="67"/>
      <c r="Y80" s="67">
        <f>IF(W73,W87,IF(Y73,Y87,V80))</f>
        <v>1421.4686034771403</v>
      </c>
      <c r="Z80" s="67"/>
      <c r="AA80" s="67"/>
      <c r="AB80" s="67">
        <f>IF(Z73,Z87,IF(AB73,AB87,Y80))</f>
        <v>1421.4686034771403</v>
      </c>
      <c r="AC80" s="67"/>
      <c r="AD80" s="67"/>
      <c r="AE80" s="67">
        <f>IF(AC73,AC87,IF(AE73,AE87,AB80))</f>
        <v>1425.021571274649</v>
      </c>
      <c r="AF80" s="4"/>
      <c r="AG80" s="4"/>
      <c r="AJ80" s="4"/>
      <c r="AL80" s="4"/>
      <c r="AM80" s="4"/>
      <c r="AN80" s="4"/>
      <c r="AO80" s="4"/>
      <c r="AT80" s="63" t="str">
        <f>B80</f>
        <v>SCWE12FLYERS</v>
      </c>
      <c r="AU80" s="63">
        <f>AE80</f>
        <v>1425.021571274649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Region 12 Intense gvl</v>
      </c>
      <c r="C81" s="67">
        <f>VLOOKUP(B81,AU$3:AY$12,3,FALSE)</f>
        <v>1443.6793957766529</v>
      </c>
      <c r="D81" s="67">
        <f>IF(B74,B87,IF(D74,D87,C81))</f>
        <v>1443.6793957766529</v>
      </c>
      <c r="E81" s="67"/>
      <c r="F81" s="67"/>
      <c r="G81" s="67">
        <f>IF(E74,E87,IF(G74,G87,D81))</f>
        <v>1443.6793957766529</v>
      </c>
      <c r="H81" s="67"/>
      <c r="I81" s="67"/>
      <c r="J81" s="67">
        <f>IF(H74,H87,IF(J74,J87,G81))</f>
        <v>1411.0468036518052</v>
      </c>
      <c r="K81" s="67"/>
      <c r="L81" s="67"/>
      <c r="M81" s="67">
        <f>IF(K74,K87,IF(M74,M87,J81))</f>
        <v>1411.0468036518052</v>
      </c>
      <c r="N81" s="67"/>
      <c r="O81" s="67"/>
      <c r="P81" s="67">
        <f>IF(N74,N87,IF(P74,P87,M81))</f>
        <v>1419.2866366703843</v>
      </c>
      <c r="Q81" s="67"/>
      <c r="R81" s="67"/>
      <c r="S81" s="67">
        <f>IF(Q74,Q87,IF(S74,S87,P81))</f>
        <v>1419.2866366703843</v>
      </c>
      <c r="T81" s="67"/>
      <c r="U81" s="67"/>
      <c r="V81" s="67">
        <f>IF(T74,T87,IF(V74,V87,S81))</f>
        <v>1384.2715660696942</v>
      </c>
      <c r="W81" s="67"/>
      <c r="X81" s="67"/>
      <c r="Y81" s="67">
        <f>IF(W74,W87,IF(Y74,Y87,V81))</f>
        <v>1384.2715660696942</v>
      </c>
      <c r="Z81" s="67"/>
      <c r="AA81" s="67"/>
      <c r="AB81" s="67">
        <f>IF(Z74,Z87,IF(AB74,AB87,Y81))</f>
        <v>1361.4639314907565</v>
      </c>
      <c r="AC81" s="67"/>
      <c r="AD81" s="67"/>
      <c r="AE81" s="67">
        <f>IF(AC74,AC87,IF(AE74,AE87,AB81))</f>
        <v>1361.4639314907565</v>
      </c>
      <c r="AF81" s="4"/>
      <c r="AG81" s="4"/>
      <c r="AJ81" s="4"/>
      <c r="AL81" s="4"/>
      <c r="AM81" s="4"/>
      <c r="AN81" s="4"/>
      <c r="AO81" s="4"/>
      <c r="AT81" s="63" t="str">
        <f>B81</f>
        <v>Region 12 Intense gvl</v>
      </c>
      <c r="AU81" s="63">
        <f>AE81</f>
        <v>1361.4639314907565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CSRA Heat 12 Gold</v>
      </c>
      <c r="C82" s="67">
        <f>VLOOKUP(B82,AU$3:AY$12,3,FALSE)</f>
        <v>1417.7394943703641</v>
      </c>
      <c r="D82" s="67">
        <f>IF(B75,B87,IF(D75,D87,C82))</f>
        <v>1417.7394943703641</v>
      </c>
      <c r="E82" s="67"/>
      <c r="F82" s="67"/>
      <c r="G82" s="67">
        <f>IF(E75,E87,IF(G75,G87,D82))</f>
        <v>1461.0327384237373</v>
      </c>
      <c r="H82" s="67"/>
      <c r="I82" s="67"/>
      <c r="J82" s="67">
        <f>IF(H75,H87,IF(J75,J87,G82))</f>
        <v>1461.0327384237373</v>
      </c>
      <c r="K82" s="67"/>
      <c r="L82" s="67"/>
      <c r="M82" s="67">
        <f>IF(K75,K87,IF(M75,M87,J82))</f>
        <v>1488.7418406036279</v>
      </c>
      <c r="N82" s="67"/>
      <c r="O82" s="67"/>
      <c r="P82" s="67">
        <f>IF(N75,N87,IF(P75,P87,M82))</f>
        <v>1488.7418406036279</v>
      </c>
      <c r="Q82" s="67"/>
      <c r="R82" s="67"/>
      <c r="S82" s="67">
        <f>IF(Q75,Q87,IF(S75,S87,P82))</f>
        <v>1486.9661602117155</v>
      </c>
      <c r="T82" s="67"/>
      <c r="U82" s="67"/>
      <c r="V82" s="67">
        <f>IF(T75,T87,IF(V75,V87,S82))</f>
        <v>1486.9661602117155</v>
      </c>
      <c r="W82" s="67"/>
      <c r="X82" s="67"/>
      <c r="Y82" s="67">
        <f>IF(W75,W87,IF(Y75,Y87,V82))</f>
        <v>1486.9661602117155</v>
      </c>
      <c r="Z82" s="67"/>
      <c r="AA82" s="67"/>
      <c r="AB82" s="67">
        <f>IF(Z75,Z87,IF(AB75,AB87,Y82))</f>
        <v>1509.7737947906535</v>
      </c>
      <c r="AC82" s="67"/>
      <c r="AD82" s="67"/>
      <c r="AE82" s="67">
        <f>IF(AC75,AC87,IF(AE75,AE87,AB82))</f>
        <v>1509.7737947906535</v>
      </c>
      <c r="AF82" s="4"/>
      <c r="AG82" s="4"/>
      <c r="AJ82" s="4"/>
      <c r="AL82" s="4"/>
      <c r="AM82" s="4"/>
      <c r="AN82" s="4"/>
      <c r="AO82" s="4"/>
      <c r="AT82" s="63" t="str">
        <f>B82</f>
        <v>CSRA Heat 12 Gold</v>
      </c>
      <c r="AU82" s="63">
        <f>AE82</f>
        <v>1509.7737947906535</v>
      </c>
      <c r="AW82" s="66"/>
      <c r="BB82" s="66"/>
    </row>
    <row r="83" spans="1:54" s="63" customFormat="1" hidden="1" x14ac:dyDescent="0.2">
      <c r="A83" s="67">
        <v>5</v>
      </c>
      <c r="B83" s="67" t="str">
        <f>E16</f>
        <v>Crossfire 12</v>
      </c>
      <c r="C83" s="67">
        <f>VLOOKUP(B83,AU$3:AY$12,3,FALSE)</f>
        <v>1400.1815869502536</v>
      </c>
      <c r="D83" s="67">
        <f>IF(B76,B87,IF(D76,D87,C83))</f>
        <v>1436.8102191450409</v>
      </c>
      <c r="E83" s="67"/>
      <c r="F83" s="67"/>
      <c r="G83" s="67">
        <f>IF(E76,E87,IF(G76,G87,D83))</f>
        <v>1436.8102191450409</v>
      </c>
      <c r="H83" s="67"/>
      <c r="I83" s="67"/>
      <c r="J83" s="67">
        <f>IF(H76,H87,IF(J76,J87,G83))</f>
        <v>1469.4428112698886</v>
      </c>
      <c r="K83" s="67"/>
      <c r="L83" s="67"/>
      <c r="M83" s="67">
        <f>IF(K76,K87,IF(M76,M87,J83))</f>
        <v>1469.4428112698886</v>
      </c>
      <c r="N83" s="67"/>
      <c r="O83" s="67"/>
      <c r="P83" s="67">
        <f>IF(N76,N87,IF(P76,P87,M83))</f>
        <v>1469.4428112698886</v>
      </c>
      <c r="Q83" s="67"/>
      <c r="R83" s="67"/>
      <c r="S83" s="67">
        <f>IF(Q76,Q87,IF(S76,S87,P83))</f>
        <v>1471.218491661801</v>
      </c>
      <c r="T83" s="67"/>
      <c r="U83" s="67"/>
      <c r="V83" s="67">
        <f>IF(T76,T87,IF(V76,V87,S83))</f>
        <v>1471.218491661801</v>
      </c>
      <c r="W83" s="67"/>
      <c r="X83" s="67"/>
      <c r="Y83" s="67">
        <f>IF(W76,W87,IF(Y76,Y87,V83))</f>
        <v>1505.3439733567056</v>
      </c>
      <c r="Z83" s="67"/>
      <c r="AA83" s="67"/>
      <c r="AB83" s="67">
        <f>IF(Z76,Z87,IF(AB76,AB87,Y83))</f>
        <v>1505.3439733567056</v>
      </c>
      <c r="AC83" s="67"/>
      <c r="AD83" s="67"/>
      <c r="AE83" s="67">
        <f>IF(AC76,AC87,IF(AE76,AE87,AB83))</f>
        <v>1505.3439733567056</v>
      </c>
      <c r="AF83" s="4"/>
      <c r="AG83" s="4"/>
      <c r="AJ83" s="4"/>
      <c r="AL83" s="4"/>
      <c r="AM83" s="4"/>
      <c r="AN83" s="4"/>
      <c r="AO83" s="4"/>
      <c r="AT83" s="63" t="str">
        <f>B83</f>
        <v>Crossfire 12</v>
      </c>
      <c r="AU83" s="63">
        <f>AE83</f>
        <v>1505.3439733567056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1450.7912672511281</v>
      </c>
      <c r="C85" s="67">
        <v>1</v>
      </c>
      <c r="D85" s="67">
        <f>VLOOKUP(D24,$A79:$AE83,3,FALSE)</f>
        <v>1400.1815869502536</v>
      </c>
      <c r="E85" s="67">
        <f>VLOOKUP(E24,$A79:$AE83,4,FALSE)</f>
        <v>1545.8627202771247</v>
      </c>
      <c r="F85" s="67">
        <v>2</v>
      </c>
      <c r="G85" s="67">
        <f>VLOOKUP(G24,$A79:$AE83,4,FALSE)</f>
        <v>1417.7394943703641</v>
      </c>
      <c r="H85" s="67">
        <f>VLOOKUP(H24,$A79:$AE83,7,FALSE)</f>
        <v>1443.6793957766529</v>
      </c>
      <c r="I85" s="67">
        <v>3</v>
      </c>
      <c r="J85" s="67">
        <f>VLOOKUP(J24,$A79:$AE83,7,FALSE)</f>
        <v>1436.8102191450409</v>
      </c>
      <c r="K85" s="67">
        <f>VLOOKUP(K24,$A79:$AE83,10,FALSE)</f>
        <v>1414.1626350563408</v>
      </c>
      <c r="L85" s="67">
        <v>4</v>
      </c>
      <c r="M85" s="67">
        <f>VLOOKUP(M24,$A79:$AE83,10,FALSE)</f>
        <v>1461.0327384237373</v>
      </c>
      <c r="N85" s="67">
        <f>VLOOKUP(N24,$A79:$AE83,13,FALSE)</f>
        <v>1502.5694762237515</v>
      </c>
      <c r="O85" s="67">
        <v>5</v>
      </c>
      <c r="P85" s="67">
        <f>VLOOKUP(P24,$A79:$AE83,13,FALSE)</f>
        <v>1411.0468036518052</v>
      </c>
      <c r="Q85" s="67">
        <f>VLOOKUP(Q24,$A79:$AE83,16,FALSE)</f>
        <v>1488.7418406036279</v>
      </c>
      <c r="R85" s="67">
        <v>6</v>
      </c>
      <c r="S85" s="67">
        <f>VLOOKUP(S24,$A79:$AE83,16,FALSE)</f>
        <v>1469.4428112698886</v>
      </c>
      <c r="T85" s="67">
        <f>VLOOKUP(T24,$A79:$AE83,19,FALSE)</f>
        <v>1386.4535328764503</v>
      </c>
      <c r="U85" s="67">
        <v>7</v>
      </c>
      <c r="V85" s="67">
        <f>VLOOKUP(V24,$A79:$AE83,19,FALSE)</f>
        <v>1419.2866366703843</v>
      </c>
      <c r="W85" s="67">
        <f>VLOOKUP(W24,$A79:$AE83,22,FALSE)</f>
        <v>1494.3296432051725</v>
      </c>
      <c r="X85" s="67">
        <v>8</v>
      </c>
      <c r="Y85" s="67">
        <f>VLOOKUP(Y24,$A79:$AE83,22,FALSE)</f>
        <v>1471.218491661801</v>
      </c>
      <c r="Z85" s="67">
        <f>VLOOKUP(Z24,$A79:$AE83,25,FALSE)</f>
        <v>1384.2715660696942</v>
      </c>
      <c r="AA85" s="67">
        <v>9</v>
      </c>
      <c r="AB85" s="67">
        <f>VLOOKUP(AB24,$A79:$AE83,25,FALSE)</f>
        <v>1486.9661602117155</v>
      </c>
      <c r="AC85" s="67">
        <f>VLOOKUP(AC24,$A79:$AE83,28,FALSE)</f>
        <v>1460.2041615102678</v>
      </c>
      <c r="AD85" s="67">
        <v>10</v>
      </c>
      <c r="AE85" s="67">
        <f>VLOOKUP(AE24,$A79:$AE83,28,FALSE)</f>
        <v>1421.4686034771403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1.1446447560871009</v>
      </c>
      <c r="C86" s="68"/>
      <c r="D86" s="68">
        <f>1/(1+(10^-((D85-B85)/400)))*(B36+D36)</f>
        <v>0.85535524391289908</v>
      </c>
      <c r="E86" s="68">
        <f>1/(1+(10^-((E85-G85)/400)))*(E36+G36)</f>
        <v>1.3529138766679116</v>
      </c>
      <c r="F86" s="68"/>
      <c r="G86" s="68">
        <f>1/(1+(10^-((G85-E85)/400)))*(E36+G36)</f>
        <v>0.64708612333208826</v>
      </c>
      <c r="H86" s="68">
        <f>1/(1+(10^-((H85-J85)/400)))*(H36+J36)</f>
        <v>1.0197685039014883</v>
      </c>
      <c r="I86" s="68"/>
      <c r="J86" s="68">
        <f>1/(1+(10^-((J85-H85)/400)))*(H36+J36)</f>
        <v>0.9802314960985119</v>
      </c>
      <c r="K86" s="68">
        <f>1/(1+(10^-((K85-M85)/400)))*(K36+M36)</f>
        <v>0.86590944312158091</v>
      </c>
      <c r="L86" s="68"/>
      <c r="M86" s="68">
        <f>1/(1+(10^-((M85-K85)/400)))*(K36+M36)</f>
        <v>1.1340905568784192</v>
      </c>
      <c r="N86" s="68">
        <f>1/(1+(10^-((N85-P85)/400)))*(N36+P36)</f>
        <v>1.2574947818305959</v>
      </c>
      <c r="O86" s="68"/>
      <c r="P86" s="68">
        <f>1/(1+(10^-((P85-N85)/400)))*(N36+P36)</f>
        <v>0.74250521816940429</v>
      </c>
      <c r="Q86" s="68">
        <f>1/(1+(10^-((Q85-S85)/400)))*(Q36+S36)</f>
        <v>1.0554900122472592</v>
      </c>
      <c r="R86" s="68"/>
      <c r="S86" s="68">
        <f>1/(1+(10^-((S85-Q85)/400)))*(Q36+S36)</f>
        <v>0.94450998775274075</v>
      </c>
      <c r="T86" s="68">
        <f>1/(1+(10^-((T85-V85)/400)))*(T36+V36)</f>
        <v>0.90577904372843565</v>
      </c>
      <c r="U86" s="68"/>
      <c r="V86" s="68">
        <f>1/(1+(10^-((V85-T85)/400)))*(T36+V36)</f>
        <v>1.0942209562715643</v>
      </c>
      <c r="W86" s="68">
        <f>1/(1+(10^-((W85-Y85)/400)))*(W36+Y36)</f>
        <v>1.0664213029657719</v>
      </c>
      <c r="X86" s="68"/>
      <c r="Y86" s="68">
        <f>1/(1+(10^-((Y85-W85)/400)))*(W36+Y36)</f>
        <v>0.93357869703422802</v>
      </c>
      <c r="Z86" s="68">
        <f>1/(1+(10^-((Z85-AB85)/400)))*(Z36+AB36)</f>
        <v>0.71273858059180717</v>
      </c>
      <c r="AA86" s="68"/>
      <c r="AB86" s="68">
        <f>1/(1+(10^-((AB85-Z85)/400)))*(Z36+AB36)</f>
        <v>1.2872614194081926</v>
      </c>
      <c r="AC86" s="68">
        <f>1/(1+(10^-((AC85-AE85)/400)))*(AC36+AE36)</f>
        <v>1.1110302436721446</v>
      </c>
      <c r="AD86" s="68"/>
      <c r="AE86" s="68">
        <f>1/(1+(10^-((AE85-AC85)/400)))*(AC36+AE36)</f>
        <v>0.88896975632785535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1414.1626350563408</v>
      </c>
      <c r="C87" s="74"/>
      <c r="D87" s="74">
        <f>D85+(D36-D86)*$BA$1</f>
        <v>1436.8102191450409</v>
      </c>
      <c r="E87" s="74">
        <f>E85+(E36-E86)*$BA$1</f>
        <v>1502.5694762237515</v>
      </c>
      <c r="F87" s="74"/>
      <c r="G87" s="74">
        <f>G85+(G36-G86)*$BA$1</f>
        <v>1461.0327384237373</v>
      </c>
      <c r="H87" s="74">
        <f>H85+(H36-H86)*$BA$1</f>
        <v>1411.0468036518052</v>
      </c>
      <c r="I87" s="74"/>
      <c r="J87" s="74">
        <f>J85+(J36-J86)*$BA$1</f>
        <v>1469.4428112698886</v>
      </c>
      <c r="K87" s="74">
        <f>K85+(K36-K86)*$BA$1</f>
        <v>1386.4535328764503</v>
      </c>
      <c r="L87" s="74"/>
      <c r="M87" s="74">
        <f>M85+(M36-M86)*$BA$1</f>
        <v>1488.7418406036279</v>
      </c>
      <c r="N87" s="74">
        <f>N85+(N36-N86)*$BA$1</f>
        <v>1494.3296432051725</v>
      </c>
      <c r="O87" s="74"/>
      <c r="P87" s="74">
        <f>P85+(P36-P86)*$BA$1</f>
        <v>1419.2866366703843</v>
      </c>
      <c r="Q87" s="74">
        <f>Q85+(Q36-Q86)*$BA$1</f>
        <v>1486.9661602117155</v>
      </c>
      <c r="R87" s="74"/>
      <c r="S87" s="74">
        <f>S85+(S36-S86)*$BA$1</f>
        <v>1471.218491661801</v>
      </c>
      <c r="T87" s="74">
        <f>T85+(T36-T86)*$BA$1</f>
        <v>1421.4686034771403</v>
      </c>
      <c r="U87" s="74"/>
      <c r="V87" s="74">
        <f>V85+(V36-V86)*$BA$1</f>
        <v>1384.2715660696942</v>
      </c>
      <c r="W87" s="74">
        <f>W85+(W36-W86)*$BA$1</f>
        <v>1460.2041615102678</v>
      </c>
      <c r="X87" s="74"/>
      <c r="Y87" s="74">
        <f>Y85+(Y36-Y86)*$BA$1</f>
        <v>1505.3439733567056</v>
      </c>
      <c r="Z87" s="74">
        <f>Z85+(Z36-Z86)*$BA$1</f>
        <v>1361.4639314907565</v>
      </c>
      <c r="AA87" s="74"/>
      <c r="AB87" s="74">
        <f>AB85+(AB36-AB86)*$BA$1</f>
        <v>1509.7737947906535</v>
      </c>
      <c r="AC87" s="74">
        <f>AC85+(AC36-AC86)*$BA$1</f>
        <v>1456.6511937127591</v>
      </c>
      <c r="AD87" s="74"/>
      <c r="AE87" s="74">
        <f>AE85+(AE36-AE86)*$BA$1</f>
        <v>1425.021571274649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  <c r="AW89" s="66"/>
    </row>
    <row r="90" spans="1:54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W90" s="66"/>
    </row>
    <row r="91" spans="1:54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Games Won</v>
      </c>
      <c r="M92" s="255"/>
      <c r="N92" s="255"/>
      <c r="O92" s="255"/>
      <c r="P92" s="255"/>
      <c r="Q92" s="256"/>
      <c r="R92" s="254" t="str">
        <f>IF($AK95=0,"Games Lost","Matches Lost")</f>
        <v>Games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Intense 13 Black Columbia</v>
      </c>
      <c r="F93" s="233"/>
      <c r="G93" s="233"/>
      <c r="H93" s="233"/>
      <c r="I93" s="233"/>
      <c r="J93" s="233"/>
      <c r="K93" s="234"/>
      <c r="L93" s="235">
        <f>IF($AK95=0,AF149,AF131)</f>
        <v>2</v>
      </c>
      <c r="M93" s="236"/>
      <c r="N93" s="236"/>
      <c r="O93" s="236"/>
      <c r="P93" s="236"/>
      <c r="Q93" s="256"/>
      <c r="R93" s="235">
        <f>IF($AK95=0,AG149,AG131)</f>
        <v>6</v>
      </c>
      <c r="S93" s="236"/>
      <c r="T93" s="236"/>
      <c r="U93" s="236"/>
      <c r="V93" s="236"/>
      <c r="W93" s="235">
        <f>AQ109</f>
        <v>-51</v>
      </c>
      <c r="X93" s="236"/>
      <c r="Y93" s="236"/>
      <c r="Z93" s="239">
        <f>IF(AF143&gt;0,(AQ109/AF143),0)</f>
        <v>-0.255</v>
      </c>
      <c r="AA93" s="240"/>
      <c r="AB93" s="240"/>
      <c r="AC93" s="262">
        <f>IF(AF157=0,0,(AF149/AF157))</f>
        <v>0.25</v>
      </c>
      <c r="AD93" s="263"/>
      <c r="AE93" s="264"/>
      <c r="AF93" s="268">
        <v>5</v>
      </c>
      <c r="AG93" s="268">
        <v>2</v>
      </c>
      <c r="AH93" s="270">
        <v>10</v>
      </c>
      <c r="AI93" s="271"/>
      <c r="AJ93" s="27"/>
      <c r="AK93" s="28">
        <v>10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228"/>
      <c r="B94" s="274" t="s">
        <v>11</v>
      </c>
      <c r="C94" s="275"/>
      <c r="D94" s="276"/>
      <c r="E94" s="277" t="str">
        <f>AV4</f>
        <v>fj3inten3pm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5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SC Midlands KP Boys</v>
      </c>
      <c r="F95" s="233"/>
      <c r="G95" s="233"/>
      <c r="H95" s="233"/>
      <c r="I95" s="233"/>
      <c r="J95" s="233"/>
      <c r="K95" s="234"/>
      <c r="L95" s="235">
        <f>IF($AK95=0,AF150,AF132)</f>
        <v>7</v>
      </c>
      <c r="M95" s="236"/>
      <c r="N95" s="236"/>
      <c r="O95" s="236"/>
      <c r="P95" s="236"/>
      <c r="Q95" s="256"/>
      <c r="R95" s="235">
        <f>IF($AK95=0,AG150,AG132)</f>
        <v>1</v>
      </c>
      <c r="S95" s="236"/>
      <c r="T95" s="236"/>
      <c r="U95" s="236"/>
      <c r="V95" s="236"/>
      <c r="W95" s="235">
        <f>AQ110</f>
        <v>78</v>
      </c>
      <c r="X95" s="236"/>
      <c r="Y95" s="236"/>
      <c r="Z95" s="239">
        <f>IF(AF144&gt;0,(AQ110/AF144),0)</f>
        <v>0.39</v>
      </c>
      <c r="AA95" s="240"/>
      <c r="AB95" s="240"/>
      <c r="AC95" s="262">
        <f>IF(AF158=0,0,(AF150/AF158))</f>
        <v>0.875</v>
      </c>
      <c r="AD95" s="263"/>
      <c r="AE95" s="264"/>
      <c r="AF95" s="268">
        <v>1</v>
      </c>
      <c r="AG95" s="268">
        <v>1</v>
      </c>
      <c r="AH95" s="270">
        <v>1</v>
      </c>
      <c r="AI95" s="271"/>
      <c r="AJ95" s="27"/>
      <c r="AK95" s="28">
        <v>0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228"/>
      <c r="B96" s="284" t="s">
        <v>11</v>
      </c>
      <c r="C96" s="285"/>
      <c r="D96" s="285"/>
      <c r="E96" s="277" t="str">
        <f>AV5</f>
        <v>fj2scmid3pm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VolleyOneAcademy 12-Chels</v>
      </c>
      <c r="F97" s="233"/>
      <c r="G97" s="233"/>
      <c r="H97" s="233"/>
      <c r="I97" s="233"/>
      <c r="J97" s="233"/>
      <c r="K97" s="234"/>
      <c r="L97" s="235">
        <f>IF($AK95=0,AF151,AF133)</f>
        <v>2</v>
      </c>
      <c r="M97" s="236"/>
      <c r="N97" s="236"/>
      <c r="O97" s="236"/>
      <c r="P97" s="236"/>
      <c r="Q97" s="256"/>
      <c r="R97" s="235">
        <f>IF($AK95=0,AG151,AG133)</f>
        <v>6</v>
      </c>
      <c r="S97" s="236"/>
      <c r="T97" s="236"/>
      <c r="U97" s="236"/>
      <c r="V97" s="236"/>
      <c r="W97" s="235">
        <f>AQ111</f>
        <v>-60</v>
      </c>
      <c r="X97" s="236"/>
      <c r="Y97" s="236"/>
      <c r="Z97" s="239">
        <f>IF(AF145&gt;0,(AQ111/AF145),0)</f>
        <v>-0.3</v>
      </c>
      <c r="AA97" s="240"/>
      <c r="AB97" s="240"/>
      <c r="AC97" s="262">
        <f>IF(AF159=0,0,(AF151/AF159))</f>
        <v>0.25</v>
      </c>
      <c r="AD97" s="263"/>
      <c r="AE97" s="264"/>
      <c r="AF97" s="268">
        <v>4</v>
      </c>
      <c r="AG97" s="268">
        <v>2</v>
      </c>
      <c r="AH97" s="270">
        <v>7</v>
      </c>
      <c r="AI97" s="271"/>
      <c r="AJ97" s="31"/>
      <c r="AK97" s="28">
        <v>8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fj2vonea1pm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Emerald City 12-2</v>
      </c>
      <c r="F99" s="233"/>
      <c r="G99" s="233"/>
      <c r="H99" s="233"/>
      <c r="I99" s="233"/>
      <c r="J99" s="233"/>
      <c r="K99" s="234"/>
      <c r="L99" s="235">
        <f>IF($AK95=0,AF152,AF134)</f>
        <v>3</v>
      </c>
      <c r="M99" s="236"/>
      <c r="N99" s="236"/>
      <c r="O99" s="236"/>
      <c r="P99" s="236"/>
      <c r="Q99" s="256"/>
      <c r="R99" s="235">
        <f>IF($AK95=0,AG152,AG134)</f>
        <v>5</v>
      </c>
      <c r="S99" s="236"/>
      <c r="T99" s="236"/>
      <c r="U99" s="236"/>
      <c r="V99" s="236"/>
      <c r="W99" s="235">
        <f>AQ112</f>
        <v>6</v>
      </c>
      <c r="X99" s="236"/>
      <c r="Y99" s="236"/>
      <c r="Z99" s="239">
        <f>IF(AF146&gt;0,(AQ112/AF146),0)</f>
        <v>0.03</v>
      </c>
      <c r="AA99" s="240"/>
      <c r="AB99" s="240"/>
      <c r="AC99" s="262">
        <f>IF(AF160=0,0,(AF152/AF160))</f>
        <v>0.375</v>
      </c>
      <c r="AD99" s="263"/>
      <c r="AE99" s="264"/>
      <c r="AF99" s="268">
        <v>3</v>
      </c>
      <c r="AG99" s="268">
        <v>1</v>
      </c>
      <c r="AH99" s="270">
        <v>6</v>
      </c>
      <c r="AI99" s="271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fj2ecity2pm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227" t="str">
        <f>IF($AK94&gt;4,"5","")</f>
        <v>5</v>
      </c>
      <c r="B101" s="286" t="s">
        <v>10</v>
      </c>
      <c r="C101" s="287"/>
      <c r="D101" s="287"/>
      <c r="E101" s="232" t="str">
        <f>AU12</f>
        <v>Fort Mill 12 Carrie</v>
      </c>
      <c r="F101" s="233"/>
      <c r="G101" s="233"/>
      <c r="H101" s="233"/>
      <c r="I101" s="233"/>
      <c r="J101" s="233"/>
      <c r="K101" s="234"/>
      <c r="L101" s="235">
        <f>IF($AK95=0,AF153,AF135)</f>
        <v>6</v>
      </c>
      <c r="M101" s="236"/>
      <c r="N101" s="236"/>
      <c r="O101" s="236"/>
      <c r="P101" s="236"/>
      <c r="Q101" s="256"/>
      <c r="R101" s="235">
        <f>IF($AK95=0,AG153,AG135)</f>
        <v>2</v>
      </c>
      <c r="S101" s="236"/>
      <c r="T101" s="236"/>
      <c r="U101" s="236"/>
      <c r="V101" s="236"/>
      <c r="W101" s="235">
        <f>AQ113</f>
        <v>27</v>
      </c>
      <c r="X101" s="236"/>
      <c r="Y101" s="236"/>
      <c r="Z101" s="239">
        <f>IF(AF147&gt;0,(AQ113/AF147),0)</f>
        <v>0.13500000000000001</v>
      </c>
      <c r="AA101" s="240"/>
      <c r="AB101" s="240"/>
      <c r="AC101" s="262">
        <f>IF(AF161=0,0,(AF153/AF161))</f>
        <v>0.75</v>
      </c>
      <c r="AD101" s="263"/>
      <c r="AE101" s="264"/>
      <c r="AF101" s="268">
        <v>2</v>
      </c>
      <c r="AG101" s="268">
        <v>1</v>
      </c>
      <c r="AH101" s="270">
        <v>3</v>
      </c>
      <c r="AI101" s="271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410" t="str">
        <f>AV12</f>
        <v>fj2fortm1pm</v>
      </c>
      <c r="F102" s="411"/>
      <c r="G102" s="411"/>
      <c r="H102" s="411"/>
      <c r="I102" s="411"/>
      <c r="J102" s="411"/>
      <c r="K102" s="411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305" t="s">
        <v>65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thickTop="1" x14ac:dyDescent="0.2">
      <c r="A104" s="4" t="s">
        <v>66</v>
      </c>
      <c r="B104" s="308">
        <v>0.35416666666666669</v>
      </c>
      <c r="C104" s="309"/>
      <c r="D104" s="310"/>
      <c r="E104" s="308">
        <v>0.38541666666666669</v>
      </c>
      <c r="F104" s="309"/>
      <c r="G104" s="310"/>
      <c r="H104" s="308">
        <v>0.41666666666666669</v>
      </c>
      <c r="I104" s="309"/>
      <c r="J104" s="310"/>
      <c r="K104" s="308">
        <v>0.44791666666666669</v>
      </c>
      <c r="L104" s="309"/>
      <c r="M104" s="310"/>
      <c r="N104" s="308">
        <v>0.47916666666666669</v>
      </c>
      <c r="O104" s="309"/>
      <c r="P104" s="310"/>
      <c r="Q104" s="308">
        <v>0.51041666666666663</v>
      </c>
      <c r="R104" s="309"/>
      <c r="S104" s="310"/>
      <c r="T104" s="308">
        <v>4.1666666666666664E-2</v>
      </c>
      <c r="U104" s="309"/>
      <c r="V104" s="310"/>
      <c r="W104" s="308">
        <v>7.2916666666666671E-2</v>
      </c>
      <c r="X104" s="309"/>
      <c r="Y104" s="310"/>
      <c r="Z104" s="308">
        <v>0.10416666666666667</v>
      </c>
      <c r="AA104" s="309"/>
      <c r="AB104" s="310"/>
      <c r="AC104" s="308">
        <v>0.13541666666666666</v>
      </c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>
        <v>0.35416666666666669</v>
      </c>
      <c r="C105" s="320"/>
      <c r="D105" s="321"/>
      <c r="E105" s="319">
        <v>0.39027777777777778</v>
      </c>
      <c r="F105" s="320"/>
      <c r="G105" s="321"/>
      <c r="H105" s="319">
        <v>0.42430555555555555</v>
      </c>
      <c r="I105" s="320"/>
      <c r="J105" s="321"/>
      <c r="K105" s="319">
        <v>0.4548611111111111</v>
      </c>
      <c r="L105" s="320"/>
      <c r="M105" s="321"/>
      <c r="N105" s="319">
        <v>0.49305555555555558</v>
      </c>
      <c r="O105" s="320"/>
      <c r="P105" s="321"/>
      <c r="Q105" s="319">
        <v>0.52083333333333337</v>
      </c>
      <c r="R105" s="320"/>
      <c r="S105" s="321"/>
      <c r="T105" s="319">
        <v>0.54722222222222217</v>
      </c>
      <c r="U105" s="320"/>
      <c r="V105" s="321"/>
      <c r="W105" s="319">
        <v>0.57013888888888886</v>
      </c>
      <c r="X105" s="320"/>
      <c r="Y105" s="321"/>
      <c r="Z105" s="319">
        <v>0.59722222222222221</v>
      </c>
      <c r="AA105" s="320"/>
      <c r="AB105" s="321"/>
      <c r="AC105" s="319">
        <v>0.625</v>
      </c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>
        <v>0.38541666666666669</v>
      </c>
      <c r="C106" s="320"/>
      <c r="D106" s="321"/>
      <c r="E106" s="319">
        <v>0.41666666666666669</v>
      </c>
      <c r="F106" s="320"/>
      <c r="G106" s="321"/>
      <c r="H106" s="319">
        <v>0.44513888888888892</v>
      </c>
      <c r="I106" s="320"/>
      <c r="J106" s="321"/>
      <c r="K106" s="319">
        <v>0.47986111111111113</v>
      </c>
      <c r="L106" s="320"/>
      <c r="M106" s="321"/>
      <c r="N106" s="319">
        <v>0.5131944444444444</v>
      </c>
      <c r="O106" s="320"/>
      <c r="P106" s="321"/>
      <c r="Q106" s="319">
        <v>0.54097222222222219</v>
      </c>
      <c r="R106" s="320"/>
      <c r="S106" s="321"/>
      <c r="T106" s="319">
        <v>0.56597222222222221</v>
      </c>
      <c r="U106" s="320"/>
      <c r="V106" s="321"/>
      <c r="W106" s="319">
        <v>0.59513888888888888</v>
      </c>
      <c r="X106" s="320"/>
      <c r="Y106" s="321"/>
      <c r="Z106" s="319">
        <v>0.62152777777777779</v>
      </c>
      <c r="AA106" s="320"/>
      <c r="AB106" s="321"/>
      <c r="AC106" s="319">
        <v>0.65</v>
      </c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7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>Match 7</v>
      </c>
      <c r="U107" s="323"/>
      <c r="V107" s="324"/>
      <c r="W107" s="322" t="str">
        <f>IF(AK93&gt;7,"Match 8","")</f>
        <v>Match 8</v>
      </c>
      <c r="X107" s="323"/>
      <c r="Y107" s="324"/>
      <c r="Z107" s="322" t="str">
        <f>IF(AK93&gt;8,"Match 9","")</f>
        <v>Match 9</v>
      </c>
      <c r="AA107" s="323"/>
      <c r="AB107" s="324"/>
      <c r="AC107" s="322" t="str">
        <f>IF(AK93&gt;9,"Match 10","")</f>
        <v>Match 10</v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7"/>
      <c r="B108" s="325" t="s">
        <v>71</v>
      </c>
      <c r="C108" s="326"/>
      <c r="D108" s="327"/>
      <c r="E108" s="325" t="s">
        <v>72</v>
      </c>
      <c r="F108" s="326"/>
      <c r="G108" s="327"/>
      <c r="H108" s="325" t="s">
        <v>73</v>
      </c>
      <c r="I108" s="326"/>
      <c r="J108" s="327"/>
      <c r="K108" s="325" t="s">
        <v>74</v>
      </c>
      <c r="L108" s="326"/>
      <c r="M108" s="327"/>
      <c r="N108" s="325" t="s">
        <v>75</v>
      </c>
      <c r="O108" s="326"/>
      <c r="P108" s="327"/>
      <c r="Q108" s="325" t="s">
        <v>73</v>
      </c>
      <c r="R108" s="326"/>
      <c r="S108" s="327"/>
      <c r="T108" s="325" t="s">
        <v>71</v>
      </c>
      <c r="U108" s="326"/>
      <c r="V108" s="327"/>
      <c r="W108" s="325" t="s">
        <v>75</v>
      </c>
      <c r="X108" s="326"/>
      <c r="Y108" s="327"/>
      <c r="Z108" s="325" t="s">
        <v>74</v>
      </c>
      <c r="AA108" s="326"/>
      <c r="AB108" s="327"/>
      <c r="AC108" s="325" t="s">
        <v>72</v>
      </c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5</v>
      </c>
      <c r="AI109" s="48" t="str">
        <f>IF(AK94&lt;1,"",IF(AK93&lt;3,"",IF(H109=1,H115-J115,IF(J109=1,J115-H115,""))))</f>
        <v/>
      </c>
      <c r="AJ109" s="48" t="str">
        <f>IF(AK94&lt;1,"",IF(AK93&lt;4,"",IF(K109=1,K115-M115,IF(M109=1,M115-K115,""))))</f>
        <v/>
      </c>
      <c r="AK109" s="48">
        <f>IF(AK94&lt;1,"",IF(AK93&lt;5,"",IF(N109=1,N115-P115,IF(P109=1,P115-N115,""))))</f>
        <v>-9</v>
      </c>
      <c r="AL109" s="48" t="str">
        <f>IF(AK94&lt;1,"",IF(AK93&lt;6,"",IF(Q109=1,Q115-S115,IF(S109=1,S115-Q115,""))))</f>
        <v/>
      </c>
      <c r="AM109" s="48" t="str">
        <f>IF(AK94&lt;1,"",IF(AK93&lt;7,"",IF(T109=1,T115-V115,IF(V109=1,V115-T115,""))))</f>
        <v/>
      </c>
      <c r="AN109" s="48">
        <f>IF(AK94&lt;1,"",IF(AK93&lt;8,"",IF(W109=1,W115-Y115,IF(Y109=1,Y115-W115,""))))</f>
        <v>-24</v>
      </c>
      <c r="AO109" s="48" t="str">
        <f>IF(AK94&lt;1,"",IF(AK93&lt;9,"",IF(Z109=1,Z115-AB115,IF(AB109=1,AB115-Z115,""))))</f>
        <v/>
      </c>
      <c r="AP109" s="48">
        <f>IF(AK94&lt;1,"",IF(AK93&lt;10,"",IF(AC109=1,AC115-AE115,IF(AE109=1,AE115-AC115,""))))</f>
        <v>-23</v>
      </c>
      <c r="AQ109" s="44">
        <f>SUM(AG109:AP109)</f>
        <v>-51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11</v>
      </c>
      <c r="E110" s="49">
        <v>25</v>
      </c>
      <c r="F110" s="50" t="str">
        <f>IF(AK93&gt;1,"/","")</f>
        <v>/</v>
      </c>
      <c r="G110" s="51">
        <v>22</v>
      </c>
      <c r="H110" s="49">
        <v>13</v>
      </c>
      <c r="I110" s="50" t="str">
        <f>IF(AK93&gt;2,"/","")</f>
        <v>/</v>
      </c>
      <c r="J110" s="51">
        <v>25</v>
      </c>
      <c r="K110" s="49">
        <v>25</v>
      </c>
      <c r="L110" s="50" t="str">
        <f>IF(AK93&gt;3,"/","")</f>
        <v>/</v>
      </c>
      <c r="M110" s="51">
        <v>23</v>
      </c>
      <c r="N110" s="49">
        <v>19</v>
      </c>
      <c r="O110" s="50" t="str">
        <f>IF(AK93&gt;4,"/","")</f>
        <v>/</v>
      </c>
      <c r="P110" s="51">
        <v>25</v>
      </c>
      <c r="Q110" s="49">
        <v>19</v>
      </c>
      <c r="R110" s="50" t="str">
        <f>IF(AK93&gt;5,"/","")</f>
        <v>/</v>
      </c>
      <c r="S110" s="51">
        <v>25</v>
      </c>
      <c r="T110" s="49">
        <v>25</v>
      </c>
      <c r="U110" s="50" t="str">
        <f>IF(AK93&gt;6,"/","")</f>
        <v>/</v>
      </c>
      <c r="V110" s="51">
        <v>14</v>
      </c>
      <c r="W110" s="49">
        <v>13</v>
      </c>
      <c r="X110" s="50" t="str">
        <f>IF(AK93&gt;7,"/","")</f>
        <v>/</v>
      </c>
      <c r="Y110" s="51">
        <v>25</v>
      </c>
      <c r="Z110" s="49">
        <v>12</v>
      </c>
      <c r="AA110" s="50" t="str">
        <f>IF(AK93&gt;8,"/","")</f>
        <v>/</v>
      </c>
      <c r="AB110" s="51">
        <v>25</v>
      </c>
      <c r="AC110" s="49">
        <v>17</v>
      </c>
      <c r="AD110" s="50" t="str">
        <f>IF(AK93&gt;9,"/","")</f>
        <v>/</v>
      </c>
      <c r="AE110" s="51">
        <v>25</v>
      </c>
      <c r="AF110" s="42" t="str">
        <f>IF(AK94&gt;1,"Team 2","")</f>
        <v>Team 2</v>
      </c>
      <c r="AG110" s="48">
        <f>IF(AK94&lt;2,"",IF(AK93&lt;1,"",IF(B109=2,B115-D115,IF(D109=2,D115-B115,""))))</f>
        <v>30</v>
      </c>
      <c r="AH110" s="48" t="str">
        <f>IF(AK94&lt;2,"",IF(AK93&lt;2,"",IF(E109=2,E115-G115,IF(G109=2,G115-E115,""))))</f>
        <v/>
      </c>
      <c r="AI110" s="48" t="str">
        <f>IF(AK94&lt;2,"",IF(AK93&lt;3,"",IF(H109=2,H115-J115,IF(J109=2,J115-H115,""))))</f>
        <v/>
      </c>
      <c r="AJ110" s="48">
        <f>IF(AK94&lt;2,"",IF(AK93&lt;4,"",IF(K109=2,K115-M115,IF(M109=2,M115-K115,""))))</f>
        <v>-2</v>
      </c>
      <c r="AK110" s="48" t="str">
        <f>IF(AK94&lt;2,"",IF(AK93&lt;5,"",IF(N109=2,N115-P115,IF(P109=2,P115-N115,""))))</f>
        <v/>
      </c>
      <c r="AL110" s="48" t="str">
        <f>IF(AK94&lt;2,"",IF(AK93&lt;6,"",IF(Q109=2,Q115-S115,IF(S109=2,S115-Q115,""))))</f>
        <v/>
      </c>
      <c r="AM110" s="48">
        <f>IF(AK94&lt;2,"",IF(AK93&lt;7,"",IF(T109=2,T115-V115,IF(V109=2,V115-T115,""))))</f>
        <v>27</v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>
        <f>IF(AK94&lt;2,"",IF(AK93&lt;10,"",IF(AC109=2,AC115-AE115,IF(AE109=2,AE115-AC115,""))))</f>
        <v>23</v>
      </c>
      <c r="AQ110" s="44">
        <f>SUM(AG110:AP110)</f>
        <v>78</v>
      </c>
    </row>
    <row r="111" spans="1:44" ht="15" x14ac:dyDescent="0.2">
      <c r="A111" s="3" t="str">
        <f>IF(AK92&gt;1,"Game 2","")</f>
        <v>Game 2</v>
      </c>
      <c r="B111" s="49">
        <v>25</v>
      </c>
      <c r="C111" s="50" t="s">
        <v>80</v>
      </c>
      <c r="D111" s="51">
        <v>9</v>
      </c>
      <c r="E111" s="49">
        <v>25</v>
      </c>
      <c r="F111" s="50" t="str">
        <f>IF(AK93&gt;1,IF(AK92&gt;1,"/",""),"")</f>
        <v>/</v>
      </c>
      <c r="G111" s="51">
        <v>23</v>
      </c>
      <c r="H111" s="49">
        <v>17</v>
      </c>
      <c r="I111" s="50" t="str">
        <f>IF(AK93&gt;2,IF(AK92&gt;1,"/",""),"")</f>
        <v>/</v>
      </c>
      <c r="J111" s="51">
        <v>25</v>
      </c>
      <c r="K111" s="49">
        <v>21</v>
      </c>
      <c r="L111" s="50" t="str">
        <f>IF(AK93&gt;3,IF(AK92&gt;1,"/",""),"")</f>
        <v>/</v>
      </c>
      <c r="M111" s="51">
        <v>25</v>
      </c>
      <c r="N111" s="49">
        <v>22</v>
      </c>
      <c r="O111" s="50" t="str">
        <f>IF(AK93&gt;4,IF(AK92&gt;1,"/",""),"")</f>
        <v>/</v>
      </c>
      <c r="P111" s="51">
        <v>25</v>
      </c>
      <c r="Q111" s="49">
        <v>18</v>
      </c>
      <c r="R111" s="50" t="str">
        <f>IF(AK93&gt;5,IF(AK92&gt;1,"/",""),"")</f>
        <v>/</v>
      </c>
      <c r="S111" s="51">
        <v>25</v>
      </c>
      <c r="T111" s="49">
        <v>25</v>
      </c>
      <c r="U111" s="50" t="str">
        <f>IF(AK93&gt;6,IF(AK92&gt;1,"/",""),"")</f>
        <v>/</v>
      </c>
      <c r="V111" s="51">
        <v>9</v>
      </c>
      <c r="W111" s="49">
        <v>13</v>
      </c>
      <c r="X111" s="50" t="str">
        <f>IF(AK93&gt;7,IF(AK92&gt;1,"/",""),"")</f>
        <v>/</v>
      </c>
      <c r="Y111" s="51">
        <v>25</v>
      </c>
      <c r="Z111" s="49">
        <v>16</v>
      </c>
      <c r="AA111" s="50" t="str">
        <f>IF(AK93&gt;8,IF(AK92&gt;1,"/",""),"")</f>
        <v>/</v>
      </c>
      <c r="AB111" s="51">
        <v>25</v>
      </c>
      <c r="AC111" s="49">
        <v>10</v>
      </c>
      <c r="AD111" s="50" t="str">
        <f>IF(AK93&gt;9,IF(AK92&gt;1,"/",""),"")</f>
        <v>/</v>
      </c>
      <c r="AE111" s="51">
        <v>25</v>
      </c>
      <c r="AF111" s="42" t="str">
        <f>IF(AK94&gt;2,"Team 3","")</f>
        <v>Team 3</v>
      </c>
      <c r="AG111" s="48" t="str">
        <f>IF(AK94&lt;3,"",IF(AK93&lt;1,"",IF(B109=3,B115-D115,IF(D109=3,D115-B115,""))))</f>
        <v/>
      </c>
      <c r="AH111" s="48" t="str">
        <f>IF(AK94&lt;3,"",IF(AK93&lt;2,"",IF(E109=3,E115-G115,IF(G109=3,G115-E115,""))))</f>
        <v/>
      </c>
      <c r="AI111" s="48">
        <f>IF(AK94&lt;3,"",IF(AK93&lt;3,"",IF(H109=3,H115-J115,IF(J109=3,J115-H115,""))))</f>
        <v>-20</v>
      </c>
      <c r="AJ111" s="48" t="str">
        <f>IF(AK94&lt;3,"",IF(AK93&lt;4,"",IF(K109=3,K115-M115,IF(M109=3,M115-K115,""))))</f>
        <v/>
      </c>
      <c r="AK111" s="48">
        <f>IF(AK94&lt;3,"",IF(AK93&lt;5,"",IF(N109=3,N115-P115,IF(P109=3,P115-N115,""))))</f>
        <v>9</v>
      </c>
      <c r="AL111" s="48" t="str">
        <f>IF(AK94&lt;3,"",IF(AK93&lt;6,"",IF(Q109=3,Q115-S115,IF(S109=3,S115-Q115,""))))</f>
        <v/>
      </c>
      <c r="AM111" s="48">
        <f>IF(AK94&lt;3,"",IF(AK93&lt;7,"",IF(T109=3,T115-V115,IF(V109=3,V115-T115,""))))</f>
        <v>-27</v>
      </c>
      <c r="AN111" s="48" t="str">
        <f>IF(AK94&lt;3,"",IF(AK93&lt;8,"",IF(W109=3,W115-Y115,IF(Y109=3,Y115-W115,""))))</f>
        <v/>
      </c>
      <c r="AO111" s="48">
        <f>IF(AK94&lt;3,"",IF(AK93&lt;9,"",IF(Z109=3,Z115-AB115,IF(AB109=3,AB115-Z115,""))))</f>
        <v>-22</v>
      </c>
      <c r="AP111" s="48" t="str">
        <f>IF(AK94&lt;3,"",IF(AK93&lt;9,"",IF(AC109=3,AC115-AE115,IF(AE109=3,AE115-AC115,""))))</f>
        <v/>
      </c>
      <c r="AQ111" s="44">
        <f>SUM(AG111:AP111)</f>
        <v>-60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-5</v>
      </c>
      <c r="AI112" s="48" t="str">
        <f>IF(AK94&lt;4,"",IF(AK93&lt;3,"",IF(H109=4,H115-J115,IF(J109=4,J115-H115,""))))</f>
        <v/>
      </c>
      <c r="AJ112" s="48">
        <f>IF(AK94&lt;4,"",IF(AK93&lt;4,"",IF(K109=4,K115-M115,IF(M109=4,M115-K115,""))))</f>
        <v>2</v>
      </c>
      <c r="AK112" s="48" t="str">
        <f>IF(AK94&lt;4,"",IF(AK93&lt;5,"",IF(N109=4,N115-P115,IF(P109=4,P115-N115,""))))</f>
        <v/>
      </c>
      <c r="AL112" s="48">
        <f>IF(AK94&lt;4,"",IF(AK93&lt;6,"",IF(Q109=4,Q115-S115,IF(S109=4,S115-Q115,""))))</f>
        <v>-13</v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>
        <f>IF(AK94&lt;4,"",IF(AK93&lt;9,"",IF(Z109=4,Z115-AB115,IF(AB109=4,AB115-Z115,""))))</f>
        <v>22</v>
      </c>
      <c r="AP112" s="48" t="str">
        <f>IF(AK94&lt;4,"",IF(AK93&lt;10,"",IF(AC109=4,AC115-AE115,IF(AE109=4,AE115-AC115,""))))</f>
        <v/>
      </c>
      <c r="AQ112" s="44">
        <f>SUM(AG112:AP112)</f>
        <v>6</v>
      </c>
    </row>
    <row r="113" spans="1:49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>Team 5</v>
      </c>
      <c r="AG113" s="52">
        <f>IF(AK94&lt;5,"",IF(AK93&lt;1,"",IF(B109=5,B115-D115,IF(D109=5,D115-B115,""))))</f>
        <v>-30</v>
      </c>
      <c r="AH113" s="48" t="str">
        <f>IF(AK94&lt;5,"",IF(AK93&lt;2,"",IF(E109=5,E115-G115,IF(G109=5,G115-E115,""))))</f>
        <v/>
      </c>
      <c r="AI113" s="48">
        <f>IF(AK94&lt;5,"",IF(AK93&lt;3,"",IF(H109=5,H115-J115,IF(J109=5,J115-H115,""))))</f>
        <v>20</v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>
        <f>IF(AK94&lt;5,"",IF(AK93&lt;6,"",IF(Q109=5,Q115-S115,IF(S109=5,S115-Q115,""))))</f>
        <v>13</v>
      </c>
      <c r="AM113" s="48" t="str">
        <f>IF(AK94&lt;5,"",IF(AK93&lt;7,"",IF(T109=5,T115-V115,IF(V109=5,V115-T115,""))))</f>
        <v/>
      </c>
      <c r="AN113" s="48">
        <f>IF(AK94&lt;5,"",IF(AK93&lt;8,"",IF(W109=5,W115-Y115,IF(Y109=5,Y115-W115,""))))</f>
        <v>24</v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27</v>
      </c>
    </row>
    <row r="114" spans="1:49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3"/>
      <c r="B115" s="53">
        <f>IF($AK92=5,SUM(B110:B114),IF($AK92=4,SUM(B110:B113),IF($AK92=3,SUM(B110:B112),IF($AK92=2,SUM(B110:B111),B110))))</f>
        <v>50</v>
      </c>
      <c r="C115" s="53"/>
      <c r="D115" s="53">
        <f>IF($AK92=5,SUM(D110:D114),IF($AK92=4,SUM(D110:D113),IF($AK92=3,SUM(D110:D112),IF($AK92=2,SUM(D110:D111),D110))))</f>
        <v>20</v>
      </c>
      <c r="E115" s="53">
        <f>IF($AK92=5,SUM(E110:E114),IF($AK92=4,SUM(E110:E113),IF($AK92=3,SUM(E110:E112),IF($AK92=2,SUM(E110:E111),E110))))</f>
        <v>50</v>
      </c>
      <c r="F115" s="53"/>
      <c r="G115" s="53">
        <f>IF($AK92=5,SUM(G110:G114),IF($AK92=4,SUM(G110:G113),IF($AK92=3,SUM(G110:G112),IF($AK92=2,SUM(G110:G111),G110))))</f>
        <v>45</v>
      </c>
      <c r="H115" s="53">
        <f>IF($AK92=5,SUM(H110:H114),IF($AK92=4,SUM(H110:H113),IF($AK92=3,SUM(H110:H112),IF($AK92=2,SUM(H110:H111),H110))))</f>
        <v>30</v>
      </c>
      <c r="I115" s="53"/>
      <c r="J115" s="53">
        <f>IF($AK92=5,SUM(J110:J114),IF($AK92=4,SUM(J110:J113),IF($AK92=3,SUM(J110:J112),IF($AK92=2,SUM(J110:J111),J110))))</f>
        <v>50</v>
      </c>
      <c r="K115" s="53">
        <f>IF($AK92=5,SUM(K110:K114),IF($AK92=4,SUM(K110:K113),IF($AK92=3,SUM(K110:K112),IF($AK92=2,SUM(K110:K111),K110))))</f>
        <v>46</v>
      </c>
      <c r="L115" s="53"/>
      <c r="M115" s="53">
        <f>IF($AK92=5,SUM(M110:M114),IF($AK92=4,SUM(M110:M113),IF($AK92=3,SUM(M110:M112),IF($AK92=2,SUM(M110:M111),M110))))</f>
        <v>48</v>
      </c>
      <c r="N115" s="53">
        <f>IF($AK92=5,SUM(N110:N114),IF($AK92=4,SUM(N110:N113),IF($AK92=3,SUM(N110:N112),IF($AK92=2,SUM(N110:N111),N110))))</f>
        <v>41</v>
      </c>
      <c r="O115" s="53"/>
      <c r="P115" s="53">
        <f>IF($AK92=5,SUM(P110:P114),IF($AK92=4,SUM(P110:P113),IF($AK92=3,SUM(P110:P112),IF($AK92=2,SUM(P110:P111),P110))))</f>
        <v>50</v>
      </c>
      <c r="Q115" s="53">
        <f>IF($AK92=5,SUM(Q110:Q114),IF($AK92=4,SUM(Q110:Q113),IF($AK92=3,SUM(Q110:Q112),IF($AK92=2,SUM(Q110:Q111),Q110))))</f>
        <v>37</v>
      </c>
      <c r="R115" s="53"/>
      <c r="S115" s="53">
        <f>IF($AK92=5,SUM(S110:S114),IF($AK92=4,SUM(S110:S113),IF($AK92=3,SUM(S110:S112),IF($AK92=2,SUM(S110:S111),S110))))</f>
        <v>50</v>
      </c>
      <c r="T115" s="53">
        <f>IF($AK92=5,SUM(T110:T114),IF($AK92=4,SUM(T110:T113),IF($AK92=3,SUM(T110:T112),IF($AK92=2,SUM(T110:T111),T110))))</f>
        <v>50</v>
      </c>
      <c r="U115" s="53"/>
      <c r="V115" s="53">
        <f>IF($AK92=5,SUM(V110:V114),IF($AK92=4,SUM(V110:V113),IF($AK92=3,SUM(V110:V112),IF($AK92=2,SUM(V110:V111),V110))))</f>
        <v>23</v>
      </c>
      <c r="W115" s="53">
        <f>IF($AK92=5,SUM(W110:W114),IF($AK92=4,SUM(W110:W113),IF($AK92=3,SUM(W110:W112),IF($AK92=2,SUM(W110:W111),W110))))</f>
        <v>26</v>
      </c>
      <c r="X115" s="53"/>
      <c r="Y115" s="53">
        <f>IF($AK92=5,SUM(Y110:Y114),IF($AK92=4,SUM(Y110:Y113),IF($AK92=3,SUM(Y110:Y112),IF($AK92=2,SUM(Y110:Y111),Y110))))</f>
        <v>50</v>
      </c>
      <c r="Z115" s="53">
        <f>IF($AK92=5,SUM(Z110:Z114),IF($AK92=4,SUM(Z110:Z113),IF($AK92=3,SUM(Z110:Z112),IF($AK92=2,SUM(Z110:Z111),Z110))))</f>
        <v>28</v>
      </c>
      <c r="AA115" s="53"/>
      <c r="AB115" s="53">
        <f>IF($AK92=5,SUM(AB110:AB114),IF($AK92=4,SUM(AB110:AB113),IF($AK92=3,SUM(AB110:AB112),IF($AK92=2,SUM(AB110:AB111),AB110))))</f>
        <v>50</v>
      </c>
      <c r="AC115" s="53">
        <f>IF($AK92=5,SUM(AC110:AC114),IF($AK92=4,SUM(AC110:AC113),IF($AK92=3,SUM(AC110:AC112),IF($AK92=2,SUM(AC110:AC111),AC110))))</f>
        <v>27</v>
      </c>
      <c r="AD115" s="53"/>
      <c r="AE115" s="53">
        <f>IF($AK92=5,SUM(AE110:AE114),IF($AK92=4,SUM(AE110:AE113),IF($AK92=3,SUM(AE110:AE112),IF($AK92=2,SUM(AE110:AE111),AE110))))</f>
        <v>50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1</v>
      </c>
      <c r="F116" s="56"/>
      <c r="G116" s="57">
        <f>IF(AND(G110&gt;E110,$AK93&gt;1,ISNUMBER(E110),ISNUMBER(G110)),1,0)</f>
        <v>0</v>
      </c>
      <c r="H116" s="56">
        <f>IF(AND(H110&gt;J110,$AK93&gt;2,ISNUMBER(H110),ISNUMBER(J110)),1,0)</f>
        <v>0</v>
      </c>
      <c r="I116" s="56"/>
      <c r="J116" s="57">
        <f>IF(AND(J110&gt;H110,$AK93&gt;2,ISNUMBER(H110),ISNUMBER(J110)),1,0)</f>
        <v>1</v>
      </c>
      <c r="K116" s="56">
        <f>IF(AND(K110&gt;M110,$AK93&gt;3,ISNUMBER(K110),ISNUMBER(M110)),1,0)</f>
        <v>1</v>
      </c>
      <c r="L116" s="56"/>
      <c r="M116" s="57">
        <f>IF(AND(M110&gt;K110,$AK93&gt;3,ISNUMBER(K110),ISNUMBER(M110)),1,0)</f>
        <v>0</v>
      </c>
      <c r="N116" s="56">
        <f>IF(AND(N110&gt;P110,$AK93&gt;4,ISNUMBER(N110),ISNUMBER(P110)),1,0)</f>
        <v>0</v>
      </c>
      <c r="O116" s="56"/>
      <c r="P116" s="57">
        <f>IF(AND(P110&gt;N110,$AK93&gt;4,ISNUMBER(N110),ISNUMBER(P110)),1,0)</f>
        <v>1</v>
      </c>
      <c r="Q116" s="56">
        <f>IF(AND(Q110&gt;S110,$AK93&gt;5,ISNUMBER(Q110),ISNUMBER(S110)),1,0)</f>
        <v>0</v>
      </c>
      <c r="R116" s="56"/>
      <c r="S116" s="57">
        <f>IF(AND(S110&gt;Q110,$AK93&gt;5,ISNUMBER(Q110),ISNUMBER(S110)),1,0)</f>
        <v>1</v>
      </c>
      <c r="T116" s="56">
        <f>IF(AND(T110&gt;V110,$AK93&gt;6,ISNUMBER(T110),ISNUMBER(V110)),1,0)</f>
        <v>1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0</v>
      </c>
      <c r="X116" s="56"/>
      <c r="Y116" s="57">
        <f>IF(AND(Y110&gt;W110,$AK93&gt;7,ISNUMBER(W110),ISNUMBER(Y110)),1,0)</f>
        <v>1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1</v>
      </c>
      <c r="AC116" s="56">
        <f>IF(AND(AC110&gt;AE110,$AK93&gt;9,ISNUMBER(AC110),ISNUMBER(AE110)),1,0)</f>
        <v>0</v>
      </c>
      <c r="AD116" s="56"/>
      <c r="AE116" s="57">
        <f>IF(AND(AE110&gt;AC110,$AK93&gt;9,ISNUMBER(AC110),ISNUMBER(AE110)),1,0)</f>
        <v>1</v>
      </c>
      <c r="AW116" s="58"/>
    </row>
    <row r="117" spans="1:49" s="55" customFormat="1" ht="12.75" hidden="1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1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0</v>
      </c>
      <c r="I117" s="56"/>
      <c r="J117" s="57">
        <f>IF(AND(J111&gt;H111,$AK93&gt;2,$AK92&gt;1,ISNUMBER(H111),ISNUMBER(J111)),1,0)</f>
        <v>1</v>
      </c>
      <c r="K117" s="56">
        <f>IF(AND(K111&gt;M111,$AK93&gt;3,$AK92&gt;1,ISNUMBER(K111),ISNUMBER(M111)),1,0)</f>
        <v>0</v>
      </c>
      <c r="L117" s="56"/>
      <c r="M117" s="57">
        <f>IF(AND(M111&gt;K111,$AK93&gt;3,$AK92&gt;1,ISNUMBER(K111),ISNUMBER(M111)),1,0)</f>
        <v>1</v>
      </c>
      <c r="N117" s="56">
        <f>IF(AND(N111&gt;P111,$AK93&gt;4,$AK92&gt;1,ISNUMBER(N111),ISNUMBER(P111)),1,0)</f>
        <v>0</v>
      </c>
      <c r="O117" s="56"/>
      <c r="P117" s="57">
        <f>IF(AND(P111&gt;N111,$AK93&gt;4,$AK92&gt;1,ISNUMBER(N111),ISNUMBER(P111)),1,0)</f>
        <v>1</v>
      </c>
      <c r="Q117" s="56">
        <f>IF(AND(Q111&gt;S111,$AK93&gt;5,$AK92&gt;1,ISNUMBER(Q111),ISNUMBER(S111)),1,0)</f>
        <v>0</v>
      </c>
      <c r="R117" s="56"/>
      <c r="S117" s="57">
        <f>IF(AND(S111&gt;Q111,$AK93&gt;5,$AK92&gt;1,ISNUMBER(Q111),ISNUMBER(S111)),1,0)</f>
        <v>1</v>
      </c>
      <c r="T117" s="56">
        <f>IF(AND(T111&gt;V111,$AK93&gt;6,$AK92&gt;1,ISNUMBER(T111),ISNUMBER(V111)),1,0)</f>
        <v>1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0</v>
      </c>
      <c r="X117" s="56"/>
      <c r="Y117" s="57">
        <f>IF(AND(Y111&gt;W111,$AK93&gt;7,$AK92&gt;1,ISNUMBER(W111),ISNUMBER(Y111)),1,0)</f>
        <v>1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1</v>
      </c>
      <c r="AC117" s="56">
        <f>IF(AND(AC111&gt;AE111,$AK93&gt;9,$AK92&gt;1,ISNUMBER(AC111),ISNUMBER(AE111)),1,0)</f>
        <v>0</v>
      </c>
      <c r="AD117" s="56"/>
      <c r="AE117" s="57">
        <f>IF(AND(AE111&gt;AC111,$AK93&gt;9,$AK92&gt;1,ISNUMBER(AC111),ISNUMBER(AE111)),1,0)</f>
        <v>1</v>
      </c>
      <c r="AW117" s="58"/>
    </row>
    <row r="118" spans="1:49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  <c r="AW118" s="58"/>
    </row>
    <row r="119" spans="1:49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  <c r="AW119" s="58"/>
    </row>
    <row r="120" spans="1:49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  <c r="AW120" s="58"/>
    </row>
    <row r="121" spans="1:49" s="55" customFormat="1" ht="38.25" hidden="1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2</v>
      </c>
      <c r="G121" s="60">
        <f>SUM(G116:G120)</f>
        <v>0</v>
      </c>
      <c r="H121" s="55">
        <f>SUM(H116:H120)</f>
        <v>0</v>
      </c>
      <c r="J121" s="60">
        <f>SUM(J116:J120)</f>
        <v>2</v>
      </c>
      <c r="K121" s="55">
        <f>SUM(K116:K120)</f>
        <v>1</v>
      </c>
      <c r="M121" s="60">
        <f>SUM(M116:M120)</f>
        <v>1</v>
      </c>
      <c r="N121" s="55">
        <f>SUM(N116:N120)</f>
        <v>0</v>
      </c>
      <c r="P121" s="60">
        <f>SUM(P116:P120)</f>
        <v>2</v>
      </c>
      <c r="Q121" s="55">
        <f>SUM(Q116:Q120)</f>
        <v>0</v>
      </c>
      <c r="S121" s="60">
        <f>SUM(S116:S120)</f>
        <v>2</v>
      </c>
      <c r="T121" s="55">
        <f>SUM(T116:T120)</f>
        <v>2</v>
      </c>
      <c r="V121" s="60">
        <f>SUM(V116:V120)</f>
        <v>0</v>
      </c>
      <c r="W121" s="55">
        <f>SUM(W116:W120)</f>
        <v>0</v>
      </c>
      <c r="Y121" s="60">
        <f>SUM(Y116:Y120)</f>
        <v>2</v>
      </c>
      <c r="Z121" s="55">
        <f>SUM(Z116:Z120)</f>
        <v>0</v>
      </c>
      <c r="AB121" s="60">
        <f>SUM(AB116:AB120)</f>
        <v>2</v>
      </c>
      <c r="AC121" s="55">
        <f>SUM(AC116:AC120)</f>
        <v>0</v>
      </c>
      <c r="AE121" s="60">
        <f>SUM(AE116:AE120)</f>
        <v>2</v>
      </c>
      <c r="AW121" s="58"/>
    </row>
    <row r="122" spans="1:49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1</v>
      </c>
      <c r="F122" s="55">
        <f>E122+G122</f>
        <v>1</v>
      </c>
      <c r="G122" s="60">
        <f>IF(G121&gt;E121,IF(F156=AK92,1,IF(F156=AK92-1,1,0)),0)</f>
        <v>0</v>
      </c>
      <c r="H122" s="55">
        <f>IF(H121&gt;J121,IF(I156=AK92,1,IF(I156=AK92-1,1,0)),0)</f>
        <v>0</v>
      </c>
      <c r="I122" s="55">
        <f>H122+J122</f>
        <v>1</v>
      </c>
      <c r="J122" s="60">
        <f>IF(J121&gt;H121,IF(I156=AK92,1,IF(I156=AK92-1,1,0)),0)</f>
        <v>1</v>
      </c>
      <c r="K122" s="55">
        <f>IF(K121&gt;M121,IF(L156=AK92,1,IF(L156=AK92-1,1,0)),0)</f>
        <v>0</v>
      </c>
      <c r="L122" s="55">
        <f>K122+M122</f>
        <v>0</v>
      </c>
      <c r="M122" s="60">
        <f>IF(M121&gt;K121,IF(L156=AK92,1,IF(L156=AK92-1,1,0)),0)</f>
        <v>0</v>
      </c>
      <c r="N122" s="55">
        <f>IF(N121&gt;P121,IF(O156=AK92,1,IF(O156=AK92-1,1,0)),0)</f>
        <v>0</v>
      </c>
      <c r="O122" s="55">
        <f>N122+P122</f>
        <v>1</v>
      </c>
      <c r="P122" s="60">
        <f>IF(P121&gt;N121,IF(O156=AK92,1,IF(O156=AK92-1,1,0)),0)</f>
        <v>1</v>
      </c>
      <c r="Q122" s="55">
        <f>IF(Q121&gt;S121,IF(R156=AK92,1,IF(R156=AK92-1,1,0)),0)</f>
        <v>0</v>
      </c>
      <c r="R122" s="55">
        <f>Q122+S122</f>
        <v>1</v>
      </c>
      <c r="S122" s="60">
        <f>IF(S121&gt;Q121,IF(R156=AK92,1,IF(R156=AK92-1,1,0)),0)</f>
        <v>1</v>
      </c>
      <c r="T122" s="55">
        <f>IF(T121&gt;V121,IF(U156=AK92,1,IF(U156=AK92-1,1,0)),0)</f>
        <v>1</v>
      </c>
      <c r="U122" s="55">
        <f>T122+V122</f>
        <v>1</v>
      </c>
      <c r="V122" s="60">
        <f>IF(V121&gt;T121,IF(U156=AK92,1,IF(U156=AK92-1,1,0)),0)</f>
        <v>0</v>
      </c>
      <c r="W122" s="55">
        <f>IF(W121&gt;Y121,IF(X156=AK92,1,IF(X156=AK92-1,1,0)),0)</f>
        <v>0</v>
      </c>
      <c r="X122" s="55">
        <f>W122+Y122</f>
        <v>1</v>
      </c>
      <c r="Y122" s="60">
        <f>IF(Y121&gt;W121,IF(X156=AK92,1,IF(X156=AK92-1,1,0)),0)</f>
        <v>1</v>
      </c>
      <c r="Z122" s="55">
        <f>IF(Z121&gt;AB121,IF(AA156=AK92,1,IF(AA156=AK92-1,1,0)),0)</f>
        <v>0</v>
      </c>
      <c r="AA122" s="55">
        <f>Z122+AB122</f>
        <v>1</v>
      </c>
      <c r="AB122" s="60">
        <f>IF(AB121&gt;Z121,IF(AA156=AK92,1,IF(AA156=AK92-1,1,0)),0)</f>
        <v>1</v>
      </c>
      <c r="AC122" s="55">
        <f>IF(AC121&gt;AE121,IF(AD156=AK92,1,IF(AD156=AK92-1,1,0)),0)</f>
        <v>0</v>
      </c>
      <c r="AD122" s="55">
        <f>AC122+AE122</f>
        <v>1</v>
      </c>
      <c r="AE122" s="60">
        <f>IF(AE121&gt;AC121,IF(AD156=AK92,1,IF(AD156=AK92-1,1,0)),0)</f>
        <v>1</v>
      </c>
      <c r="AW122" s="58"/>
    </row>
    <row r="123" spans="1:49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  <c r="AW123" s="58"/>
    </row>
    <row r="124" spans="1:49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25</v>
      </c>
      <c r="G124" s="60">
        <f t="shared" ref="G124:H128" si="12">IF(G116=1,G110,0)</f>
        <v>0</v>
      </c>
      <c r="H124" s="55">
        <f t="shared" si="12"/>
        <v>0</v>
      </c>
      <c r="J124" s="60">
        <f t="shared" ref="J124:K128" si="13">IF(J116=1,J110,0)</f>
        <v>25</v>
      </c>
      <c r="K124" s="55">
        <f t="shared" si="13"/>
        <v>25</v>
      </c>
      <c r="M124" s="60">
        <f t="shared" ref="M124:N128" si="14">IF(M116=1,M110,0)</f>
        <v>0</v>
      </c>
      <c r="N124" s="55">
        <f t="shared" si="14"/>
        <v>0</v>
      </c>
      <c r="P124" s="60">
        <f t="shared" ref="P124:Q128" si="15">IF(P116=1,P110,0)</f>
        <v>25</v>
      </c>
      <c r="Q124" s="55">
        <f t="shared" si="15"/>
        <v>0</v>
      </c>
      <c r="S124" s="60">
        <f t="shared" ref="S124:T128" si="16">IF(S116=1,S110,0)</f>
        <v>25</v>
      </c>
      <c r="T124" s="55">
        <f t="shared" si="16"/>
        <v>25</v>
      </c>
      <c r="V124" s="60">
        <f t="shared" ref="V124:W128" si="17">IF(V116=1,V110,0)</f>
        <v>0</v>
      </c>
      <c r="W124" s="55">
        <f t="shared" si="17"/>
        <v>0</v>
      </c>
      <c r="Y124" s="60">
        <f t="shared" ref="Y124:Z128" si="18">IF(Y116=1,Y110,0)</f>
        <v>25</v>
      </c>
      <c r="Z124" s="55">
        <f t="shared" si="18"/>
        <v>0</v>
      </c>
      <c r="AB124" s="60">
        <f t="shared" ref="AB124:AC128" si="19">IF(AB116=1,AB110,0)</f>
        <v>25</v>
      </c>
      <c r="AC124" s="55">
        <f t="shared" si="19"/>
        <v>0</v>
      </c>
      <c r="AE124" s="60">
        <f>IF(AE116=1,AE110,0)</f>
        <v>25</v>
      </c>
      <c r="AW124" s="58"/>
    </row>
    <row r="125" spans="1:49" s="55" customFormat="1" ht="12.75" hidden="1" customHeight="1" x14ac:dyDescent="0.2">
      <c r="A125" s="55" t="s">
        <v>89</v>
      </c>
      <c r="B125" s="55">
        <f>IF(B117=1,B111,0)</f>
        <v>25</v>
      </c>
      <c r="D125" s="60">
        <f t="shared" si="11"/>
        <v>0</v>
      </c>
      <c r="E125" s="55">
        <f t="shared" si="11"/>
        <v>25</v>
      </c>
      <c r="G125" s="60">
        <f t="shared" si="12"/>
        <v>0</v>
      </c>
      <c r="H125" s="55">
        <f t="shared" si="12"/>
        <v>0</v>
      </c>
      <c r="J125" s="60">
        <f t="shared" si="13"/>
        <v>25</v>
      </c>
      <c r="K125" s="55">
        <f t="shared" si="13"/>
        <v>0</v>
      </c>
      <c r="M125" s="60">
        <f t="shared" si="14"/>
        <v>25</v>
      </c>
      <c r="N125" s="55">
        <f t="shared" si="14"/>
        <v>0</v>
      </c>
      <c r="P125" s="60">
        <f t="shared" si="15"/>
        <v>25</v>
      </c>
      <c r="Q125" s="55">
        <f t="shared" si="15"/>
        <v>0</v>
      </c>
      <c r="S125" s="60">
        <f t="shared" si="16"/>
        <v>25</v>
      </c>
      <c r="T125" s="55">
        <f t="shared" si="16"/>
        <v>25</v>
      </c>
      <c r="V125" s="60">
        <f t="shared" si="17"/>
        <v>0</v>
      </c>
      <c r="W125" s="55">
        <f t="shared" si="17"/>
        <v>0</v>
      </c>
      <c r="Y125" s="60">
        <f t="shared" si="18"/>
        <v>25</v>
      </c>
      <c r="Z125" s="55">
        <f t="shared" si="18"/>
        <v>0</v>
      </c>
      <c r="AB125" s="60">
        <f t="shared" si="19"/>
        <v>25</v>
      </c>
      <c r="AC125" s="55">
        <f t="shared" si="19"/>
        <v>0</v>
      </c>
      <c r="AE125" s="60">
        <f>IF(AE117=1,AE111,0)</f>
        <v>25</v>
      </c>
      <c r="AW125" s="58"/>
    </row>
    <row r="126" spans="1:49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  <c r="AW126" s="58"/>
    </row>
    <row r="127" spans="1:49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  <c r="AW127" s="58"/>
    </row>
    <row r="128" spans="1:49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  <c r="AW128" s="58"/>
    </row>
    <row r="129" spans="1:49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50</v>
      </c>
      <c r="G129" s="60"/>
      <c r="H129" s="55">
        <f>SUM(H124:J128)</f>
        <v>50</v>
      </c>
      <c r="J129" s="60"/>
      <c r="K129" s="55">
        <f>SUM(K124:M128)</f>
        <v>50</v>
      </c>
      <c r="M129" s="60"/>
      <c r="N129" s="55">
        <f>SUM(N124:P128)</f>
        <v>50</v>
      </c>
      <c r="P129" s="60"/>
      <c r="Q129" s="55">
        <f>SUM(Q124:S128)</f>
        <v>50</v>
      </c>
      <c r="S129" s="60"/>
      <c r="T129" s="55">
        <f>SUM(T124:V128)</f>
        <v>50</v>
      </c>
      <c r="V129" s="60"/>
      <c r="W129" s="55">
        <f>SUM(W124:Y128)</f>
        <v>50</v>
      </c>
      <c r="Y129" s="60"/>
      <c r="Z129" s="55">
        <f>SUM(Z124:AB128)</f>
        <v>50</v>
      </c>
      <c r="AB129" s="60"/>
      <c r="AC129" s="55">
        <f>SUM(AC124:AE128)</f>
        <v>50</v>
      </c>
      <c r="AE129" s="60"/>
      <c r="AW129" s="58"/>
    </row>
    <row r="130" spans="1:49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  <c r="AW130" s="58"/>
    </row>
    <row r="131" spans="1:49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1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0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0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1</v>
      </c>
      <c r="AG131" s="55">
        <f>AF137-AF131</f>
        <v>3</v>
      </c>
      <c r="AW131" s="58"/>
    </row>
    <row r="132" spans="1:49" s="55" customFormat="1" ht="12.75" hidden="1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1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1</v>
      </c>
      <c r="AF132" s="55">
        <f>SUM(B132:AE132)</f>
        <v>3</v>
      </c>
      <c r="AG132" s="55">
        <f>AF138-AF132</f>
        <v>0</v>
      </c>
      <c r="AW132" s="58"/>
    </row>
    <row r="133" spans="1:49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1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1</v>
      </c>
      <c r="AG133" s="55">
        <f>AF139-AF133</f>
        <v>3</v>
      </c>
      <c r="AW133" s="58"/>
    </row>
    <row r="134" spans="1:49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1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1</v>
      </c>
      <c r="AG134" s="55">
        <f>AF140-AF134</f>
        <v>2</v>
      </c>
      <c r="AW134" s="58"/>
    </row>
    <row r="135" spans="1:49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1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1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1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3</v>
      </c>
      <c r="AG135" s="55">
        <f>AF141-AF135</f>
        <v>1</v>
      </c>
      <c r="AW135" s="58"/>
    </row>
    <row r="136" spans="1:49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  <c r="AW136" s="58"/>
    </row>
    <row r="137" spans="1:49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0</v>
      </c>
      <c r="M137" s="60">
        <f>IF(M109=1,IF(L122=1,1,0),0)</f>
        <v>0</v>
      </c>
      <c r="N137" s="55">
        <f>IF(N109=1,IF(O122=1,1,0),0)</f>
        <v>1</v>
      </c>
      <c r="P137" s="60">
        <f>IF(P109=1,IF(O122=1,1,0),0)</f>
        <v>0</v>
      </c>
      <c r="Q137" s="55">
        <f>IF(Q109=1,IF(R122=1,1,0),0)</f>
        <v>0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1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1</v>
      </c>
      <c r="AE137" s="60">
        <f>IF(AE109=1,IF(AD122=1,1,0),0)</f>
        <v>0</v>
      </c>
      <c r="AF137" s="55">
        <f>SUM(B137:AE137)</f>
        <v>4</v>
      </c>
      <c r="AW137" s="58"/>
    </row>
    <row r="138" spans="1:49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0</v>
      </c>
      <c r="K138" s="55">
        <f>IF(K109=2,IF(L122=1,1,0),0)</f>
        <v>0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0</v>
      </c>
      <c r="T138" s="55">
        <f>IF(T109=2,IF(U122=1,1,0),0)</f>
        <v>1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1</v>
      </c>
      <c r="AF138" s="55">
        <f>SUM(B138:AE138)</f>
        <v>3</v>
      </c>
      <c r="AW138" s="58"/>
    </row>
    <row r="139" spans="1:49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0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1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0</v>
      </c>
      <c r="N139" s="55">
        <f>IF(N109=3,IF(O122=1,1,0),0)</f>
        <v>0</v>
      </c>
      <c r="P139" s="60">
        <f>IF(P109=3,IF(O122=1,1,0),0)</f>
        <v>1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1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1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4</v>
      </c>
      <c r="AW139" s="58"/>
    </row>
    <row r="140" spans="1:49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0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1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1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3</v>
      </c>
      <c r="AW140" s="58"/>
    </row>
    <row r="141" spans="1:49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1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1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1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1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4</v>
      </c>
      <c r="AW141" s="58"/>
    </row>
    <row r="142" spans="1:49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  <c r="AW142" s="58"/>
    </row>
    <row r="143" spans="1:49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0</v>
      </c>
      <c r="M143" s="60">
        <f>IF(M109=1,K129,0)</f>
        <v>0</v>
      </c>
      <c r="N143" s="55">
        <f>IF(N109=1,N129,0)</f>
        <v>50</v>
      </c>
      <c r="P143" s="60">
        <f>IF(P109=1,N129,0)</f>
        <v>0</v>
      </c>
      <c r="Q143" s="55">
        <f>IF(Q109=1,Q129,0)</f>
        <v>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50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50</v>
      </c>
      <c r="AE143" s="60">
        <f>IF(AE109=1,AC129,0)</f>
        <v>0</v>
      </c>
      <c r="AF143" s="55">
        <f>SUM(B143:AE143)</f>
        <v>200</v>
      </c>
      <c r="AW143" s="58"/>
    </row>
    <row r="144" spans="1:49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0</v>
      </c>
      <c r="J144" s="60">
        <f>IF(J109=2,H129,0)</f>
        <v>0</v>
      </c>
      <c r="K144" s="55">
        <f>IF(K109=2,K129,0)</f>
        <v>50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0</v>
      </c>
      <c r="T144" s="55">
        <f>IF(T109=2,T129,0)</f>
        <v>50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50</v>
      </c>
      <c r="AF144" s="55">
        <f>SUM(B144:AE144)</f>
        <v>200</v>
      </c>
      <c r="AW144" s="58"/>
    </row>
    <row r="145" spans="1:49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0</v>
      </c>
      <c r="E145" s="55">
        <f>IF(E109=3,E129,0)</f>
        <v>0</v>
      </c>
      <c r="G145" s="60">
        <f>IF(G109=3,E129,0)</f>
        <v>0</v>
      </c>
      <c r="H145" s="55">
        <f>IF(H109=3,H129,0)</f>
        <v>50</v>
      </c>
      <c r="J145" s="60">
        <f>IF(J109=3,H129,0)</f>
        <v>0</v>
      </c>
      <c r="K145" s="55">
        <f>IF(K109=3,K129,0)</f>
        <v>0</v>
      </c>
      <c r="M145" s="60">
        <f>IF(M109=3,K129,0)</f>
        <v>0</v>
      </c>
      <c r="N145" s="55">
        <f>IF(N109=3,N129,0)</f>
        <v>0</v>
      </c>
      <c r="P145" s="60">
        <f>IF(P109=3,N129,0)</f>
        <v>50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50</v>
      </c>
      <c r="W145" s="55">
        <f>IF(W109=3,W129,0)</f>
        <v>0</v>
      </c>
      <c r="Y145" s="60">
        <f>IF(Y109=3,W129,0)</f>
        <v>0</v>
      </c>
      <c r="Z145" s="55">
        <f>IF(Z109=3,Z129,0)</f>
        <v>50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200</v>
      </c>
      <c r="AW145" s="58"/>
    </row>
    <row r="146" spans="1:49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50</v>
      </c>
      <c r="N146" s="55">
        <f>IF(N109=4,N129,0)</f>
        <v>0</v>
      </c>
      <c r="P146" s="60">
        <f>IF(P109=4,N129,0)</f>
        <v>0</v>
      </c>
      <c r="Q146" s="55">
        <f>IF(Q109=4,Q129,0)</f>
        <v>50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50</v>
      </c>
      <c r="AC146" s="55">
        <f>IF(AC109=4,AC129,0)</f>
        <v>0</v>
      </c>
      <c r="AE146" s="60">
        <f>IF(AE109=4,AC129,0)</f>
        <v>0</v>
      </c>
      <c r="AF146" s="55">
        <f>SUM(B146:AE146)</f>
        <v>200</v>
      </c>
      <c r="AW146" s="58"/>
    </row>
    <row r="147" spans="1:49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50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50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50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50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200</v>
      </c>
      <c r="AW147" s="58"/>
    </row>
    <row r="148" spans="1:49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  <c r="AW148" s="58"/>
    </row>
    <row r="149" spans="1:49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2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0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0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0</v>
      </c>
      <c r="AE149" s="60">
        <f>IF(AE109=1,SUMIF(AE116:AE120,"&gt;0"),0)</f>
        <v>0</v>
      </c>
      <c r="AF149" s="55">
        <f>SUM(B149:AE149)</f>
        <v>2</v>
      </c>
      <c r="AG149" s="55">
        <f>AF157-AF149</f>
        <v>6</v>
      </c>
      <c r="AW149" s="58"/>
    </row>
    <row r="150" spans="1:49" s="55" customFormat="1" ht="12.75" hidden="1" customHeight="1" x14ac:dyDescent="0.2">
      <c r="A150" s="55" t="s">
        <v>98</v>
      </c>
      <c r="B150" s="55">
        <f>IF(B109=2,SUMIF(B116:B120,"&gt;0"),0)</f>
        <v>2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1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2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2</v>
      </c>
      <c r="AF150" s="55">
        <f>SUM(B150:AE150)</f>
        <v>7</v>
      </c>
      <c r="AG150" s="55">
        <f>AF158-AF150</f>
        <v>1</v>
      </c>
      <c r="AW150" s="58"/>
    </row>
    <row r="151" spans="1:49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0</v>
      </c>
      <c r="P151" s="60">
        <f>IF(P109=3,SUMIF(P116:P120,"&gt;0"),0)</f>
        <v>2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0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2</v>
      </c>
      <c r="AG151" s="55">
        <f>AF159-AF151</f>
        <v>6</v>
      </c>
      <c r="AW151" s="58"/>
    </row>
    <row r="152" spans="1:49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1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0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2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3</v>
      </c>
      <c r="AG152" s="55">
        <f>AF160-AF152</f>
        <v>5</v>
      </c>
      <c r="AW152" s="58"/>
    </row>
    <row r="153" spans="1:49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2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2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2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6</v>
      </c>
      <c r="AG153" s="55">
        <f>AF161-AF153</f>
        <v>2</v>
      </c>
      <c r="AW153" s="58"/>
    </row>
    <row r="154" spans="1:49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  <c r="AW154" s="58"/>
    </row>
    <row r="155" spans="1:49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  <c r="AW155" s="58"/>
    </row>
    <row r="156" spans="1:49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2</v>
      </c>
      <c r="V156" s="60"/>
      <c r="X156" s="55">
        <f>SUMIF(W149:Y153,"&gt;0")</f>
        <v>2</v>
      </c>
      <c r="Y156" s="60"/>
      <c r="AA156" s="55">
        <f>SUMIF(Z149:AB153,"&gt;0")</f>
        <v>2</v>
      </c>
      <c r="AB156" s="60"/>
      <c r="AD156" s="55">
        <f>SUMIF(AC149:AE153,"&gt;0")</f>
        <v>2</v>
      </c>
      <c r="AE156" s="60"/>
      <c r="AF156" s="59" t="s">
        <v>113</v>
      </c>
      <c r="AW156" s="58"/>
    </row>
    <row r="157" spans="1:49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0</v>
      </c>
      <c r="M157" s="60">
        <f>IF(M109=1,L156,0)</f>
        <v>0</v>
      </c>
      <c r="N157" s="55">
        <f>IF(N109=1,O156,0)</f>
        <v>2</v>
      </c>
      <c r="P157" s="60">
        <f>IF(P109=1,O156,0)</f>
        <v>0</v>
      </c>
      <c r="Q157" s="55">
        <f>IF(Q109=1,R156,0)</f>
        <v>0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2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2</v>
      </c>
      <c r="AE157" s="60">
        <f>IF(AE109=1,AD156,0)</f>
        <v>0</v>
      </c>
      <c r="AF157" s="55">
        <f>SUM(B157:AE157)</f>
        <v>8</v>
      </c>
      <c r="AW157" s="58"/>
    </row>
    <row r="158" spans="1:49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0</v>
      </c>
      <c r="J158" s="60">
        <f>IF(J109=2,I156,0)</f>
        <v>0</v>
      </c>
      <c r="K158" s="55">
        <f>IF(K109=2,L156,0)</f>
        <v>2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0</v>
      </c>
      <c r="T158" s="55">
        <f>IF(T109=2,U156,0)</f>
        <v>2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2</v>
      </c>
      <c r="AF158" s="55">
        <f>SUM(B158:AE158)</f>
        <v>8</v>
      </c>
      <c r="AW158" s="58"/>
    </row>
    <row r="159" spans="1:49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0</v>
      </c>
      <c r="E159" s="55">
        <f>IF(E109=3,F156,0)</f>
        <v>0</v>
      </c>
      <c r="G159" s="60">
        <f>IF(G109=3,F156,0)</f>
        <v>0</v>
      </c>
      <c r="H159" s="55">
        <f>IF(H109=3,I156,0)</f>
        <v>2</v>
      </c>
      <c r="J159" s="60">
        <f>IF(J109=3,I156,0)</f>
        <v>0</v>
      </c>
      <c r="K159" s="55">
        <f>IF(K109=3,L156,0)</f>
        <v>0</v>
      </c>
      <c r="M159" s="60">
        <f>IF(M109=3,L156,0)</f>
        <v>0</v>
      </c>
      <c r="N159" s="55">
        <f>IF(N109=3,O156,0)</f>
        <v>0</v>
      </c>
      <c r="P159" s="60">
        <f>IF(P109=3,O156,0)</f>
        <v>2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2</v>
      </c>
      <c r="W159" s="55">
        <f>IF(W109=3,X156,0)</f>
        <v>0</v>
      </c>
      <c r="Y159" s="60">
        <f>IF(Y109=3,X156,0)</f>
        <v>0</v>
      </c>
      <c r="Z159" s="55">
        <f>IF(Z109=3,AA156,0)</f>
        <v>2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8</v>
      </c>
      <c r="AW159" s="58"/>
    </row>
    <row r="160" spans="1:49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2</v>
      </c>
      <c r="N160" s="55">
        <f>IF(N109=4,O156,0)</f>
        <v>0</v>
      </c>
      <c r="P160" s="60">
        <f>IF(P109=4,O156,0)</f>
        <v>0</v>
      </c>
      <c r="Q160" s="55">
        <f>IF(Q109=4,R156,0)</f>
        <v>2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2</v>
      </c>
      <c r="AC160" s="55">
        <f>IF(AC109=4,AD156,0)</f>
        <v>0</v>
      </c>
      <c r="AE160" s="60">
        <f>IF(AE109=4,AD156,0)</f>
        <v>0</v>
      </c>
      <c r="AF160" s="55">
        <f>SUM(B160:AE160)</f>
        <v>8</v>
      </c>
      <c r="AW160" s="58"/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2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2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2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2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8</v>
      </c>
      <c r="AW161" s="58"/>
    </row>
    <row r="162" spans="1:54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BB162" s="130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Intense 13 Black Columbia</v>
      </c>
      <c r="C164" s="67">
        <f>VLOOKUP(B164,AU$3:AY$12,3,FALSE)</f>
        <v>1475.1822078119806</v>
      </c>
      <c r="D164" s="67">
        <f>IF(B157,B172,IF(D157,D172,C164))</f>
        <v>1475.1822078119806</v>
      </c>
      <c r="E164" s="67"/>
      <c r="F164" s="67"/>
      <c r="G164" s="67">
        <f>IF(E157,E172,IF(G157,G172,D164))</f>
        <v>1502.0371179298027</v>
      </c>
      <c r="H164" s="67"/>
      <c r="I164" s="67"/>
      <c r="J164" s="67">
        <f>IF(H157,H172,IF(J157,J172,G164))</f>
        <v>1502.0371179298027</v>
      </c>
      <c r="K164" s="67"/>
      <c r="L164" s="67"/>
      <c r="M164" s="67">
        <f>IF(K157,K172,IF(M157,M172,J164))</f>
        <v>1502.0371179298027</v>
      </c>
      <c r="N164" s="67"/>
      <c r="O164" s="67"/>
      <c r="P164" s="67">
        <f>IF(N157,N172,IF(P157,P172,M164))</f>
        <v>1460.0265094127656</v>
      </c>
      <c r="Q164" s="67"/>
      <c r="R164" s="67"/>
      <c r="S164" s="67">
        <f>IF(Q157,Q172,IF(S157,S172,P164))</f>
        <v>1460.0265094127656</v>
      </c>
      <c r="T164" s="67"/>
      <c r="U164" s="67"/>
      <c r="V164" s="67">
        <f>IF(T157,T172,IF(V157,V172,S164))</f>
        <v>1460.0265094127656</v>
      </c>
      <c r="W164" s="67"/>
      <c r="X164" s="67"/>
      <c r="Y164" s="67">
        <f>IF(W157,W172,IF(Y157,Y172,V164))</f>
        <v>1426.2856735974308</v>
      </c>
      <c r="Z164" s="67"/>
      <c r="AA164" s="67"/>
      <c r="AB164" s="67">
        <f>IF(Z157,Z172,IF(AB157,AB172,Y164))</f>
        <v>1426.2856735974308</v>
      </c>
      <c r="AC164" s="67"/>
      <c r="AD164" s="67"/>
      <c r="AE164" s="67">
        <f>IF(AC157,AC172,IF(AE157,AE172,AB164))</f>
        <v>1401.235994520837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Intense 13 Black Columbia</v>
      </c>
      <c r="AU164" s="63">
        <f>AE164</f>
        <v>1401.235994520837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SC Midlands KP Boys</v>
      </c>
      <c r="C165" s="67">
        <f>VLOOKUP(B165,AU$3:AY$12,3,FALSE)</f>
        <v>1456.291164140775</v>
      </c>
      <c r="D165" s="67">
        <f>IF(B158,B172,IF(D158,D172,C165))</f>
        <v>1483.1514505759108</v>
      </c>
      <c r="E165" s="67"/>
      <c r="F165" s="67"/>
      <c r="G165" s="67">
        <f>IF(E158,E172,IF(G158,G172,D165))</f>
        <v>1483.1514505759108</v>
      </c>
      <c r="H165" s="67"/>
      <c r="I165" s="67"/>
      <c r="J165" s="67">
        <f>IF(H158,H172,IF(J158,J172,G165))</f>
        <v>1483.1514505759108</v>
      </c>
      <c r="K165" s="67"/>
      <c r="L165" s="67"/>
      <c r="M165" s="67">
        <f>IF(K158,K172,IF(M158,M172,J165))</f>
        <v>1474.9415035232498</v>
      </c>
      <c r="N165" s="67"/>
      <c r="O165" s="67"/>
      <c r="P165" s="67">
        <f>IF(N158,N172,IF(P158,P172,M165))</f>
        <v>1474.9415035232498</v>
      </c>
      <c r="Q165" s="67"/>
      <c r="R165" s="67"/>
      <c r="S165" s="67">
        <f>IF(Q158,Q172,IF(S158,S172,P165))</f>
        <v>1474.9415035232498</v>
      </c>
      <c r="T165" s="67"/>
      <c r="U165" s="67"/>
      <c r="V165" s="67">
        <f>IF(T158,T172,IF(V158,V172,S165))</f>
        <v>1502.9692232059679</v>
      </c>
      <c r="W165" s="67"/>
      <c r="X165" s="67"/>
      <c r="Y165" s="67">
        <f>IF(W158,W172,IF(Y158,Y172,V165))</f>
        <v>1502.9692232059679</v>
      </c>
      <c r="Z165" s="67"/>
      <c r="AA165" s="67"/>
      <c r="AB165" s="67">
        <f>IF(Z158,Z172,IF(AB158,AB172,Y165))</f>
        <v>1502.9692232059679</v>
      </c>
      <c r="AC165" s="67"/>
      <c r="AD165" s="67"/>
      <c r="AE165" s="67">
        <f>IF(AC158,AC172,IF(AE158,AE172,AB165))</f>
        <v>1528.0189022825616</v>
      </c>
      <c r="AF165" s="4"/>
      <c r="AG165" s="4"/>
      <c r="AJ165" s="4"/>
      <c r="AL165" s="4"/>
      <c r="AM165" s="4"/>
      <c r="AN165" s="4"/>
      <c r="AO165" s="4"/>
      <c r="AT165" s="63" t="str">
        <f>B165</f>
        <v>SC Midlands KP Boys</v>
      </c>
      <c r="AU165" s="63">
        <f>AE165</f>
        <v>1528.0189022825616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VolleyOneAcademy 12-Chels</v>
      </c>
      <c r="C166" s="67">
        <f>VLOOKUP(B166,AU$3:AY$12,3,FALSE)</f>
        <v>1426.4507672949526</v>
      </c>
      <c r="D166" s="67">
        <f>IF(B159,B172,IF(D159,D172,C166))</f>
        <v>1426.4507672949526</v>
      </c>
      <c r="E166" s="67"/>
      <c r="F166" s="67"/>
      <c r="G166" s="67">
        <f>IF(E159,E172,IF(G159,G172,D166))</f>
        <v>1426.4507672949526</v>
      </c>
      <c r="H166" s="67"/>
      <c r="I166" s="67"/>
      <c r="J166" s="67">
        <f>IF(H159,H172,IF(J159,J172,G166))</f>
        <v>1389.5788135035177</v>
      </c>
      <c r="K166" s="67"/>
      <c r="L166" s="67"/>
      <c r="M166" s="67">
        <f>IF(K159,K172,IF(M159,M172,J166))</f>
        <v>1389.5788135035177</v>
      </c>
      <c r="N166" s="67"/>
      <c r="O166" s="67"/>
      <c r="P166" s="67">
        <f>IF(N159,N172,IF(P159,P172,M166))</f>
        <v>1431.5894220205548</v>
      </c>
      <c r="Q166" s="67"/>
      <c r="R166" s="67"/>
      <c r="S166" s="67">
        <f>IF(Q159,Q172,IF(S159,S172,P166))</f>
        <v>1431.5894220205548</v>
      </c>
      <c r="T166" s="67"/>
      <c r="U166" s="67"/>
      <c r="V166" s="67">
        <f>IF(T159,T172,IF(V159,V172,S166))</f>
        <v>1403.5617023378368</v>
      </c>
      <c r="W166" s="67"/>
      <c r="X166" s="67"/>
      <c r="Y166" s="67">
        <f>IF(W159,W172,IF(Y159,Y172,V166))</f>
        <v>1403.5617023378368</v>
      </c>
      <c r="Z166" s="67"/>
      <c r="AA166" s="67"/>
      <c r="AB166" s="67">
        <f>IF(Z159,Z172,IF(AB159,AB172,Y166))</f>
        <v>1368.3971990345021</v>
      </c>
      <c r="AC166" s="67"/>
      <c r="AD166" s="67"/>
      <c r="AE166" s="67">
        <f>IF(AC159,AC172,IF(AE159,AE172,AB166))</f>
        <v>1368.3971990345021</v>
      </c>
      <c r="AF166" s="4"/>
      <c r="AG166" s="4"/>
      <c r="AJ166" s="4"/>
      <c r="AL166" s="4"/>
      <c r="AM166" s="4"/>
      <c r="AN166" s="4"/>
      <c r="AO166" s="4"/>
      <c r="AT166" s="63" t="str">
        <f>B166</f>
        <v>VolleyOneAcademy 12-Chels</v>
      </c>
      <c r="AU166" s="63">
        <f>AE166</f>
        <v>1368.3971990345021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Emerald City 12-2</v>
      </c>
      <c r="C167" s="67">
        <f>VLOOKUP(B167,AU$3:AY$12,3,FALSE)</f>
        <v>1418.8311236422678</v>
      </c>
      <c r="D167" s="67">
        <f>IF(B160,B172,IF(D160,D172,C167))</f>
        <v>1418.8311236422678</v>
      </c>
      <c r="E167" s="67"/>
      <c r="F167" s="67"/>
      <c r="G167" s="67">
        <f>IF(E160,E172,IF(G160,G172,D167))</f>
        <v>1391.9762135244457</v>
      </c>
      <c r="H167" s="67"/>
      <c r="I167" s="67"/>
      <c r="J167" s="67">
        <f>IF(H160,H172,IF(J160,J172,G167))</f>
        <v>1391.9762135244457</v>
      </c>
      <c r="K167" s="67"/>
      <c r="L167" s="67"/>
      <c r="M167" s="67">
        <f>IF(K160,K172,IF(M160,M172,J167))</f>
        <v>1400.1861605771066</v>
      </c>
      <c r="N167" s="67"/>
      <c r="O167" s="67"/>
      <c r="P167" s="67">
        <f>IF(N160,N172,IF(P160,P172,M167))</f>
        <v>1400.1861605771066</v>
      </c>
      <c r="Q167" s="67"/>
      <c r="R167" s="67"/>
      <c r="S167" s="67">
        <f>IF(Q160,Q172,IF(S160,S172,P167))</f>
        <v>1369.0908820200139</v>
      </c>
      <c r="T167" s="67"/>
      <c r="U167" s="67"/>
      <c r="V167" s="67">
        <f>IF(T160,T172,IF(V160,V172,S167))</f>
        <v>1369.0908820200139</v>
      </c>
      <c r="W167" s="67"/>
      <c r="X167" s="67"/>
      <c r="Y167" s="67">
        <f>IF(W160,W172,IF(Y160,Y172,V167))</f>
        <v>1369.0908820200139</v>
      </c>
      <c r="Z167" s="67"/>
      <c r="AA167" s="67"/>
      <c r="AB167" s="67">
        <f>IF(Z160,Z172,IF(AB160,AB172,Y167))</f>
        <v>1404.2553853233485</v>
      </c>
      <c r="AC167" s="67"/>
      <c r="AD167" s="67"/>
      <c r="AE167" s="67">
        <f>IF(AC160,AC172,IF(AE160,AE172,AB167))</f>
        <v>1404.2553853233485</v>
      </c>
      <c r="AF167" s="4"/>
      <c r="AG167" s="4"/>
      <c r="AJ167" s="4"/>
      <c r="AL167" s="4"/>
      <c r="AM167" s="4"/>
      <c r="AN167" s="4"/>
      <c r="AO167" s="4"/>
      <c r="AT167" s="63" t="str">
        <f>B167</f>
        <v>Emerald City 12-2</v>
      </c>
      <c r="AU167" s="63">
        <f>AE167</f>
        <v>1404.2553853233485</v>
      </c>
      <c r="AW167" s="66"/>
      <c r="BB167" s="66"/>
    </row>
    <row r="168" spans="1:54" s="63" customFormat="1" hidden="1" x14ac:dyDescent="0.2">
      <c r="A168" s="67">
        <v>5</v>
      </c>
      <c r="B168" s="67" t="str">
        <f>E101</f>
        <v>Fort Mill 12 Carrie</v>
      </c>
      <c r="C168" s="67">
        <f>VLOOKUP(B168,AU$3:AY$12,3,FALSE)</f>
        <v>1400</v>
      </c>
      <c r="D168" s="67">
        <f>IF(B161,B172,IF(D161,D172,C168))</f>
        <v>1373.1397135648642</v>
      </c>
      <c r="E168" s="67"/>
      <c r="F168" s="67"/>
      <c r="G168" s="67">
        <f>IF(E161,E172,IF(G161,G172,D168))</f>
        <v>1373.1397135648642</v>
      </c>
      <c r="H168" s="67"/>
      <c r="I168" s="67"/>
      <c r="J168" s="67">
        <f>IF(H161,H172,IF(J161,J172,G168))</f>
        <v>1410.0116673562991</v>
      </c>
      <c r="K168" s="67"/>
      <c r="L168" s="67"/>
      <c r="M168" s="67">
        <f>IF(K161,K172,IF(M161,M172,J168))</f>
        <v>1410.0116673562991</v>
      </c>
      <c r="N168" s="67"/>
      <c r="O168" s="67"/>
      <c r="P168" s="67">
        <f>IF(N161,N172,IF(P161,P172,M168))</f>
        <v>1410.0116673562991</v>
      </c>
      <c r="Q168" s="67"/>
      <c r="R168" s="67"/>
      <c r="S168" s="67">
        <f>IF(Q161,Q172,IF(S161,S172,P168))</f>
        <v>1441.1069459133919</v>
      </c>
      <c r="T168" s="67"/>
      <c r="U168" s="67"/>
      <c r="V168" s="67">
        <f>IF(T161,T172,IF(V161,V172,S168))</f>
        <v>1441.1069459133919</v>
      </c>
      <c r="W168" s="67"/>
      <c r="X168" s="67"/>
      <c r="Y168" s="67">
        <f>IF(W161,W172,IF(Y161,Y172,V168))</f>
        <v>1474.8477817287267</v>
      </c>
      <c r="Z168" s="67"/>
      <c r="AA168" s="67"/>
      <c r="AB168" s="67">
        <f>IF(Z161,Z172,IF(AB161,AB172,Y168))</f>
        <v>1474.8477817287267</v>
      </c>
      <c r="AC168" s="67"/>
      <c r="AD168" s="67"/>
      <c r="AE168" s="67">
        <f>IF(AC161,AC172,IF(AE161,AE172,AB168))</f>
        <v>1474.8477817287267</v>
      </c>
      <c r="AF168" s="4"/>
      <c r="AG168" s="4"/>
      <c r="AJ168" s="4"/>
      <c r="AL168" s="4"/>
      <c r="AM168" s="4"/>
      <c r="AN168" s="4"/>
      <c r="AO168" s="4"/>
      <c r="AT168" s="63" t="str">
        <f>B168</f>
        <v>Fort Mill 12 Carrie</v>
      </c>
      <c r="AU168" s="63">
        <f>AE168</f>
        <v>1474.8477817287267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1456.291164140775</v>
      </c>
      <c r="C170" s="67">
        <v>1</v>
      </c>
      <c r="D170" s="67">
        <f>VLOOKUP(D109,$A164:$AE168,3,FALSE)</f>
        <v>1400</v>
      </c>
      <c r="E170" s="67">
        <f>VLOOKUP(E109,$A164:$AE168,4,FALSE)</f>
        <v>1475.1822078119806</v>
      </c>
      <c r="F170" s="67">
        <v>2</v>
      </c>
      <c r="G170" s="67">
        <f>VLOOKUP(G109,$A164:$AE168,4,FALSE)</f>
        <v>1418.8311236422678</v>
      </c>
      <c r="H170" s="67">
        <f>VLOOKUP(H109,$A164:$AE168,7,FALSE)</f>
        <v>1426.4507672949526</v>
      </c>
      <c r="I170" s="67">
        <v>3</v>
      </c>
      <c r="J170" s="67">
        <f>VLOOKUP(J109,$A164:$AE168,7,FALSE)</f>
        <v>1373.1397135648642</v>
      </c>
      <c r="K170" s="67">
        <f>VLOOKUP(K109,$A164:$AE168,10,FALSE)</f>
        <v>1483.1514505759108</v>
      </c>
      <c r="L170" s="67">
        <v>4</v>
      </c>
      <c r="M170" s="67">
        <f>VLOOKUP(M109,$A164:$AE168,10,FALSE)</f>
        <v>1391.9762135244457</v>
      </c>
      <c r="N170" s="67">
        <f>VLOOKUP(N109,$A164:$AE168,13,FALSE)</f>
        <v>1502.0371179298027</v>
      </c>
      <c r="O170" s="67">
        <v>5</v>
      </c>
      <c r="P170" s="67">
        <f>VLOOKUP(P109,$A164:$AE168,13,FALSE)</f>
        <v>1389.5788135035177</v>
      </c>
      <c r="Q170" s="67">
        <f>VLOOKUP(Q109,$A164:$AE168,16,FALSE)</f>
        <v>1400.1861605771066</v>
      </c>
      <c r="R170" s="67">
        <v>6</v>
      </c>
      <c r="S170" s="67">
        <f>VLOOKUP(S109,$A164:$AE168,16,FALSE)</f>
        <v>1410.0116673562991</v>
      </c>
      <c r="T170" s="67">
        <f>VLOOKUP(T109,$A164:$AE168,19,FALSE)</f>
        <v>1474.9415035232498</v>
      </c>
      <c r="U170" s="67">
        <v>7</v>
      </c>
      <c r="V170" s="67">
        <f>VLOOKUP(V109,$A164:$AE168,19,FALSE)</f>
        <v>1431.5894220205548</v>
      </c>
      <c r="W170" s="67">
        <f>VLOOKUP(W109,$A164:$AE168,22,FALSE)</f>
        <v>1460.0265094127656</v>
      </c>
      <c r="X170" s="67">
        <v>8</v>
      </c>
      <c r="Y170" s="67">
        <f>VLOOKUP(Y109,$A164:$AE168,22,FALSE)</f>
        <v>1441.1069459133919</v>
      </c>
      <c r="Z170" s="67">
        <f>VLOOKUP(Z109,$A164:$AE168,25,FALSE)</f>
        <v>1403.5617023378368</v>
      </c>
      <c r="AA170" s="67">
        <v>9</v>
      </c>
      <c r="AB170" s="67">
        <f>VLOOKUP(AB109,$A164:$AE168,25,FALSE)</f>
        <v>1369.0908820200139</v>
      </c>
      <c r="AC170" s="67">
        <f>VLOOKUP(AC109,$A164:$AE168,28,FALSE)</f>
        <v>1426.2856735974308</v>
      </c>
      <c r="AD170" s="67">
        <v>10</v>
      </c>
      <c r="AE170" s="67">
        <f>VLOOKUP(AE109,$A164:$AE168,28,FALSE)</f>
        <v>1502.9692232059679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1.1606160489020068</v>
      </c>
      <c r="C171" s="68"/>
      <c r="D171" s="68">
        <f>1/(1+(10^-((D170-B170)/400)))*(B121+D121)</f>
        <v>0.83938395109799335</v>
      </c>
      <c r="E171" s="68">
        <f>1/(1+(10^-((E170-G170)/400)))*(E121+G121)</f>
        <v>1.1607840588180569</v>
      </c>
      <c r="F171" s="68"/>
      <c r="G171" s="68">
        <f>1/(1+(10^-((G170-E170)/400)))*(E121+G121)</f>
        <v>0.83921594118194298</v>
      </c>
      <c r="H171" s="68">
        <f>1/(1+(10^-((H170-J170)/400)))*(H121+J121)</f>
        <v>1.1522485559823394</v>
      </c>
      <c r="I171" s="68"/>
      <c r="J171" s="68">
        <f>1/(1+(10^-((J170-H170)/400)))*(H121+J121)</f>
        <v>0.84775144401766045</v>
      </c>
      <c r="K171" s="68">
        <f>1/(1+(10^-((K170-M170)/400)))*(K121+M121)</f>
        <v>1.256560845395656</v>
      </c>
      <c r="L171" s="68"/>
      <c r="M171" s="68">
        <f>1/(1+(10^-((M170-K170)/400)))*(K121+M121)</f>
        <v>0.74343915460434395</v>
      </c>
      <c r="N171" s="68">
        <f>1/(1+(10^-((N170-P170)/400)))*(N121+P121)</f>
        <v>1.3128315161574118</v>
      </c>
      <c r="O171" s="68"/>
      <c r="P171" s="68">
        <f>1/(1+(10^-((P170-N170)/400)))*(N121+P121)</f>
        <v>0.68716848384258844</v>
      </c>
      <c r="Q171" s="68">
        <f>1/(1+(10^-((Q170-S170)/400)))*(Q121+S121)</f>
        <v>0.97172745490914758</v>
      </c>
      <c r="R171" s="68"/>
      <c r="S171" s="68">
        <f>1/(1+(10^-((S170-Q170)/400)))*(Q121+S121)</f>
        <v>1.0282725450908523</v>
      </c>
      <c r="T171" s="68">
        <f>1/(1+(10^-((T170-V170)/400)))*(T121+V121)</f>
        <v>1.1241337599150627</v>
      </c>
      <c r="U171" s="68"/>
      <c r="V171" s="68">
        <f>1/(1+(10^-((V170-T170)/400)))*(T121+V121)</f>
        <v>0.8758662400849373</v>
      </c>
      <c r="W171" s="68">
        <f>1/(1+(10^-((W170-Y170)/400)))*(W121+Y121)</f>
        <v>1.0544011192292089</v>
      </c>
      <c r="X171" s="68"/>
      <c r="Y171" s="68">
        <f>1/(1+(10^-((Y170-W170)/400)))*(W121+Y121)</f>
        <v>0.94559888077079113</v>
      </c>
      <c r="Z171" s="68">
        <f>1/(1+(10^-((Z170-AB170)/400)))*(Z121+AB121)</f>
        <v>1.0988907282292042</v>
      </c>
      <c r="AA171" s="68"/>
      <c r="AB171" s="68">
        <f>1/(1+(10^-((AB170-Z170)/400)))*(Z121+AB121)</f>
        <v>0.90110927177079592</v>
      </c>
      <c r="AC171" s="68">
        <f>1/(1+(10^-((AC170-AE170)/400)))*(AC121+AE121)</f>
        <v>0.78280247114355117</v>
      </c>
      <c r="AD171" s="68"/>
      <c r="AE171" s="68">
        <f>1/(1+(10^-((AE170-AC170)/400)))*(AC121+AE121)</f>
        <v>1.2171975288564489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1483.1514505759108</v>
      </c>
      <c r="C172" s="74"/>
      <c r="D172" s="74">
        <f>D170+(D121-D171)*$BA$1</f>
        <v>1373.1397135648642</v>
      </c>
      <c r="E172" s="74">
        <f>E170+(E121-E171)*$BA$1</f>
        <v>1502.0371179298027</v>
      </c>
      <c r="F172" s="74"/>
      <c r="G172" s="74">
        <f>G170+(G121-G171)*$BA$1</f>
        <v>1391.9762135244457</v>
      </c>
      <c r="H172" s="74">
        <f>H170+(H121-H171)*$BA$1</f>
        <v>1389.5788135035177</v>
      </c>
      <c r="I172" s="74"/>
      <c r="J172" s="74">
        <f>J170+(J121-J171)*$BA$1</f>
        <v>1410.0116673562991</v>
      </c>
      <c r="K172" s="74">
        <f>K170+(K121-K171)*$BA$1</f>
        <v>1474.9415035232498</v>
      </c>
      <c r="L172" s="74"/>
      <c r="M172" s="74">
        <f>M170+(M121-M171)*$BA$1</f>
        <v>1400.1861605771066</v>
      </c>
      <c r="N172" s="74">
        <f>N170+(N121-N171)*$BA$1</f>
        <v>1460.0265094127656</v>
      </c>
      <c r="O172" s="74"/>
      <c r="P172" s="74">
        <f>P170+(P121-P171)*$BA$1</f>
        <v>1431.5894220205548</v>
      </c>
      <c r="Q172" s="74">
        <f>Q170+(Q121-Q171)*$BA$1</f>
        <v>1369.0908820200139</v>
      </c>
      <c r="R172" s="74"/>
      <c r="S172" s="74">
        <f>S170+(S121-S171)*$BA$1</f>
        <v>1441.1069459133919</v>
      </c>
      <c r="T172" s="74">
        <f>T170+(T121-T171)*$BA$1</f>
        <v>1502.9692232059679</v>
      </c>
      <c r="U172" s="74"/>
      <c r="V172" s="74">
        <f>V170+(V121-V171)*$BA$1</f>
        <v>1403.5617023378368</v>
      </c>
      <c r="W172" s="74">
        <f>W170+(W121-W171)*$BA$1</f>
        <v>1426.2856735974308</v>
      </c>
      <c r="X172" s="74"/>
      <c r="Y172" s="74">
        <f>Y170+(Y121-Y171)*$BA$1</f>
        <v>1474.8477817287267</v>
      </c>
      <c r="Z172" s="74">
        <f>Z170+(Z121-Z171)*$BA$1</f>
        <v>1368.3971990345021</v>
      </c>
      <c r="AA172" s="74"/>
      <c r="AB172" s="74">
        <f>AB170+(AB121-AB171)*$BA$1</f>
        <v>1404.2553853233485</v>
      </c>
      <c r="AC172" s="74">
        <f>AC170+(AC121-AC171)*$BA$1</f>
        <v>1401.235994520837</v>
      </c>
      <c r="AD172" s="74"/>
      <c r="AE172" s="74">
        <f>AE170+(AE121-AE171)*$BA$1</f>
        <v>1528.0189022825616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  <c r="AW174" s="66"/>
    </row>
    <row r="175" spans="1:54" s="63" customFormat="1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W175" s="66"/>
    </row>
    <row r="176" spans="1:54" ht="21" thickBot="1" x14ac:dyDescent="0.35">
      <c r="A176" s="345" t="s">
        <v>120</v>
      </c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</row>
    <row r="177" spans="1:53" ht="13.5" thickBot="1" x14ac:dyDescent="0.25">
      <c r="A177" s="346" t="s">
        <v>121</v>
      </c>
      <c r="B177" s="348" t="s">
        <v>122</v>
      </c>
      <c r="C177" s="349"/>
      <c r="D177" s="349"/>
      <c r="E177" s="349"/>
      <c r="F177" s="349"/>
      <c r="G177" s="349"/>
      <c r="H177" s="349"/>
      <c r="I177" s="349"/>
      <c r="J177" s="349"/>
      <c r="K177" s="350"/>
      <c r="L177" s="348" t="s">
        <v>123</v>
      </c>
      <c r="M177" s="349"/>
      <c r="N177" s="349"/>
      <c r="O177" s="349"/>
      <c r="P177" s="349"/>
      <c r="Q177" s="349"/>
      <c r="R177" s="349"/>
      <c r="S177" s="349"/>
      <c r="T177" s="349"/>
      <c r="U177" s="350"/>
      <c r="V177" s="348" t="s">
        <v>124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348" t="s">
        <v>125</v>
      </c>
      <c r="AG177" s="349"/>
      <c r="AH177" s="349"/>
      <c r="AI177" s="349"/>
      <c r="AJ177" s="349"/>
      <c r="AK177" s="349"/>
      <c r="AL177" s="349"/>
      <c r="AM177" s="349"/>
      <c r="AN177" s="349"/>
      <c r="AO177" s="350"/>
    </row>
    <row r="178" spans="1:53" ht="13.5" thickBot="1" x14ac:dyDescent="0.25">
      <c r="A178" s="347"/>
      <c r="B178" s="354" t="s">
        <v>10</v>
      </c>
      <c r="C178" s="355"/>
      <c r="D178" s="355"/>
      <c r="E178" s="355"/>
      <c r="F178" s="355"/>
      <c r="G178" s="356"/>
      <c r="H178" s="354" t="s">
        <v>126</v>
      </c>
      <c r="I178" s="355"/>
      <c r="J178" s="355"/>
      <c r="K178" s="356"/>
      <c r="L178" s="354" t="s">
        <v>10</v>
      </c>
      <c r="M178" s="355"/>
      <c r="N178" s="355"/>
      <c r="O178" s="355"/>
      <c r="P178" s="355"/>
      <c r="Q178" s="356"/>
      <c r="R178" s="354" t="s">
        <v>126</v>
      </c>
      <c r="S178" s="355"/>
      <c r="T178" s="355"/>
      <c r="U178" s="356"/>
      <c r="V178" s="354" t="s">
        <v>10</v>
      </c>
      <c r="W178" s="355"/>
      <c r="X178" s="355"/>
      <c r="Y178" s="355"/>
      <c r="Z178" s="355"/>
      <c r="AA178" s="356"/>
      <c r="AB178" s="354" t="s">
        <v>126</v>
      </c>
      <c r="AC178" s="355"/>
      <c r="AD178" s="355"/>
      <c r="AE178" s="356"/>
      <c r="AF178" s="354" t="s">
        <v>10</v>
      </c>
      <c r="AG178" s="355"/>
      <c r="AH178" s="355"/>
      <c r="AI178" s="355"/>
      <c r="AJ178" s="355"/>
      <c r="AK178" s="356"/>
      <c r="AL178" s="354" t="s">
        <v>126</v>
      </c>
      <c r="AM178" s="355"/>
      <c r="AN178" s="355"/>
      <c r="AO178" s="356"/>
    </row>
    <row r="179" spans="1:53" x14ac:dyDescent="0.2">
      <c r="A179" s="82" t="s">
        <v>127</v>
      </c>
      <c r="B179" s="412" t="str">
        <f>IF($AF$8=1,$E$8,IF($AF$10=1,$E$10,IF($AF$12=1,$E$12,IF($AF$14=1,$E$14,IF($AF$16=1,$E$16,"1st Place "&amp;$A179)))))</f>
        <v>CSRA Heat 12 Gold</v>
      </c>
      <c r="C179" s="413"/>
      <c r="D179" s="413"/>
      <c r="E179" s="413"/>
      <c r="F179" s="413"/>
      <c r="G179" s="413"/>
      <c r="H179" s="414" t="str">
        <f>IF($AF$8=1,$E$9,IF($AF$10=1,$E$11,IF($AF$12=1,$E$13,IF($AF$14=1,$E$15,IF($AF$16=1,$E$17,"1st Place "&amp;$A179)))))</f>
        <v>fj2csrah1pm</v>
      </c>
      <c r="I179" s="414"/>
      <c r="J179" s="414"/>
      <c r="K179" s="415"/>
      <c r="L179" s="412" t="str">
        <f>IF($AF$8=2,$E$8,IF($AF$10=2,$E$10,IF($AF$12=2,$E$12,IF($AF$14=2,$E$14,IF($AF$16=2,$E$16,"2nd Place "&amp;$A179)))))</f>
        <v>Crossfire 12</v>
      </c>
      <c r="M179" s="413"/>
      <c r="N179" s="413"/>
      <c r="O179" s="413"/>
      <c r="P179" s="413"/>
      <c r="Q179" s="413"/>
      <c r="R179" s="414" t="str">
        <f>IF($AF$8=2,$E$9,IF($AF$10=2,$E$11,IF($AF$12=2,$E$13,IF($AF$14=2,$E$15,IF($AF$16=2,$E$17,"2nd Place "&amp;$A179)))))</f>
        <v>fj2crosf1pm</v>
      </c>
      <c r="S179" s="414"/>
      <c r="T179" s="414"/>
      <c r="U179" s="415"/>
      <c r="V179" s="412" t="str">
        <f>IF($AF$8=3,$E$8,IF($AF$10=3,$E$10,IF($AF$12=3,$E$12,IF($AF$14=3,$E$14,IF($AF$16=3,$E$16,"3rd Place "&amp;$A179)))))</f>
        <v>SCWE12FLYERS</v>
      </c>
      <c r="W179" s="413"/>
      <c r="X179" s="413"/>
      <c r="Y179" s="413"/>
      <c r="Z179" s="413"/>
      <c r="AA179" s="413"/>
      <c r="AB179" s="414" t="str">
        <f>IF($AF$8=3,$E$9,IF($AF$10=3,$E$11,IF($AF$12=3,$E$13,IF($AF$14=3,$E$15,IF($AF$16=3,$E$17,"3rd Place "&amp;$A179)))))</f>
        <v>fj2scwea1pm</v>
      </c>
      <c r="AC179" s="414"/>
      <c r="AD179" s="414"/>
      <c r="AE179" s="415"/>
      <c r="AF179" s="412" t="str">
        <f>IF($AF$8=4,$E$8,IF($AF$10=4,$E$10,IF($AF$12=4,$E$12,IF($AF$14=4,$E$14,IF($AF$16=4,$E$16,"4th Place "&amp;$A179)))))</f>
        <v>Palm Strikers 12 Premier</v>
      </c>
      <c r="AG179" s="413"/>
      <c r="AH179" s="413"/>
      <c r="AI179" s="413"/>
      <c r="AJ179" s="413"/>
      <c r="AK179" s="413"/>
      <c r="AL179" s="414" t="str">
        <f>IF($AF$8=4,$E$9,IF($AF$10=4,$E$11,IF($AF$12=4,$E$13,IF($AF$14=4,$E$15,IF($AF$16=4,$E$17,"4th Place "&amp;$A179)))))</f>
        <v>fj2pstri2pm</v>
      </c>
      <c r="AM179" s="414"/>
      <c r="AN179" s="414"/>
      <c r="AO179" s="415"/>
    </row>
    <row r="180" spans="1:53" ht="13.5" thickBot="1" x14ac:dyDescent="0.25">
      <c r="A180" s="83" t="s">
        <v>128</v>
      </c>
      <c r="B180" s="416" t="str">
        <f>IF($AF$93=1,$E$93,IF($AF$95=1,$E$95,IF($AF$97=1,$E$97,IF($AF$99=1,$E$99,IF($AF$101=1,$E$101,"1st Place "&amp;$A180)))))</f>
        <v>SC Midlands KP Boys</v>
      </c>
      <c r="C180" s="417"/>
      <c r="D180" s="417"/>
      <c r="E180" s="417"/>
      <c r="F180" s="417"/>
      <c r="G180" s="417"/>
      <c r="H180" s="418" t="str">
        <f>IF($AF$93=1,$E$94,IF($AF$95=1,$E$96,IF($AF$97=1,$E$98,IF($AF$99=1,$E$100,IF($AF$101=1,$E$102,"1st Place "&amp;$A180)))))</f>
        <v>fj2scmid3pm</v>
      </c>
      <c r="I180" s="418"/>
      <c r="J180" s="418"/>
      <c r="K180" s="419"/>
      <c r="L180" s="416" t="str">
        <f>IF($AF$93=2,$E$93,IF($AF$95=2,$E$95,IF($AF$97=2,$E$97,IF($AF$99=2,$E$99,IF($AF$101=2,$E$101,"2nd Place "&amp;$A180)))))</f>
        <v>Fort Mill 12 Carrie</v>
      </c>
      <c r="M180" s="417"/>
      <c r="N180" s="417"/>
      <c r="O180" s="417"/>
      <c r="P180" s="417"/>
      <c r="Q180" s="417"/>
      <c r="R180" s="418" t="str">
        <f>IF($AF$93=2,$E$94,IF($AF$95=2,$E$96,IF($AF$97=2,$E$98,IF($AF$99=2,$E$100,IF($AF$101=2,$E$102,"2nd Place "&amp;$A180)))))</f>
        <v>fj2fortm1pm</v>
      </c>
      <c r="S180" s="418"/>
      <c r="T180" s="418"/>
      <c r="U180" s="419"/>
      <c r="V180" s="416" t="str">
        <f>IF($AF$93=3,$E$93,IF($AF$95=3,$E$95,IF($AF$97=3,$E$97,IF($AF$99=3,$E$99,IF($AF$101=3,$E$101,"3rd Place "&amp;$A180)))))</f>
        <v>Emerald City 12-2</v>
      </c>
      <c r="W180" s="417"/>
      <c r="X180" s="417"/>
      <c r="Y180" s="417"/>
      <c r="Z180" s="417"/>
      <c r="AA180" s="417"/>
      <c r="AB180" s="418" t="str">
        <f>IF($AF$93=3,$E$94,IF($AF$95=3,$E$96,IF($AF$97=3,$E$98,IF($AF$99=3,$E$100,IF($AF$101=3,$E$102,"3rd Place "&amp;$A180)))))</f>
        <v>fj2ecity2pm</v>
      </c>
      <c r="AC180" s="418"/>
      <c r="AD180" s="418"/>
      <c r="AE180" s="419"/>
      <c r="AF180" s="416" t="str">
        <f>IF($AF$93=4,$E$93,IF($AF$95=4,$E$95,IF($AF$97=4,$E$97,IF($AF$99=4,$E$99,IF($AF$101=4,$E$101,"4th Place "&amp;$A180)))))</f>
        <v>VolleyOneAcademy 12-Chels</v>
      </c>
      <c r="AG180" s="417"/>
      <c r="AH180" s="417"/>
      <c r="AI180" s="417"/>
      <c r="AJ180" s="417"/>
      <c r="AK180" s="417"/>
      <c r="AL180" s="418" t="str">
        <f>IF($AF$93=4,$E$94,IF($AF$95=4,$E$96,IF($AF$97=4,$E$98,IF($AF$99=4,$E$100,IF($AF$101=4,$E$102,"4th Place "&amp;$A180)))))</f>
        <v>fj2vonea1pm</v>
      </c>
      <c r="AM180" s="418"/>
      <c r="AN180" s="418"/>
      <c r="AO180" s="41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W181" s="130"/>
      <c r="AX181" s="4"/>
      <c r="AY181" s="4"/>
      <c r="AZ181" s="4"/>
      <c r="BA181" s="4"/>
    </row>
    <row r="182" spans="1:53" ht="15.75" x14ac:dyDescent="0.25">
      <c r="A182" s="426" t="s">
        <v>129</v>
      </c>
      <c r="B182" s="426"/>
      <c r="C182" s="426"/>
      <c r="D182" s="426"/>
      <c r="E182" s="426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T182" s="86"/>
      <c r="AU182" s="86"/>
      <c r="AV182" s="86"/>
    </row>
    <row r="183" spans="1:53" ht="14.25" x14ac:dyDescent="0.2">
      <c r="A183" s="427" t="s">
        <v>130</v>
      </c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</row>
    <row r="184" spans="1:53" x14ac:dyDescent="0.2">
      <c r="A184" s="428" t="s">
        <v>131</v>
      </c>
      <c r="B184" s="428"/>
      <c r="C184" s="428"/>
      <c r="D184" s="428"/>
      <c r="E184" s="428"/>
      <c r="F184" s="428"/>
      <c r="G184" s="428"/>
      <c r="H184" s="428"/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53" x14ac:dyDescent="0.2">
      <c r="A185" s="428"/>
      <c r="B185" s="428"/>
      <c r="C185" s="428"/>
      <c r="D185" s="428"/>
      <c r="E185" s="428"/>
      <c r="F185" s="428"/>
      <c r="G185" s="428"/>
      <c r="H185" s="428"/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53" x14ac:dyDescent="0.2">
      <c r="A186" s="429" t="s">
        <v>132</v>
      </c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330" t="s">
        <v>133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130"/>
      <c r="R188" s="330" t="s">
        <v>134</v>
      </c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</row>
    <row r="190" spans="1:53" ht="13.5" thickBot="1" x14ac:dyDescent="0.25">
      <c r="A190" s="420" t="str">
        <f>IF(B218=1,B210,IF(B218=2,B211,IF(B218=3,B212,IF(B218=4,B213,IF(OR(B218="B",B218="b"),"BYE","invalid")))))</f>
        <v>CSRA Heat 12 Gold</v>
      </c>
      <c r="B190" s="420"/>
      <c r="C190" s="420"/>
      <c r="D190" s="420"/>
      <c r="E190" s="420"/>
      <c r="F190" s="88"/>
      <c r="G190" s="88"/>
      <c r="H190" s="88"/>
      <c r="I190" s="88"/>
      <c r="J190" s="88"/>
      <c r="K190" s="88"/>
      <c r="L190" s="88"/>
      <c r="M190" s="88"/>
      <c r="N190" s="88"/>
      <c r="S190" s="131"/>
      <c r="T190" s="131"/>
      <c r="U190" s="420" t="str">
        <f>IF(W218=1,X210,IF(W218=2,X211,IF(W218=3,X212,IF(W218=4,X213,IF(OR(W218="B",W218="b"),"BYE","invalid")))))</f>
        <v>SCWE12FLYERS</v>
      </c>
      <c r="V190" s="420"/>
      <c r="W190" s="420"/>
      <c r="X190" s="420"/>
      <c r="Y190" s="420"/>
      <c r="Z190" s="420"/>
      <c r="AA190" s="420"/>
      <c r="AB190" s="88"/>
      <c r="AC190" s="88"/>
      <c r="AD190" s="88"/>
      <c r="AE190" s="88"/>
    </row>
    <row r="191" spans="1:53" x14ac:dyDescent="0.2">
      <c r="A191" s="421" t="s">
        <v>135</v>
      </c>
      <c r="B191" s="421"/>
      <c r="C191" s="421"/>
      <c r="D191" s="421"/>
      <c r="E191" s="421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422">
        <v>25</v>
      </c>
      <c r="V191" s="422"/>
      <c r="W191" s="422"/>
      <c r="X191" s="422"/>
      <c r="Y191" s="422"/>
      <c r="Z191" s="422"/>
      <c r="AA191" s="423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422" t="str">
        <f>B212&amp;" ref"</f>
        <v>Crossfire 12 ref</v>
      </c>
      <c r="B193" s="422"/>
      <c r="C193" s="422"/>
      <c r="D193" s="422"/>
      <c r="E193" s="423"/>
      <c r="F193" s="424" t="str">
        <f>IF(H218=1,B210,IF(H218=2,B211,IF(H218=3,B212,IF(H218=4,B213,"Winner Match 1"))))</f>
        <v>CSRA Heat 12 Gold</v>
      </c>
      <c r="G193" s="425"/>
      <c r="H193" s="425"/>
      <c r="I193" s="425"/>
      <c r="J193" s="425"/>
      <c r="K193" s="425"/>
      <c r="L193" s="425"/>
      <c r="M193" s="425"/>
      <c r="N193" s="88"/>
      <c r="P193" s="93"/>
      <c r="Q193" s="93"/>
      <c r="R193" s="93"/>
      <c r="S193" s="93"/>
      <c r="T193" s="422" t="str">
        <f>X212&amp;" ref"</f>
        <v>Palm Strikers 12 Premier ref</v>
      </c>
      <c r="U193" s="422"/>
      <c r="V193" s="422"/>
      <c r="W193" s="422"/>
      <c r="X193" s="422"/>
      <c r="Y193" s="422"/>
      <c r="Z193" s="422"/>
      <c r="AA193" s="423"/>
      <c r="AB193" s="424" t="str">
        <f>IF(AC218=1,X210,IF(AC218=2,X211,IF(AC218=3,X212,IF(AC218=4,X213,"Winner Match 1"))))</f>
        <v>SCWE12FLYERS</v>
      </c>
      <c r="AC193" s="425"/>
      <c r="AD193" s="425"/>
      <c r="AE193" s="425"/>
      <c r="AF193" s="425"/>
      <c r="AG193" s="425"/>
      <c r="AH193" s="425"/>
    </row>
    <row r="194" spans="1:53" x14ac:dyDescent="0.2">
      <c r="A194" s="434" t="s">
        <v>137</v>
      </c>
      <c r="B194" s="434"/>
      <c r="C194" s="434"/>
      <c r="D194" s="434"/>
      <c r="E194" s="434"/>
      <c r="F194" s="435"/>
      <c r="G194" s="436"/>
      <c r="H194" s="436"/>
      <c r="I194" s="437"/>
      <c r="J194" s="438"/>
      <c r="K194" s="439"/>
      <c r="L194" s="439"/>
      <c r="M194" s="439"/>
      <c r="N194" s="88"/>
      <c r="O194" s="88"/>
      <c r="P194" s="94"/>
      <c r="Q194" s="6"/>
      <c r="R194" s="95"/>
      <c r="S194" s="95"/>
      <c r="T194" s="440" t="s">
        <v>138</v>
      </c>
      <c r="U194" s="440"/>
      <c r="V194" s="440"/>
      <c r="W194" s="440"/>
      <c r="X194" s="440"/>
      <c r="Y194" s="440"/>
      <c r="Z194" s="440"/>
      <c r="AA194" s="92"/>
      <c r="AB194" s="435"/>
      <c r="AC194" s="436"/>
      <c r="AD194" s="436"/>
      <c r="AE194" s="437"/>
      <c r="AF194" s="438"/>
      <c r="AG194" s="439"/>
      <c r="AH194" s="439"/>
    </row>
    <row r="195" spans="1:53" ht="13.5" thickBot="1" x14ac:dyDescent="0.25">
      <c r="A195" s="420" t="str">
        <f>IF(D218=1,B210,IF(D218=2,B211,IF(D218=3,B212,IF(D218=4,B213,IF(OR(D218="B",D218="b"),"BYE","invalid")))))</f>
        <v>Fort Mill 12 Carrie</v>
      </c>
      <c r="B195" s="420"/>
      <c r="C195" s="420"/>
      <c r="D195" s="420"/>
      <c r="E195" s="430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420" t="str">
        <f>IF(Y218=1,X210,IF(Y218=2,X211,IF(Y218=3,X212,IF(Y218=4,X213,IF(OR(Y218="B",Y218="b"),"BYE","invalid")))))</f>
        <v>VolleyOneAcademy 12-Chels</v>
      </c>
      <c r="V195" s="420"/>
      <c r="W195" s="420"/>
      <c r="X195" s="420"/>
      <c r="Y195" s="420"/>
      <c r="Z195" s="420"/>
      <c r="AA195" s="430"/>
      <c r="AB195" s="88"/>
      <c r="AC195" s="88"/>
      <c r="AD195" s="88"/>
      <c r="AE195" s="92"/>
      <c r="AF195" s="88"/>
      <c r="AG195" s="88"/>
    </row>
    <row r="196" spans="1:53" x14ac:dyDescent="0.2">
      <c r="A196" s="421" t="s">
        <v>139</v>
      </c>
      <c r="B196" s="421"/>
      <c r="C196" s="421"/>
      <c r="D196" s="421"/>
      <c r="E196" s="421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431" t="s">
        <v>140</v>
      </c>
      <c r="V196" s="431"/>
      <c r="W196" s="431"/>
      <c r="X196" s="431"/>
      <c r="Y196" s="431"/>
      <c r="Z196" s="431"/>
      <c r="AA196" s="431"/>
      <c r="AB196" s="88"/>
      <c r="AC196" s="88"/>
      <c r="AD196" s="88"/>
      <c r="AE196" s="92"/>
      <c r="AF196" s="88"/>
      <c r="AG196" s="88"/>
      <c r="AQ196" s="96"/>
      <c r="AR196" s="96"/>
      <c r="AS196" s="96"/>
    </row>
    <row r="197" spans="1:53" x14ac:dyDescent="0.2">
      <c r="A197" s="88"/>
      <c r="B197" s="88"/>
      <c r="C197" s="88"/>
      <c r="D197" s="88"/>
      <c r="E197" s="88"/>
      <c r="F197" s="432" t="s">
        <v>141</v>
      </c>
      <c r="G197" s="432"/>
      <c r="H197" s="432"/>
      <c r="I197" s="433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432" t="s">
        <v>141</v>
      </c>
      <c r="AC197" s="432"/>
      <c r="AD197" s="432"/>
      <c r="AE197" s="433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445" t="str">
        <f>IF(K223=1,B210,IF(K223=2,B211,IF(K223=3,B212,IF(K223=4,B213,"Division Winner"))))</f>
        <v>SC Midlands KP Boys</v>
      </c>
      <c r="K198" s="446"/>
      <c r="L198" s="446"/>
      <c r="M198" s="446"/>
      <c r="N198" s="446"/>
      <c r="O198" s="446"/>
      <c r="P198" s="446"/>
      <c r="Q198" s="131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446" t="str">
        <f>IF(AF223=1,X210,IF(AF223=2,X211,IF(AF223=3,X212,IF(AF223=4,X213,"Division Winner"))))</f>
        <v>SCWE12FLYERS</v>
      </c>
      <c r="AG198" s="446"/>
      <c r="AH198" s="446"/>
      <c r="AI198" s="446"/>
      <c r="AJ198" s="446"/>
      <c r="AK198" s="98"/>
    </row>
    <row r="199" spans="1:53" ht="13.5" thickBot="1" x14ac:dyDescent="0.25">
      <c r="A199" s="420" t="str">
        <f>IF(E218=1,B210,IF(E218=2,B211,IF(E218=3,B212,IF(E218=4,B213,IF(OR(E218="B",E218="b"),"BYE","invalid")))))</f>
        <v>SC Midlands KP Boys</v>
      </c>
      <c r="B199" s="420"/>
      <c r="C199" s="420"/>
      <c r="D199" s="420"/>
      <c r="E199" s="420"/>
      <c r="F199" s="434" t="s">
        <v>142</v>
      </c>
      <c r="G199" s="434"/>
      <c r="H199" s="434"/>
      <c r="I199" s="434"/>
      <c r="J199" s="441" t="s">
        <v>143</v>
      </c>
      <c r="K199" s="432"/>
      <c r="L199" s="432"/>
      <c r="M199" s="432"/>
      <c r="N199" s="432"/>
      <c r="O199" s="432"/>
      <c r="P199" s="432"/>
      <c r="R199" s="98"/>
      <c r="S199" s="98"/>
      <c r="T199" s="98"/>
      <c r="U199" s="420" t="str">
        <f>IF(Z218=1,X210,IF(Z218=2,X211,IF(Z218=3,X212,IF(Z218=4,X213,IF(OR(Z218="B",Z218="b"),"BYE","invalid")))))</f>
        <v>Emerald City 12-2</v>
      </c>
      <c r="V199" s="420"/>
      <c r="W199" s="420"/>
      <c r="X199" s="420"/>
      <c r="Y199" s="420"/>
      <c r="Z199" s="420"/>
      <c r="AA199" s="420"/>
      <c r="AB199" s="434" t="s">
        <v>144</v>
      </c>
      <c r="AC199" s="434"/>
      <c r="AD199" s="434"/>
      <c r="AE199" s="447"/>
      <c r="AF199" s="448" t="s">
        <v>145</v>
      </c>
      <c r="AG199" s="449"/>
      <c r="AH199" s="449"/>
      <c r="AI199" s="449"/>
      <c r="AJ199" s="449"/>
    </row>
    <row r="200" spans="1:53" x14ac:dyDescent="0.2">
      <c r="A200" s="421" t="s">
        <v>146</v>
      </c>
      <c r="B200" s="421"/>
      <c r="C200" s="421"/>
      <c r="D200" s="421"/>
      <c r="E200" s="421"/>
      <c r="F200" s="90"/>
      <c r="G200" s="88"/>
      <c r="H200" s="88"/>
      <c r="I200" s="88"/>
      <c r="J200" s="441"/>
      <c r="K200" s="432"/>
      <c r="L200" s="432"/>
      <c r="M200" s="432"/>
      <c r="N200" s="432"/>
      <c r="O200" s="432"/>
      <c r="P200" s="432"/>
      <c r="Q200" s="88"/>
      <c r="R200" s="96"/>
      <c r="S200" s="96"/>
      <c r="T200" s="96"/>
      <c r="U200" s="422" t="s">
        <v>147</v>
      </c>
      <c r="V200" s="422"/>
      <c r="W200" s="422"/>
      <c r="X200" s="422"/>
      <c r="Y200" s="422"/>
      <c r="Z200" s="422"/>
      <c r="AA200" s="423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W201" s="58"/>
      <c r="AX201" s="55"/>
      <c r="AY201" s="55"/>
      <c r="AZ201" s="55"/>
      <c r="BA201" s="55"/>
    </row>
    <row r="202" spans="1:53" ht="13.5" thickBot="1" x14ac:dyDescent="0.25">
      <c r="A202" s="432" t="s">
        <v>148</v>
      </c>
      <c r="B202" s="432"/>
      <c r="C202" s="432"/>
      <c r="D202" s="432"/>
      <c r="E202" s="94"/>
      <c r="F202" s="442"/>
      <c r="G202" s="443"/>
      <c r="H202" s="443"/>
      <c r="I202" s="444"/>
      <c r="J202" s="438"/>
      <c r="K202" s="439"/>
      <c r="L202" s="439"/>
      <c r="M202" s="439"/>
      <c r="N202" s="88"/>
      <c r="Q202" s="93"/>
      <c r="R202" s="93"/>
      <c r="S202" s="93"/>
      <c r="T202" s="432" t="s">
        <v>148</v>
      </c>
      <c r="U202" s="432"/>
      <c r="V202" s="432"/>
      <c r="W202" s="432"/>
      <c r="X202" s="432"/>
      <c r="Y202" s="432"/>
      <c r="Z202" s="432"/>
      <c r="AA202" s="88"/>
      <c r="AB202" s="442"/>
      <c r="AC202" s="443"/>
      <c r="AD202" s="443"/>
      <c r="AE202" s="444"/>
      <c r="AF202" s="438"/>
      <c r="AG202" s="439"/>
      <c r="AH202" s="439"/>
      <c r="AW202" s="58"/>
      <c r="AX202" s="55"/>
      <c r="AY202" s="55"/>
      <c r="AZ202" s="55"/>
      <c r="BA202" s="55"/>
    </row>
    <row r="203" spans="1:53" x14ac:dyDescent="0.2">
      <c r="A203" s="434" t="s">
        <v>137</v>
      </c>
      <c r="B203" s="434"/>
      <c r="C203" s="434"/>
      <c r="D203" s="434"/>
      <c r="E203" s="447"/>
      <c r="F203" s="424" t="str">
        <f>IF(J218=1,B210,IF(J218=2,B211,IF(J218=3,B212,IF(J218=4,B213,"Winner Match 2"))))</f>
        <v>SC Midlands KP Boys</v>
      </c>
      <c r="G203" s="425"/>
      <c r="H203" s="425"/>
      <c r="I203" s="425"/>
      <c r="J203" s="425"/>
      <c r="K203" s="425"/>
      <c r="L203" s="425"/>
      <c r="M203" s="425"/>
      <c r="N203" s="88"/>
      <c r="P203" s="94"/>
      <c r="Q203" s="94"/>
      <c r="S203" s="95"/>
      <c r="T203" s="434" t="s">
        <v>138</v>
      </c>
      <c r="U203" s="434"/>
      <c r="V203" s="434"/>
      <c r="W203" s="434"/>
      <c r="X203" s="434"/>
      <c r="Y203" s="434"/>
      <c r="Z203" s="434"/>
      <c r="AA203" s="92"/>
      <c r="AB203" s="424" t="str">
        <f>IF(AE218=1,X210,IF(AE218=2,X211,IF(AE218=3,X212,IF(AE218=4,X213,"Winner Match 2"))))</f>
        <v>Emerald City 12-2</v>
      </c>
      <c r="AC203" s="425"/>
      <c r="AD203" s="425"/>
      <c r="AE203" s="425"/>
      <c r="AF203" s="425"/>
      <c r="AG203" s="425"/>
      <c r="AH203" s="425"/>
      <c r="AW203" s="58"/>
      <c r="AX203" s="55"/>
      <c r="AY203" s="55"/>
      <c r="AZ203" s="55"/>
      <c r="BA203" s="55"/>
    </row>
    <row r="204" spans="1:53" ht="13.5" thickBot="1" x14ac:dyDescent="0.25">
      <c r="A204" s="420" t="str">
        <f>IF(G218=1,B210,IF(G218=2,B211,IF(G218=3,B212,IF(G218=4,B213,IF(OR(G218="B",G218="b"),"BYE","invalid")))))</f>
        <v>Crossfire 12</v>
      </c>
      <c r="B204" s="420"/>
      <c r="C204" s="420"/>
      <c r="D204" s="420"/>
      <c r="E204" s="430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420" t="str">
        <f>IF(AB218=1,X210,IF(AB218=2,X211,IF(AB218=3,X212,IF(AB218=4,X213,IF(OR(AB218="B",AB218="b"),"BYE","invalid")))))</f>
        <v>Palm Strikers 12 Premier</v>
      </c>
      <c r="V204" s="420"/>
      <c r="W204" s="420"/>
      <c r="X204" s="420"/>
      <c r="Y204" s="420"/>
      <c r="Z204" s="420"/>
      <c r="AA204" s="430"/>
      <c r="AB204" s="88"/>
      <c r="AC204" s="88"/>
      <c r="AD204" s="88"/>
      <c r="AE204" s="88"/>
      <c r="AW204" s="58"/>
      <c r="AX204" s="55"/>
      <c r="AY204" s="55"/>
      <c r="AZ204" s="55"/>
      <c r="BA204" s="55"/>
    </row>
    <row r="205" spans="1:53" x14ac:dyDescent="0.2">
      <c r="A205" s="421" t="s">
        <v>149</v>
      </c>
      <c r="B205" s="421"/>
      <c r="C205" s="421"/>
      <c r="D205" s="421"/>
      <c r="E205" s="421"/>
      <c r="S205" s="96"/>
      <c r="T205" s="96"/>
      <c r="U205" s="422" t="s">
        <v>150</v>
      </c>
      <c r="V205" s="422"/>
      <c r="W205" s="422"/>
      <c r="X205" s="422"/>
      <c r="Y205" s="422"/>
      <c r="Z205" s="422"/>
      <c r="AA205" s="422"/>
      <c r="AW205" s="58"/>
      <c r="AX205" s="55"/>
      <c r="AY205" s="55"/>
      <c r="AZ205" s="55"/>
      <c r="BA205" s="55"/>
    </row>
    <row r="206" spans="1:53" x14ac:dyDescent="0.2">
      <c r="AT206" s="55"/>
      <c r="AU206" s="55"/>
      <c r="AV206" s="55"/>
      <c r="AW206" s="58"/>
      <c r="AX206" s="55"/>
      <c r="AY206" s="55"/>
      <c r="AZ206" s="55"/>
      <c r="BA206" s="55"/>
    </row>
    <row r="207" spans="1:53" x14ac:dyDescent="0.2">
      <c r="AT207" s="55"/>
      <c r="AU207" s="55"/>
      <c r="AV207" s="55"/>
      <c r="AW207" s="58"/>
      <c r="AX207" s="55"/>
      <c r="AY207" s="55"/>
      <c r="AZ207" s="55"/>
      <c r="BA207" s="55"/>
    </row>
    <row r="208" spans="1:53" ht="16.5" thickBot="1" x14ac:dyDescent="0.3">
      <c r="A208" s="450" t="s">
        <v>151</v>
      </c>
      <c r="B208" s="450"/>
      <c r="C208" s="450"/>
      <c r="D208" s="450"/>
      <c r="E208" s="450"/>
      <c r="F208" s="450"/>
      <c r="G208" s="450"/>
      <c r="H208" s="450"/>
      <c r="I208" s="450"/>
      <c r="J208" s="450"/>
      <c r="Q208" s="100"/>
      <c r="R208" s="100"/>
      <c r="S208" s="100"/>
      <c r="U208" s="450" t="s">
        <v>152</v>
      </c>
      <c r="V208" s="450"/>
      <c r="W208" s="450"/>
      <c r="X208" s="450"/>
      <c r="Y208" s="450"/>
      <c r="Z208" s="450"/>
      <c r="AA208" s="450"/>
      <c r="AB208" s="450"/>
      <c r="AC208" s="450"/>
      <c r="AD208" s="450"/>
      <c r="AE208" s="450"/>
      <c r="AF208" s="450"/>
      <c r="AT208" s="55"/>
      <c r="AU208" s="55"/>
      <c r="AV208" s="55"/>
      <c r="AW208" s="58"/>
      <c r="AX208" s="55"/>
      <c r="AY208" s="55"/>
      <c r="AZ208" s="55"/>
      <c r="BA208" s="55"/>
    </row>
    <row r="209" spans="1:53" ht="13.5" thickBot="1" x14ac:dyDescent="0.25">
      <c r="A209" s="101" t="s">
        <v>153</v>
      </c>
      <c r="B209" s="451" t="s">
        <v>154</v>
      </c>
      <c r="C209" s="452"/>
      <c r="D209" s="452"/>
      <c r="E209" s="452"/>
      <c r="F209" s="452"/>
      <c r="G209" s="452"/>
      <c r="H209" s="452"/>
      <c r="I209" s="452"/>
      <c r="J209" s="453"/>
      <c r="K209" s="454" t="s">
        <v>155</v>
      </c>
      <c r="L209" s="455"/>
      <c r="M209" s="455"/>
      <c r="N209" s="455"/>
      <c r="O209" s="455"/>
      <c r="P209" s="455"/>
      <c r="Q209" s="456"/>
      <c r="U209" s="457" t="s">
        <v>153</v>
      </c>
      <c r="V209" s="458"/>
      <c r="W209" s="459"/>
      <c r="X209" s="451" t="s">
        <v>154</v>
      </c>
      <c r="Y209" s="452"/>
      <c r="Z209" s="452"/>
      <c r="AA209" s="452"/>
      <c r="AB209" s="452"/>
      <c r="AC209" s="452"/>
      <c r="AD209" s="452"/>
      <c r="AE209" s="452"/>
      <c r="AF209" s="453"/>
      <c r="AG209" s="454" t="s">
        <v>155</v>
      </c>
      <c r="AH209" s="455"/>
      <c r="AI209" s="455"/>
      <c r="AJ209" s="455"/>
      <c r="AK209" s="455"/>
      <c r="AL209" s="455"/>
      <c r="AM209" s="456"/>
      <c r="AT209" s="55"/>
      <c r="AU209" s="55"/>
      <c r="AV209" s="55"/>
      <c r="AW209" s="58"/>
      <c r="AX209" s="55"/>
      <c r="AY209" s="55"/>
      <c r="AZ209" s="55"/>
      <c r="BA209" s="55"/>
    </row>
    <row r="210" spans="1:53" ht="13.5" thickBot="1" x14ac:dyDescent="0.25">
      <c r="A210" s="101">
        <v>1</v>
      </c>
      <c r="B210" s="460" t="str">
        <f>B179</f>
        <v>CSRA Heat 12 Gold</v>
      </c>
      <c r="C210" s="461"/>
      <c r="D210" s="461"/>
      <c r="E210" s="461"/>
      <c r="F210" s="461"/>
      <c r="G210" s="461"/>
      <c r="H210" s="461"/>
      <c r="I210" s="461"/>
      <c r="J210" s="462"/>
      <c r="K210" s="463" t="str">
        <f>H179</f>
        <v>fj2csrah1pm</v>
      </c>
      <c r="L210" s="464"/>
      <c r="M210" s="464"/>
      <c r="N210" s="464"/>
      <c r="O210" s="464"/>
      <c r="P210" s="464"/>
      <c r="Q210" s="465"/>
      <c r="U210" s="457">
        <v>1</v>
      </c>
      <c r="V210" s="458"/>
      <c r="W210" s="459"/>
      <c r="X210" s="460" t="str">
        <f>V179</f>
        <v>SCWE12FLYERS</v>
      </c>
      <c r="Y210" s="461"/>
      <c r="Z210" s="461"/>
      <c r="AA210" s="461"/>
      <c r="AB210" s="461"/>
      <c r="AC210" s="461"/>
      <c r="AD210" s="461"/>
      <c r="AE210" s="461"/>
      <c r="AF210" s="462"/>
      <c r="AG210" s="463" t="str">
        <f>AB179</f>
        <v>fj2scwea1pm</v>
      </c>
      <c r="AH210" s="464"/>
      <c r="AI210" s="464"/>
      <c r="AJ210" s="464"/>
      <c r="AK210" s="464"/>
      <c r="AL210" s="464"/>
      <c r="AM210" s="465"/>
      <c r="AT210" s="55"/>
      <c r="AU210" s="55"/>
      <c r="AV210" s="55"/>
      <c r="AW210" s="58"/>
      <c r="AX210" s="55"/>
      <c r="AY210" s="55"/>
      <c r="AZ210" s="55"/>
      <c r="BA210" s="55"/>
    </row>
    <row r="211" spans="1:53" ht="13.5" thickBot="1" x14ac:dyDescent="0.25">
      <c r="A211" s="101">
        <v>2</v>
      </c>
      <c r="B211" s="460" t="str">
        <f>B180</f>
        <v>SC Midlands KP Boys</v>
      </c>
      <c r="C211" s="461"/>
      <c r="D211" s="461"/>
      <c r="E211" s="461"/>
      <c r="F211" s="461"/>
      <c r="G211" s="461"/>
      <c r="H211" s="461"/>
      <c r="I211" s="461"/>
      <c r="J211" s="462"/>
      <c r="K211" s="463" t="str">
        <f>H180</f>
        <v>fj2scmid3pm</v>
      </c>
      <c r="L211" s="464"/>
      <c r="M211" s="464"/>
      <c r="N211" s="464"/>
      <c r="O211" s="464"/>
      <c r="P211" s="464"/>
      <c r="Q211" s="465"/>
      <c r="U211" s="457">
        <v>2</v>
      </c>
      <c r="V211" s="458"/>
      <c r="W211" s="459"/>
      <c r="X211" s="460" t="str">
        <f>V180</f>
        <v>Emerald City 12-2</v>
      </c>
      <c r="Y211" s="461"/>
      <c r="Z211" s="461"/>
      <c r="AA211" s="461"/>
      <c r="AB211" s="461"/>
      <c r="AC211" s="461"/>
      <c r="AD211" s="461"/>
      <c r="AE211" s="461"/>
      <c r="AF211" s="462"/>
      <c r="AG211" s="463" t="str">
        <f>AB180</f>
        <v>fj2ecity2pm</v>
      </c>
      <c r="AH211" s="464"/>
      <c r="AI211" s="464"/>
      <c r="AJ211" s="464"/>
      <c r="AK211" s="464"/>
      <c r="AL211" s="464"/>
      <c r="AM211" s="465"/>
      <c r="AT211" s="55"/>
      <c r="AU211" s="55"/>
      <c r="AV211" s="55"/>
      <c r="AW211" s="58"/>
      <c r="AX211" s="55"/>
      <c r="AY211" s="55"/>
      <c r="AZ211" s="55"/>
      <c r="BA211" s="55"/>
    </row>
    <row r="212" spans="1:53" ht="13.5" thickBot="1" x14ac:dyDescent="0.25">
      <c r="A212" s="101">
        <v>3</v>
      </c>
      <c r="B212" s="460" t="str">
        <f>L179</f>
        <v>Crossfire 12</v>
      </c>
      <c r="C212" s="461"/>
      <c r="D212" s="461"/>
      <c r="E212" s="461"/>
      <c r="F212" s="461"/>
      <c r="G212" s="461"/>
      <c r="H212" s="461"/>
      <c r="I212" s="461"/>
      <c r="J212" s="462"/>
      <c r="K212" s="463" t="str">
        <f>R179</f>
        <v>fj2crosf1pm</v>
      </c>
      <c r="L212" s="464"/>
      <c r="M212" s="464"/>
      <c r="N212" s="464"/>
      <c r="O212" s="464"/>
      <c r="P212" s="464"/>
      <c r="Q212" s="465"/>
      <c r="U212" s="457">
        <v>3</v>
      </c>
      <c r="V212" s="458"/>
      <c r="W212" s="459"/>
      <c r="X212" s="460" t="str">
        <f>AF179</f>
        <v>Palm Strikers 12 Premier</v>
      </c>
      <c r="Y212" s="461"/>
      <c r="Z212" s="461"/>
      <c r="AA212" s="461"/>
      <c r="AB212" s="461"/>
      <c r="AC212" s="461"/>
      <c r="AD212" s="461"/>
      <c r="AE212" s="461"/>
      <c r="AF212" s="462"/>
      <c r="AG212" s="463" t="str">
        <f>AL179</f>
        <v>fj2pstri2pm</v>
      </c>
      <c r="AH212" s="464"/>
      <c r="AI212" s="464"/>
      <c r="AJ212" s="464"/>
      <c r="AK212" s="464"/>
      <c r="AL212" s="464"/>
      <c r="AM212" s="465"/>
      <c r="AT212" s="55"/>
      <c r="AU212" s="55"/>
      <c r="AV212" s="55"/>
      <c r="AW212" s="58"/>
      <c r="AX212" s="55"/>
      <c r="AY212" s="55"/>
      <c r="AZ212" s="55"/>
      <c r="BA212" s="55"/>
    </row>
    <row r="213" spans="1:53" ht="13.5" thickBot="1" x14ac:dyDescent="0.25">
      <c r="A213" s="101">
        <v>4</v>
      </c>
      <c r="B213" s="460" t="str">
        <f>L180</f>
        <v>Fort Mill 12 Carrie</v>
      </c>
      <c r="C213" s="461"/>
      <c r="D213" s="461"/>
      <c r="E213" s="461"/>
      <c r="F213" s="461"/>
      <c r="G213" s="461"/>
      <c r="H213" s="461"/>
      <c r="I213" s="461"/>
      <c r="J213" s="462"/>
      <c r="K213" s="463" t="str">
        <f>R180</f>
        <v>fj2fortm1pm</v>
      </c>
      <c r="L213" s="464"/>
      <c r="M213" s="464"/>
      <c r="N213" s="464"/>
      <c r="O213" s="464"/>
      <c r="P213" s="464"/>
      <c r="Q213" s="465"/>
      <c r="U213" s="457">
        <v>4</v>
      </c>
      <c r="V213" s="458"/>
      <c r="W213" s="459"/>
      <c r="X213" s="460" t="str">
        <f>AF180</f>
        <v>VolleyOneAcademy 12-Chels</v>
      </c>
      <c r="Y213" s="461"/>
      <c r="Z213" s="461"/>
      <c r="AA213" s="461"/>
      <c r="AB213" s="461"/>
      <c r="AC213" s="461"/>
      <c r="AD213" s="461"/>
      <c r="AE213" s="461"/>
      <c r="AF213" s="462"/>
      <c r="AG213" s="463" t="str">
        <f>AL180</f>
        <v>fj2vonea1pm</v>
      </c>
      <c r="AH213" s="464"/>
      <c r="AI213" s="464"/>
      <c r="AJ213" s="464"/>
      <c r="AK213" s="464"/>
      <c r="AL213" s="464"/>
      <c r="AM213" s="465"/>
      <c r="AT213" s="55"/>
      <c r="AU213" s="55"/>
      <c r="AV213" s="55"/>
      <c r="AW213" s="58"/>
      <c r="AX213" s="55"/>
      <c r="AY213" s="55"/>
      <c r="AZ213" s="55"/>
      <c r="BA213" s="55"/>
    </row>
    <row r="214" spans="1:53" ht="13.5" thickBot="1" x14ac:dyDescent="0.25">
      <c r="AT214" s="55"/>
      <c r="AU214" s="55"/>
      <c r="AV214" s="55"/>
      <c r="AW214" s="58"/>
      <c r="AX214" s="55"/>
      <c r="AY214" s="55"/>
      <c r="AZ214" s="55"/>
      <c r="BA214" s="55"/>
    </row>
    <row r="215" spans="1:53" x14ac:dyDescent="0.2">
      <c r="B215" s="466" t="s">
        <v>156</v>
      </c>
      <c r="C215" s="467"/>
      <c r="D215" s="468"/>
      <c r="E215" s="469" t="s">
        <v>156</v>
      </c>
      <c r="F215" s="467"/>
      <c r="G215" s="468"/>
      <c r="H215" s="469" t="s">
        <v>14</v>
      </c>
      <c r="I215" s="467"/>
      <c r="J215" s="470"/>
      <c r="K215" s="471" t="s">
        <v>157</v>
      </c>
      <c r="L215" s="472"/>
      <c r="M215" s="472"/>
      <c r="N215" s="472"/>
      <c r="O215" s="472"/>
      <c r="P215" s="472"/>
      <c r="Q215" s="473"/>
      <c r="R215" s="102"/>
      <c r="S215" s="102"/>
      <c r="T215" s="102"/>
      <c r="U215" s="102"/>
      <c r="W215" s="466" t="s">
        <v>156</v>
      </c>
      <c r="X215" s="467"/>
      <c r="Y215" s="468"/>
      <c r="Z215" s="469" t="s">
        <v>156</v>
      </c>
      <c r="AA215" s="467"/>
      <c r="AB215" s="468"/>
      <c r="AC215" s="469" t="s">
        <v>14</v>
      </c>
      <c r="AD215" s="467"/>
      <c r="AE215" s="470"/>
      <c r="AF215" s="471" t="s">
        <v>157</v>
      </c>
      <c r="AG215" s="480"/>
      <c r="AH215" s="480"/>
      <c r="AI215" s="480"/>
      <c r="AJ215" s="481"/>
      <c r="AW215" s="58"/>
      <c r="AX215" s="55"/>
      <c r="AY215" s="55"/>
      <c r="AZ215" s="55"/>
      <c r="BA215" s="55"/>
    </row>
    <row r="216" spans="1:53" x14ac:dyDescent="0.2">
      <c r="A216" s="41" t="s">
        <v>158</v>
      </c>
      <c r="B216" s="488">
        <v>3</v>
      </c>
      <c r="C216" s="489"/>
      <c r="D216" s="490"/>
      <c r="E216" s="491" t="s">
        <v>159</v>
      </c>
      <c r="F216" s="489"/>
      <c r="G216" s="490"/>
      <c r="H216" s="491" t="s">
        <v>160</v>
      </c>
      <c r="I216" s="489"/>
      <c r="J216" s="492"/>
      <c r="K216" s="474"/>
      <c r="L216" s="475"/>
      <c r="M216" s="475"/>
      <c r="N216" s="475"/>
      <c r="O216" s="475"/>
      <c r="P216" s="475"/>
      <c r="Q216" s="476"/>
      <c r="R216" s="102"/>
      <c r="S216" s="102"/>
      <c r="T216" s="493" t="s">
        <v>158</v>
      </c>
      <c r="U216" s="493"/>
      <c r="V216" s="494"/>
      <c r="W216" s="488">
        <v>3</v>
      </c>
      <c r="X216" s="489"/>
      <c r="Y216" s="490"/>
      <c r="Z216" s="491" t="s">
        <v>159</v>
      </c>
      <c r="AA216" s="489"/>
      <c r="AB216" s="490"/>
      <c r="AC216" s="491" t="s">
        <v>160</v>
      </c>
      <c r="AD216" s="489"/>
      <c r="AE216" s="492"/>
      <c r="AF216" s="482"/>
      <c r="AG216" s="483"/>
      <c r="AH216" s="483"/>
      <c r="AI216" s="483"/>
      <c r="AJ216" s="484"/>
      <c r="AW216" s="58"/>
      <c r="AX216" s="55"/>
      <c r="AY216" s="55"/>
      <c r="AZ216" s="55"/>
      <c r="BA216" s="55"/>
    </row>
    <row r="217" spans="1:53" ht="13.5" thickBot="1" x14ac:dyDescent="0.25">
      <c r="A217" s="7"/>
      <c r="B217" s="501" t="s">
        <v>70</v>
      </c>
      <c r="C217" s="323"/>
      <c r="D217" s="324"/>
      <c r="E217" s="322" t="s">
        <v>161</v>
      </c>
      <c r="F217" s="323"/>
      <c r="G217" s="324"/>
      <c r="H217" s="322" t="s">
        <v>162</v>
      </c>
      <c r="I217" s="323"/>
      <c r="J217" s="495"/>
      <c r="K217" s="477"/>
      <c r="L217" s="478"/>
      <c r="M217" s="478"/>
      <c r="N217" s="478"/>
      <c r="O217" s="478"/>
      <c r="P217" s="478"/>
      <c r="Q217" s="479"/>
      <c r="R217" s="102"/>
      <c r="S217" s="102"/>
      <c r="T217" s="499"/>
      <c r="U217" s="499"/>
      <c r="V217" s="500"/>
      <c r="W217" s="501" t="s">
        <v>70</v>
      </c>
      <c r="X217" s="323"/>
      <c r="Y217" s="324"/>
      <c r="Z217" s="322" t="s">
        <v>161</v>
      </c>
      <c r="AA217" s="323"/>
      <c r="AB217" s="324"/>
      <c r="AC217" s="322" t="s">
        <v>162</v>
      </c>
      <c r="AD217" s="323"/>
      <c r="AE217" s="495"/>
      <c r="AF217" s="485"/>
      <c r="AG217" s="486"/>
      <c r="AH217" s="486"/>
      <c r="AI217" s="486"/>
      <c r="AJ217" s="487"/>
      <c r="AW217" s="58"/>
      <c r="AX217" s="55"/>
      <c r="AY217" s="55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1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2</v>
      </c>
      <c r="K218" s="496" t="s">
        <v>163</v>
      </c>
      <c r="L218" s="497"/>
      <c r="M218" s="497"/>
      <c r="N218" s="498"/>
      <c r="R218" s="102"/>
      <c r="S218" s="102"/>
      <c r="T218" s="499"/>
      <c r="U218" s="499"/>
      <c r="V218" s="500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1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2</v>
      </c>
      <c r="AF218" s="496" t="s">
        <v>163</v>
      </c>
      <c r="AG218" s="498"/>
      <c r="AH218" s="102"/>
      <c r="AI218" s="102"/>
      <c r="AJ218" s="102"/>
      <c r="AW218" s="58"/>
      <c r="AX218" s="55"/>
      <c r="AY218" s="55"/>
      <c r="AZ218" s="55"/>
      <c r="BA218" s="55"/>
    </row>
    <row r="219" spans="1:53" ht="13.5" hidden="1" customHeight="1" x14ac:dyDescent="0.2">
      <c r="A219" s="7"/>
      <c r="B219" s="110">
        <f>IF(B223&gt;D223,1,0)</f>
        <v>1</v>
      </c>
      <c r="C219" s="111"/>
      <c r="D219" s="112">
        <f>IF(D223&gt;B223,1,0)</f>
        <v>0</v>
      </c>
      <c r="E219" s="110">
        <f>IF(E223&gt;G223,1,0)</f>
        <v>1</v>
      </c>
      <c r="F219" s="111"/>
      <c r="G219" s="112">
        <f>IF(G223&gt;E223,1,0)</f>
        <v>0</v>
      </c>
      <c r="H219" s="110">
        <f>IF(H223&gt;J223,1,0)</f>
        <v>0</v>
      </c>
      <c r="I219" s="111"/>
      <c r="J219" s="112">
        <f>IF(J223&gt;H223,1,0)</f>
        <v>1</v>
      </c>
      <c r="K219" s="113"/>
      <c r="L219" s="114"/>
      <c r="M219" s="114"/>
      <c r="N219" s="115"/>
      <c r="R219" s="102"/>
      <c r="S219" s="102"/>
      <c r="T219" s="499"/>
      <c r="U219" s="499"/>
      <c r="V219" s="500"/>
      <c r="W219" s="110">
        <f>IF(W223&gt;Y223,1,0)</f>
        <v>1</v>
      </c>
      <c r="X219" s="111"/>
      <c r="Y219" s="112">
        <f>IF(Y223&gt;W223,1,0)</f>
        <v>0</v>
      </c>
      <c r="Z219" s="110">
        <f>IF(Z223&gt;AB223,1,0)</f>
        <v>1</v>
      </c>
      <c r="AA219" s="111"/>
      <c r="AB219" s="112">
        <f>IF(AB223&gt;Z223,1,0)</f>
        <v>0</v>
      </c>
      <c r="AC219" s="110">
        <f>IF(AC223&gt;AE223,1,0)</f>
        <v>1</v>
      </c>
      <c r="AD219" s="111"/>
      <c r="AE219" s="112">
        <f>IF(AE223&gt;AC223,1,0)</f>
        <v>0</v>
      </c>
      <c r="AF219" s="116"/>
      <c r="AG219" s="117"/>
      <c r="AH219" s="102"/>
      <c r="AI219" s="102"/>
      <c r="AJ219" s="102"/>
      <c r="AW219" s="58"/>
      <c r="AX219" s="55"/>
      <c r="AY219" s="55"/>
      <c r="AZ219" s="55"/>
      <c r="BA219" s="55"/>
    </row>
    <row r="220" spans="1:53" ht="13.5" hidden="1" customHeight="1" x14ac:dyDescent="0.2">
      <c r="A220" s="7"/>
      <c r="B220" s="110">
        <f>IF(B224&gt;D224,1,0)</f>
        <v>1</v>
      </c>
      <c r="C220" s="111"/>
      <c r="D220" s="112">
        <f>IF(D224&gt;B224,1,0)</f>
        <v>0</v>
      </c>
      <c r="E220" s="110">
        <f>IF(E224&gt;G224,1,0)</f>
        <v>0</v>
      </c>
      <c r="F220" s="111"/>
      <c r="G220" s="112">
        <f>IF(G224&gt;E224,1,0)</f>
        <v>1</v>
      </c>
      <c r="H220" s="110">
        <f>IF(H224&gt;J224,1,0)</f>
        <v>1</v>
      </c>
      <c r="I220" s="111"/>
      <c r="J220" s="112">
        <f>IF(J224&gt;H224,1,0)</f>
        <v>0</v>
      </c>
      <c r="K220" s="113"/>
      <c r="L220" s="114"/>
      <c r="M220" s="114"/>
      <c r="N220" s="115"/>
      <c r="R220" s="102"/>
      <c r="S220" s="102"/>
      <c r="T220" s="499"/>
      <c r="U220" s="499"/>
      <c r="V220" s="500"/>
      <c r="W220" s="110">
        <f>IF(W224&gt;Y224,1,0)</f>
        <v>1</v>
      </c>
      <c r="X220" s="111"/>
      <c r="Y220" s="112">
        <f>IF(Y224&gt;W224,1,0)</f>
        <v>0</v>
      </c>
      <c r="Z220" s="110">
        <f>IF(Z224&gt;AB224,1,0)</f>
        <v>0</v>
      </c>
      <c r="AA220" s="111"/>
      <c r="AB220" s="112">
        <f>IF(AB224&gt;Z224,1,0)</f>
        <v>1</v>
      </c>
      <c r="AC220" s="110">
        <f>IF(AC224&gt;AE224,1,0)</f>
        <v>1</v>
      </c>
      <c r="AD220" s="111"/>
      <c r="AE220" s="112">
        <f>IF(AE224&gt;AC224,1,0)</f>
        <v>0</v>
      </c>
      <c r="AF220" s="116"/>
      <c r="AG220" s="117"/>
      <c r="AH220" s="102"/>
      <c r="AI220" s="102"/>
      <c r="AJ220" s="102"/>
      <c r="AW220" s="58"/>
      <c r="AX220" s="55"/>
      <c r="AY220" s="55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0</v>
      </c>
      <c r="E221" s="110">
        <f>IF(E225&gt;G225,1,0)</f>
        <v>1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1</v>
      </c>
      <c r="K221" s="113"/>
      <c r="L221" s="114"/>
      <c r="M221" s="114"/>
      <c r="N221" s="115"/>
      <c r="R221" s="102"/>
      <c r="S221" s="102"/>
      <c r="T221" s="499"/>
      <c r="U221" s="499"/>
      <c r="V221" s="500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1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0</v>
      </c>
      <c r="AF221" s="116"/>
      <c r="AG221" s="117"/>
      <c r="AH221" s="102"/>
      <c r="AI221" s="102"/>
      <c r="AJ221" s="102"/>
      <c r="AW221" s="58"/>
      <c r="AX221" s="55"/>
      <c r="AY221" s="55"/>
      <c r="AZ221" s="55"/>
      <c r="BA221" s="55"/>
    </row>
    <row r="222" spans="1:53" ht="13.5" hidden="1" customHeight="1" x14ac:dyDescent="0.2">
      <c r="A222" s="7"/>
      <c r="B222" s="110">
        <f>SUM(B219:B221)</f>
        <v>2</v>
      </c>
      <c r="C222" s="111"/>
      <c r="D222" s="110">
        <f>SUM(D219:D221)</f>
        <v>0</v>
      </c>
      <c r="E222" s="110">
        <f>SUM(E219:E221)</f>
        <v>2</v>
      </c>
      <c r="F222" s="111"/>
      <c r="G222" s="110">
        <f>SUM(G219:G221)</f>
        <v>1</v>
      </c>
      <c r="H222" s="110">
        <f>SUM(H219:H221)</f>
        <v>1</v>
      </c>
      <c r="I222" s="111"/>
      <c r="J222" s="110">
        <f>SUM(J219:J221)</f>
        <v>2</v>
      </c>
      <c r="K222" s="113"/>
      <c r="L222" s="114"/>
      <c r="M222" s="114"/>
      <c r="N222" s="115"/>
      <c r="R222" s="102"/>
      <c r="S222" s="102"/>
      <c r="T222" s="499"/>
      <c r="U222" s="499"/>
      <c r="V222" s="500"/>
      <c r="W222" s="110">
        <f>SUM(W219:W221)</f>
        <v>2</v>
      </c>
      <c r="X222" s="111"/>
      <c r="Y222" s="110">
        <f>SUM(Y219:Y221)</f>
        <v>0</v>
      </c>
      <c r="Z222" s="110">
        <f>SUM(Z219:Z221)</f>
        <v>2</v>
      </c>
      <c r="AA222" s="111"/>
      <c r="AB222" s="110">
        <f>SUM(AB219:AB221)</f>
        <v>1</v>
      </c>
      <c r="AC222" s="110">
        <f>SUM(AC219:AC221)</f>
        <v>2</v>
      </c>
      <c r="AD222" s="111"/>
      <c r="AE222" s="110">
        <f>SUM(AE219:AE221)</f>
        <v>0</v>
      </c>
      <c r="AF222" s="116"/>
      <c r="AG222" s="117"/>
      <c r="AH222" s="102"/>
      <c r="AI222" s="102"/>
      <c r="AJ222" s="102"/>
      <c r="AW222" s="58"/>
      <c r="AX222" s="55"/>
      <c r="AY222" s="55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13</v>
      </c>
      <c r="E223" s="120">
        <v>25</v>
      </c>
      <c r="F223" s="50" t="s">
        <v>80</v>
      </c>
      <c r="G223" s="119">
        <v>19</v>
      </c>
      <c r="H223" s="120">
        <v>20</v>
      </c>
      <c r="I223" s="50" t="s">
        <v>80</v>
      </c>
      <c r="J223" s="121">
        <v>25</v>
      </c>
      <c r="K223" s="504">
        <f>IF(AND(OR(H222&gt;0,J222&gt;0),AND(1&lt;=H218,H218&lt;=4),AND(1&lt;=J218,J218&lt;=4)),IF(H222&gt;J222,H218,IF(J222&gt;H222,J218,"")),"")</f>
        <v>2</v>
      </c>
      <c r="L223" s="505"/>
      <c r="M223" s="505"/>
      <c r="N223" s="506"/>
      <c r="R223" s="102"/>
      <c r="S223" s="102"/>
      <c r="T223" s="122"/>
      <c r="U223" s="122"/>
      <c r="V223" s="5" t="s">
        <v>79</v>
      </c>
      <c r="W223" s="118">
        <v>25</v>
      </c>
      <c r="X223" s="50" t="s">
        <v>80</v>
      </c>
      <c r="Y223" s="119">
        <v>16</v>
      </c>
      <c r="Z223" s="120">
        <v>25</v>
      </c>
      <c r="AA223" s="50" t="s">
        <v>80</v>
      </c>
      <c r="AB223" s="119">
        <v>21</v>
      </c>
      <c r="AC223" s="120">
        <v>25</v>
      </c>
      <c r="AD223" s="50" t="s">
        <v>80</v>
      </c>
      <c r="AE223" s="121">
        <v>15</v>
      </c>
      <c r="AF223" s="504">
        <f>IF(AND(OR(AC222&gt;0,AE222&gt;0),AND(1&lt;=AC218,AC218&lt;=4),AND(1&lt;=AE218,AE218&lt;=4)),IF(AC222&gt;AE222,AC218,IF(AE222&gt;AC222,AE218,"")),"")</f>
        <v>1</v>
      </c>
      <c r="AG223" s="506"/>
      <c r="AH223" s="102"/>
      <c r="AI223" s="102"/>
      <c r="AJ223" s="102"/>
      <c r="AW223" s="58"/>
      <c r="AX223" s="55"/>
      <c r="AY223" s="55"/>
      <c r="AZ223" s="55"/>
      <c r="BA223" s="55"/>
    </row>
    <row r="224" spans="1:53" ht="12.75" customHeight="1" x14ac:dyDescent="0.2">
      <c r="A224" s="5" t="s">
        <v>164</v>
      </c>
      <c r="B224" s="118">
        <v>25</v>
      </c>
      <c r="C224" s="50" t="s">
        <v>80</v>
      </c>
      <c r="D224" s="119">
        <v>21</v>
      </c>
      <c r="E224" s="120">
        <v>21</v>
      </c>
      <c r="F224" s="50" t="s">
        <v>80</v>
      </c>
      <c r="G224" s="119">
        <v>25</v>
      </c>
      <c r="H224" s="120">
        <v>26</v>
      </c>
      <c r="I224" s="50" t="s">
        <v>80</v>
      </c>
      <c r="J224" s="121">
        <v>24</v>
      </c>
      <c r="K224" s="507"/>
      <c r="L224" s="508"/>
      <c r="M224" s="508"/>
      <c r="N224" s="509"/>
      <c r="R224" s="102"/>
      <c r="S224" s="102"/>
      <c r="T224" s="122"/>
      <c r="U224" s="122"/>
      <c r="V224" s="5" t="s">
        <v>164</v>
      </c>
      <c r="W224" s="118">
        <v>25</v>
      </c>
      <c r="X224" s="50" t="s">
        <v>80</v>
      </c>
      <c r="Y224" s="119">
        <v>8</v>
      </c>
      <c r="Z224" s="120">
        <v>20</v>
      </c>
      <c r="AA224" s="50" t="s">
        <v>80</v>
      </c>
      <c r="AB224" s="119">
        <v>25</v>
      </c>
      <c r="AC224" s="120">
        <v>25</v>
      </c>
      <c r="AD224" s="50" t="s">
        <v>80</v>
      </c>
      <c r="AE224" s="121">
        <v>18</v>
      </c>
      <c r="AF224" s="507"/>
      <c r="AG224" s="509"/>
      <c r="AH224" s="102"/>
      <c r="AI224" s="102"/>
      <c r="AJ224" s="102"/>
      <c r="AW224" s="58"/>
      <c r="AX224" s="55"/>
      <c r="AY224" s="55"/>
      <c r="AZ224" s="55"/>
      <c r="BA224" s="55"/>
    </row>
    <row r="225" spans="1:77" ht="13.5" customHeight="1" thickBot="1" x14ac:dyDescent="0.25">
      <c r="A225" s="5" t="s">
        <v>165</v>
      </c>
      <c r="B225" s="123"/>
      <c r="C225" s="124" t="s">
        <v>80</v>
      </c>
      <c r="D225" s="125"/>
      <c r="E225" s="126">
        <v>15</v>
      </c>
      <c r="F225" s="124" t="s">
        <v>80</v>
      </c>
      <c r="G225" s="125">
        <v>2</v>
      </c>
      <c r="H225" s="126">
        <v>10</v>
      </c>
      <c r="I225" s="124" t="s">
        <v>80</v>
      </c>
      <c r="J225" s="127">
        <v>15</v>
      </c>
      <c r="K225" s="510"/>
      <c r="L225" s="511"/>
      <c r="M225" s="511"/>
      <c r="N225" s="512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>
        <v>15</v>
      </c>
      <c r="AA225" s="124" t="s">
        <v>80</v>
      </c>
      <c r="AB225" s="125">
        <v>11</v>
      </c>
      <c r="AC225" s="126"/>
      <c r="AD225" s="124" t="s">
        <v>80</v>
      </c>
      <c r="AE225" s="127"/>
      <c r="AF225" s="510"/>
      <c r="AG225" s="512"/>
      <c r="AH225" s="102"/>
      <c r="AI225" s="102"/>
      <c r="AJ225" s="102"/>
      <c r="AW225" s="58"/>
      <c r="AX225" s="55"/>
      <c r="AY225" s="55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CSRA Heat 12 Gold</v>
      </c>
      <c r="AU226" s="4">
        <f>J227</f>
        <v>1516.8809749614643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CSRA Heat 12 Gold</v>
      </c>
      <c r="C227" s="4">
        <f>VLOOKUP(B227,AU$2:AY$22,4,FALSE)</f>
        <v>1509.7737947906535</v>
      </c>
      <c r="D227" s="4">
        <f>IF(A227=B218,B233,IF(A227=D218,D233,C227))</f>
        <v>1524.1707884385346</v>
      </c>
      <c r="G227" s="4">
        <f>IF(A227=E218,E233,IF(A227=G218,G233,D227))</f>
        <v>1524.1707884385346</v>
      </c>
      <c r="J227" s="4">
        <f>IF(A227=H218,H233,IF(A227=J218,J233,G227))</f>
        <v>1516.8809749614643</v>
      </c>
      <c r="U227" s="129"/>
      <c r="V227" s="129">
        <v>1</v>
      </c>
      <c r="W227" s="4" t="str">
        <f>X210</f>
        <v>SCWE12FLYERS</v>
      </c>
      <c r="X227" s="4">
        <f>VLOOKUP(W227,AU$2:AY$22,4,FALSE)</f>
        <v>1425.021571274649</v>
      </c>
      <c r="Y227" s="4">
        <f>IF(V227=W218,W233,IF(V227=Y218,Y233,X227))</f>
        <v>1438.436767856824</v>
      </c>
      <c r="AB227" s="4">
        <f>IF(V227=Z218,Z233,IF(V227=AB218,AB233,Y227))</f>
        <v>1438.436767856824</v>
      </c>
      <c r="AE227" s="4">
        <f>IF(V227=AC218,AC233,IF(V227=AE218,AE233,AB227))</f>
        <v>1453.397960125621</v>
      </c>
      <c r="AT227" s="4" t="str">
        <f>B228</f>
        <v>SC Midlands KP Boys</v>
      </c>
      <c r="AU227" s="4">
        <f>J228</f>
        <v>1541.7446072243681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SC Midlands KP Boys</v>
      </c>
      <c r="C228" s="4">
        <f>VLOOKUP(B228,AU$2:AY$22,4,FALSE)</f>
        <v>1528.0189022825616</v>
      </c>
      <c r="D228" s="4">
        <f>IF(A228=B218,B233,IF(A228=D218,D233,C228))</f>
        <v>1528.0189022825616</v>
      </c>
      <c r="G228" s="4">
        <f>IF(A228=E218,E233,IF(A228=G218,G233,D228))</f>
        <v>1534.4547937472978</v>
      </c>
      <c r="J228" s="4">
        <f>IF(A228=H218,H233,IF(A228=J218,J233,G228))</f>
        <v>1541.7446072243681</v>
      </c>
      <c r="U228" s="129"/>
      <c r="V228" s="129">
        <v>2</v>
      </c>
      <c r="W228" s="4" t="str">
        <f>X211</f>
        <v>Emerald City 12-2</v>
      </c>
      <c r="X228" s="4">
        <f>VLOOKUP(W228,AU$2:AY$22,4,FALSE)</f>
        <v>1404.2553853233485</v>
      </c>
      <c r="Y228" s="4">
        <f>IF(V228=W218,W233,IF(V228=Y218,Y233,X228))</f>
        <v>1404.2553853233485</v>
      </c>
      <c r="AB228" s="4">
        <f>IF(V228=Z218,Z233,IF(V228=AB218,AB233,Y228))</f>
        <v>1415.8475686059512</v>
      </c>
      <c r="AE228" s="4">
        <f>IF(V228=AC218,AC233,IF(V228=AE218,AE233,AB228))</f>
        <v>1400.8863763371542</v>
      </c>
      <c r="AT228" s="4" t="str">
        <f>B229</f>
        <v>Crossfire 12</v>
      </c>
      <c r="AU228" s="4">
        <f>J229</f>
        <v>1498.9080818919695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Crossfire 12</v>
      </c>
      <c r="C229" s="4">
        <f>VLOOKUP(B229,AU$2:AY$22,4,FALSE)</f>
        <v>1505.3439733567056</v>
      </c>
      <c r="D229" s="4">
        <f>IF(A229=B218,B233,IF(A229=D218,D233,C229))</f>
        <v>1505.3439733567056</v>
      </c>
      <c r="G229" s="4">
        <f>IF(A229=E218,E233,IF(A229=G218,G233,D229))</f>
        <v>1498.9080818919695</v>
      </c>
      <c r="J229" s="4">
        <f>IF(A229=H218,H233,IF(A229=J218,J233,G229))</f>
        <v>1498.9080818919695</v>
      </c>
      <c r="U229" s="129"/>
      <c r="V229" s="129">
        <v>3</v>
      </c>
      <c r="W229" s="4" t="str">
        <f>X212</f>
        <v>Palm Strikers 12 Premier</v>
      </c>
      <c r="X229" s="4">
        <f>VLOOKUP(W229,AU$2:AY$22,4,FALSE)</f>
        <v>1456.6511937127591</v>
      </c>
      <c r="Y229" s="4">
        <f>IF(V229=W218,W233,IF(V229=Y218,Y233,X229))</f>
        <v>1456.6511937127591</v>
      </c>
      <c r="AB229" s="4">
        <f>IF(V229=Z218,Z233,IF(V229=AB218,AB233,Y229))</f>
        <v>1445.0590104301564</v>
      </c>
      <c r="AE229" s="4">
        <f>IF(V229=AC218,AC233,IF(V229=AE218,AE233,AB229))</f>
        <v>1445.0590104301564</v>
      </c>
      <c r="AT229" s="4" t="str">
        <f>B230</f>
        <v>Fort Mill 12 Carrie</v>
      </c>
      <c r="AU229" s="4">
        <f>J230</f>
        <v>1460.4507880808455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Fort Mill 12 Carrie</v>
      </c>
      <c r="C230" s="4">
        <f>VLOOKUP(B230,AU$2:AY$22,4,FALSE)</f>
        <v>1474.8477817287267</v>
      </c>
      <c r="D230" s="4">
        <f>IF(A230=B218,B233,IF(A230=D218,D233,C230))</f>
        <v>1460.4507880808455</v>
      </c>
      <c r="G230" s="4">
        <f>IF(A230=E218,E233,IF(A230=G218,G233,D230))</f>
        <v>1460.4507880808455</v>
      </c>
      <c r="J230" s="4">
        <f>IF(A230=H218,H233,IF(A230=J218,J233,G230))</f>
        <v>1460.4507880808455</v>
      </c>
      <c r="U230" s="129"/>
      <c r="V230" s="129">
        <v>4</v>
      </c>
      <c r="W230" s="4" t="str">
        <f>X213</f>
        <v>VolleyOneAcademy 12-Chels</v>
      </c>
      <c r="X230" s="4">
        <f>VLOOKUP(W230,AU$2:AY$22,4,FALSE)</f>
        <v>1368.3971990345021</v>
      </c>
      <c r="Y230" s="4">
        <f>IF(V230=W218,W233,IF(V230=Y218,Y233,X230))</f>
        <v>1354.9820024523272</v>
      </c>
      <c r="AB230" s="4">
        <f>IF(V230=Z218,Z233,IF(V230=AB218,AB233,Y230))</f>
        <v>1354.9820024523272</v>
      </c>
      <c r="AE230" s="4">
        <f>IF(V230=AC218,AC233,IF(V230=AE218,AE233,AB230))</f>
        <v>1354.9820024523272</v>
      </c>
      <c r="AT230" s="4" t="str">
        <f>W227</f>
        <v>SCWE12FLYERS</v>
      </c>
      <c r="AU230" s="4">
        <f>AE227</f>
        <v>1453.397960125621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1509.7737947906535</v>
      </c>
      <c r="D231" s="4">
        <f>VLOOKUP(D218,$A227:$J230,3,FALSE)</f>
        <v>1474.8477817287267</v>
      </c>
      <c r="E231" s="4">
        <f>VLOOKUP(E218,$A227:$J230,4,FALSE)</f>
        <v>1528.0189022825616</v>
      </c>
      <c r="G231" s="4">
        <f>VLOOKUP(G218,$A227:$J230,4,FALSE)</f>
        <v>1505.3439733567056</v>
      </c>
      <c r="H231" s="4">
        <f>VLOOKUP(H218,$A227:$J230,7,FALSE)</f>
        <v>1524.1707884385346</v>
      </c>
      <c r="J231" s="4">
        <f>VLOOKUP(J218,$A227:$J230,7,FALSE)</f>
        <v>1534.4547937472978</v>
      </c>
      <c r="T231" s="513" t="s">
        <v>116</v>
      </c>
      <c r="U231" s="513"/>
      <c r="V231" s="513"/>
      <c r="W231" s="4">
        <f>VLOOKUP(W218,$V227:$AE230,3,FALSE)</f>
        <v>1425.021571274649</v>
      </c>
      <c r="Y231" s="4">
        <f>VLOOKUP(Y218,$V227:$AE230,3,FALSE)</f>
        <v>1368.3971990345021</v>
      </c>
      <c r="Z231" s="4">
        <f>VLOOKUP(Z218,$V227:$AE230,4,FALSE)</f>
        <v>1404.2553853233485</v>
      </c>
      <c r="AB231" s="4">
        <f>VLOOKUP(AB218,$V227:$AE230,4,FALSE)</f>
        <v>1456.6511937127591</v>
      </c>
      <c r="AC231" s="4">
        <f>VLOOKUP(AC218,$V227:$AE230,7,FALSE)</f>
        <v>1438.436767856824</v>
      </c>
      <c r="AE231" s="4">
        <f>VLOOKUP(AE218,$V227:$AE230,7,FALSE)</f>
        <v>1415.8475686059512</v>
      </c>
      <c r="AT231" s="4" t="str">
        <f>W228</f>
        <v>Emerald City 12-2</v>
      </c>
      <c r="AU231" s="4">
        <f>AE228</f>
        <v>1400.8863763371542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1/(1+(10^-((B231-D231)/400)))*(B222+D222)</f>
        <v>1.1001878970074295</v>
      </c>
      <c r="C232" s="69"/>
      <c r="D232" s="69">
        <f>1/(1+(10^-((D231-B231)/400)))*(B222+D222)</f>
        <v>0.89981210299257064</v>
      </c>
      <c r="E232" s="69">
        <f>1/(1+(10^-((E231-G231)/400)))*(E222+G222)</f>
        <v>1.5977567834539905</v>
      </c>
      <c r="G232" s="69">
        <f>1/(1+(10^-((G231-E231)/400)))*(E222+G222)</f>
        <v>1.4022432165460097</v>
      </c>
      <c r="H232" s="69">
        <f>1/(1+(10^-((H231-J231)/400)))*(H222+J222)</f>
        <v>1.45561334231689</v>
      </c>
      <c r="J232" s="69">
        <f>1/(1+(10^-((J231-H231)/400)))*(H222+J222)</f>
        <v>1.54438665768311</v>
      </c>
      <c r="T232" s="514" t="s">
        <v>117</v>
      </c>
      <c r="U232" s="514"/>
      <c r="V232" s="514"/>
      <c r="W232" s="69">
        <f>1/(1+(10^-((W231-Y231)/400)))*(W222+Y222)</f>
        <v>1.1615502136140665</v>
      </c>
      <c r="X232" s="69"/>
      <c r="Y232" s="69">
        <f>1/(1+(10^-((Y231-W231)/400)))*(W222+Y222)</f>
        <v>0.83844978638593359</v>
      </c>
      <c r="Z232" s="69">
        <f>1/(1+(10^-((Z231-AB231)/400)))*(Z222+AB222)</f>
        <v>1.275488544837335</v>
      </c>
      <c r="AB232" s="69">
        <f>1/(1+(10^-((AB231-Z231)/400)))*(Z222+AB222)</f>
        <v>1.724511455162665</v>
      </c>
      <c r="AC232" s="69">
        <f>1/(1+(10^-((AC231-AE231)/400)))*(AC222+AE222)</f>
        <v>1.0649254832001833</v>
      </c>
      <c r="AE232" s="69">
        <f>1/(1+(10^-((AE231-AC231)/400)))*(AC222+AE222)</f>
        <v>0.93507451679981679</v>
      </c>
      <c r="AT232" s="4" t="str">
        <f>W229</f>
        <v>Palm Strikers 12 Premier</v>
      </c>
      <c r="AU232" s="4">
        <f>AE229</f>
        <v>1445.0590104301564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1524.1707884385346</v>
      </c>
      <c r="C233" s="75"/>
      <c r="D233" s="75">
        <f>D231+(D222-D232)*$BA$2</f>
        <v>1460.4507880808455</v>
      </c>
      <c r="E233" s="75">
        <f>E231+(E222-E232)*$BA$2</f>
        <v>1534.4547937472978</v>
      </c>
      <c r="G233" s="75">
        <f>G231+(G222-G232)*$BA$2</f>
        <v>1498.9080818919695</v>
      </c>
      <c r="H233" s="75">
        <f>H231+(H222-H232)*$BA$2</f>
        <v>1516.8809749614643</v>
      </c>
      <c r="J233" s="75">
        <f>J231+(J222-J232)*$BA$2</f>
        <v>1541.7446072243681</v>
      </c>
      <c r="T233" s="502" t="s">
        <v>118</v>
      </c>
      <c r="U233" s="502"/>
      <c r="V233" s="502"/>
      <c r="W233" s="75">
        <f>W231+(W222-W232)*$BA$2</f>
        <v>1438.436767856824</v>
      </c>
      <c r="X233" s="75"/>
      <c r="Y233" s="75">
        <f>Y231+(Y222-Y232)*$BA$2</f>
        <v>1354.9820024523272</v>
      </c>
      <c r="Z233" s="75">
        <f>Z231+(Z222-Z232)*$BA$2</f>
        <v>1415.8475686059512</v>
      </c>
      <c r="AB233" s="75">
        <f>AB231+(AB222-AB232)*$BA$2</f>
        <v>1445.0590104301564</v>
      </c>
      <c r="AC233" s="75">
        <f>AC231+(AC222-AC232)*$BA$2</f>
        <v>1453.397960125621</v>
      </c>
      <c r="AE233" s="75">
        <f>AE231+(AE222-AE232)*$BA$2</f>
        <v>1400.8863763371542</v>
      </c>
      <c r="AT233" s="4" t="str">
        <f>W230</f>
        <v>VolleyOneAcademy 12-Chels</v>
      </c>
      <c r="AU233" s="4">
        <f>AE230</f>
        <v>1354.9820024523272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503" t="s">
        <v>169</v>
      </c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R234" s="102"/>
      <c r="S234" s="102"/>
      <c r="T234" s="122"/>
      <c r="U234" s="122"/>
      <c r="V234" s="503" t="s">
        <v>169</v>
      </c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02"/>
      <c r="AI234" s="102"/>
      <c r="AJ234" s="102"/>
      <c r="AW234" s="58"/>
      <c r="AX234" s="55"/>
      <c r="AY234" s="55"/>
      <c r="AZ234" s="55"/>
      <c r="BA234" s="55"/>
    </row>
    <row r="235" spans="1:77" x14ac:dyDescent="0.2">
      <c r="AT235" s="55"/>
      <c r="AU235" s="55"/>
      <c r="AV235" s="55"/>
      <c r="AW235" s="58"/>
      <c r="AX235" s="55"/>
      <c r="AY235" s="55"/>
      <c r="AZ235" s="55"/>
      <c r="BA235" s="55"/>
    </row>
    <row r="236" spans="1:77" x14ac:dyDescent="0.2">
      <c r="AT236" s="55"/>
      <c r="AU236" s="55"/>
      <c r="AV236" s="55"/>
      <c r="AW236" s="58"/>
      <c r="AX236" s="55"/>
      <c r="AY236" s="55"/>
      <c r="AZ236" s="55"/>
      <c r="BA236" s="55"/>
    </row>
    <row r="237" spans="1:77" x14ac:dyDescent="0.2">
      <c r="AT237" s="55"/>
      <c r="AU237" s="55"/>
      <c r="AV237" s="55"/>
      <c r="AW237" s="58"/>
      <c r="AX237" s="55"/>
      <c r="AY237" s="55"/>
      <c r="AZ237" s="55"/>
      <c r="BA237" s="55"/>
    </row>
    <row r="238" spans="1:77" x14ac:dyDescent="0.2">
      <c r="AT238" s="55"/>
      <c r="AU238" s="55"/>
      <c r="AV238" s="55"/>
      <c r="AW238" s="58"/>
      <c r="AX238" s="55"/>
      <c r="AY238" s="55"/>
      <c r="AZ238" s="55"/>
      <c r="BA238" s="55"/>
    </row>
    <row r="239" spans="1:77" x14ac:dyDescent="0.2">
      <c r="AT239" s="55"/>
      <c r="AU239" s="55"/>
      <c r="AV239" s="55"/>
      <c r="AW239" s="58"/>
      <c r="AX239" s="55"/>
      <c r="AY239" s="55"/>
      <c r="AZ239" s="55"/>
      <c r="BA239" s="55"/>
    </row>
    <row r="240" spans="1:77" x14ac:dyDescent="0.2">
      <c r="AT240" s="55"/>
      <c r="AU240" s="55"/>
      <c r="AV240" s="55"/>
      <c r="AW240" s="58"/>
      <c r="AX240" s="55"/>
      <c r="AY240" s="55"/>
      <c r="AZ240" s="55"/>
      <c r="BA240" s="55"/>
    </row>
    <row r="241" spans="46:53" x14ac:dyDescent="0.2">
      <c r="AT241" s="55"/>
      <c r="AU241" s="55"/>
      <c r="AV241" s="55"/>
      <c r="AW241" s="58"/>
      <c r="AX241" s="55"/>
      <c r="AY241" s="55"/>
      <c r="AZ241" s="55"/>
      <c r="BA241" s="55"/>
    </row>
    <row r="242" spans="46:53" x14ac:dyDescent="0.2">
      <c r="AT242" s="55"/>
      <c r="AU242" s="55"/>
      <c r="AV242" s="55"/>
      <c r="AW242" s="58"/>
      <c r="AX242" s="55"/>
      <c r="AY242" s="55"/>
      <c r="AZ242" s="55"/>
      <c r="BA242" s="55"/>
    </row>
    <row r="243" spans="46:53" x14ac:dyDescent="0.2">
      <c r="AT243" s="55"/>
      <c r="AU243" s="55"/>
      <c r="AV243" s="55"/>
      <c r="AW243" s="58"/>
      <c r="AX243" s="55"/>
      <c r="AY243" s="55"/>
      <c r="AZ243" s="55"/>
      <c r="BA243" s="55"/>
    </row>
    <row r="244" spans="46:53" x14ac:dyDescent="0.2">
      <c r="AT244" s="55"/>
      <c r="AU244" s="55"/>
      <c r="AV244" s="55"/>
      <c r="AW244" s="58"/>
      <c r="AX244" s="55"/>
      <c r="AY244" s="55"/>
      <c r="AZ244" s="55"/>
      <c r="BA244" s="55"/>
    </row>
    <row r="245" spans="46:53" x14ac:dyDescent="0.2">
      <c r="AT245" s="55"/>
      <c r="AU245" s="55"/>
      <c r="AV245" s="55"/>
      <c r="AW245" s="58"/>
      <c r="AX245" s="55"/>
      <c r="AY245" s="55"/>
      <c r="AZ245" s="55"/>
      <c r="BA245" s="55"/>
    </row>
    <row r="246" spans="46:53" x14ac:dyDescent="0.2">
      <c r="AT246" s="55"/>
      <c r="AU246" s="55"/>
      <c r="AV246" s="55"/>
      <c r="AW246" s="58"/>
      <c r="AX246" s="55"/>
      <c r="AY246" s="55"/>
      <c r="AZ246" s="55"/>
      <c r="BA246" s="55"/>
    </row>
    <row r="247" spans="46:53" x14ac:dyDescent="0.2">
      <c r="AT247" s="55"/>
      <c r="AU247" s="55"/>
      <c r="AV247" s="55"/>
    </row>
    <row r="248" spans="46:53" x14ac:dyDescent="0.2">
      <c r="AT248" s="55"/>
      <c r="AU248" s="55"/>
      <c r="AV248" s="55"/>
      <c r="AW248" s="66"/>
      <c r="AX248" s="63"/>
      <c r="AY248" s="63"/>
      <c r="AZ248" s="63"/>
      <c r="BA248" s="63"/>
    </row>
    <row r="249" spans="46:53" x14ac:dyDescent="0.2">
      <c r="AT249" s="55"/>
      <c r="AU249" s="55"/>
      <c r="AV249" s="55"/>
      <c r="AW249" s="66"/>
      <c r="AX249" s="63"/>
      <c r="AY249" s="63"/>
      <c r="AZ249" s="63"/>
      <c r="BA249" s="63"/>
    </row>
    <row r="250" spans="46:53" x14ac:dyDescent="0.2">
      <c r="AT250" s="55"/>
      <c r="AU250" s="55"/>
      <c r="AV250" s="55"/>
      <c r="AW250" s="66"/>
      <c r="AX250" s="63"/>
      <c r="AY250" s="63"/>
      <c r="AZ250" s="63"/>
      <c r="BA250" s="63"/>
    </row>
    <row r="251" spans="46:53" x14ac:dyDescent="0.2">
      <c r="AT251" s="55"/>
      <c r="AU251" s="55"/>
      <c r="AV251" s="55"/>
      <c r="AW251" s="66"/>
      <c r="AX251" s="63"/>
      <c r="AY251" s="63"/>
      <c r="AZ251" s="63"/>
      <c r="BA251" s="63"/>
    </row>
    <row r="252" spans="46:53" x14ac:dyDescent="0.2">
      <c r="AT252" s="55"/>
      <c r="AU252" s="55"/>
      <c r="AV252" s="55"/>
      <c r="AW252" s="66"/>
      <c r="AX252" s="63"/>
      <c r="AY252" s="63"/>
      <c r="AZ252" s="63"/>
      <c r="BA252" s="63"/>
    </row>
    <row r="253" spans="46:53" x14ac:dyDescent="0.2">
      <c r="AT253" s="55"/>
      <c r="AU253" s="55"/>
      <c r="AV253" s="55"/>
      <c r="AW253" s="66"/>
      <c r="AX253" s="63"/>
      <c r="AY253" s="63"/>
      <c r="AZ253" s="63"/>
      <c r="BA253" s="63"/>
    </row>
    <row r="254" spans="46:53" x14ac:dyDescent="0.2">
      <c r="AT254" s="55"/>
      <c r="AU254" s="55"/>
      <c r="AV254" s="55"/>
      <c r="AW254" s="66"/>
      <c r="AX254" s="63"/>
      <c r="AY254" s="63"/>
      <c r="AZ254" s="63"/>
      <c r="BA254" s="63"/>
    </row>
    <row r="255" spans="46:53" x14ac:dyDescent="0.2">
      <c r="AT255" s="55"/>
      <c r="AU255" s="55"/>
      <c r="AV255" s="55"/>
      <c r="AW255" s="66"/>
      <c r="AX255" s="63"/>
      <c r="AY255" s="63"/>
      <c r="AZ255" s="63"/>
      <c r="BA255" s="63"/>
    </row>
    <row r="256" spans="46:53" x14ac:dyDescent="0.2">
      <c r="AT256" s="55"/>
      <c r="AU256" s="55"/>
      <c r="AV256" s="55"/>
      <c r="AW256" s="73"/>
      <c r="AX256" s="72"/>
      <c r="AY256" s="72"/>
      <c r="AZ256" s="72"/>
      <c r="BA256" s="72"/>
    </row>
    <row r="257" spans="46:53" x14ac:dyDescent="0.2">
      <c r="AT257" s="55"/>
      <c r="AU257" s="55"/>
      <c r="AV257" s="55"/>
      <c r="AW257" s="79"/>
      <c r="AX257" s="78"/>
      <c r="AY257" s="78"/>
      <c r="AZ257" s="78"/>
      <c r="BA257" s="78"/>
    </row>
    <row r="258" spans="46:53" x14ac:dyDescent="0.2">
      <c r="AT258" s="55"/>
      <c r="AU258" s="55"/>
      <c r="AV258" s="55"/>
      <c r="AW258" s="79"/>
      <c r="AX258" s="78"/>
      <c r="AY258" s="78"/>
      <c r="AZ258" s="78"/>
      <c r="BA258" s="78"/>
    </row>
    <row r="259" spans="46:53" x14ac:dyDescent="0.2">
      <c r="AT259" s="55"/>
      <c r="AU259" s="55"/>
      <c r="AV259" s="55"/>
      <c r="AW259" s="66"/>
      <c r="AX259" s="63"/>
      <c r="AY259" s="63"/>
      <c r="AZ259" s="63"/>
      <c r="BA259" s="63"/>
    </row>
    <row r="260" spans="46:53" x14ac:dyDescent="0.2">
      <c r="AT260" s="63"/>
      <c r="AU260" s="63"/>
      <c r="AV260" s="63"/>
      <c r="AW260" s="66"/>
      <c r="AX260" s="63"/>
      <c r="AY260" s="63"/>
      <c r="AZ260" s="63"/>
      <c r="BA260" s="63"/>
    </row>
    <row r="261" spans="46:53" x14ac:dyDescent="0.2">
      <c r="AT261" s="63"/>
      <c r="AU261" s="63"/>
      <c r="AV261" s="63"/>
    </row>
    <row r="286" spans="46:53" x14ac:dyDescent="0.2">
      <c r="AT286" s="55"/>
      <c r="AU286" s="55"/>
      <c r="AV286" s="55"/>
      <c r="AW286" s="58"/>
      <c r="AX286" s="55"/>
      <c r="AY286" s="55"/>
      <c r="AZ286" s="55"/>
      <c r="BA286" s="55"/>
    </row>
    <row r="287" spans="46:53" x14ac:dyDescent="0.2">
      <c r="AT287" s="55"/>
      <c r="AU287" s="55"/>
      <c r="AV287" s="55"/>
      <c r="AW287" s="58"/>
      <c r="AX287" s="55"/>
      <c r="AY287" s="55"/>
      <c r="AZ287" s="55"/>
      <c r="BA287" s="55"/>
    </row>
    <row r="288" spans="46:53" x14ac:dyDescent="0.2">
      <c r="AT288" s="55"/>
      <c r="AU288" s="55"/>
      <c r="AV288" s="55"/>
      <c r="AW288" s="58"/>
      <c r="AX288" s="55"/>
      <c r="AY288" s="55"/>
      <c r="AZ288" s="55"/>
      <c r="BA288" s="55"/>
    </row>
    <row r="289" spans="46:53" x14ac:dyDescent="0.2">
      <c r="AT289" s="55"/>
      <c r="AU289" s="55"/>
      <c r="AV289" s="55"/>
      <c r="AW289" s="58"/>
      <c r="AX289" s="55"/>
      <c r="AY289" s="55"/>
      <c r="AZ289" s="55"/>
      <c r="BA289" s="55"/>
    </row>
    <row r="290" spans="46:53" x14ac:dyDescent="0.2">
      <c r="AT290" s="55"/>
      <c r="AU290" s="55"/>
      <c r="AV290" s="55"/>
      <c r="AW290" s="58"/>
      <c r="AX290" s="55"/>
      <c r="AY290" s="55"/>
      <c r="AZ290" s="55"/>
      <c r="BA290" s="55"/>
    </row>
    <row r="291" spans="46:53" x14ac:dyDescent="0.2">
      <c r="AT291" s="55"/>
      <c r="AU291" s="55"/>
      <c r="AV291" s="55"/>
      <c r="AW291" s="58"/>
      <c r="AX291" s="55"/>
      <c r="AY291" s="55"/>
      <c r="AZ291" s="55"/>
      <c r="BA291" s="55"/>
    </row>
    <row r="292" spans="46:53" x14ac:dyDescent="0.2">
      <c r="AT292" s="55"/>
      <c r="AU292" s="55"/>
      <c r="AV292" s="55"/>
      <c r="AW292" s="58"/>
      <c r="AX292" s="55"/>
      <c r="AY292" s="55"/>
      <c r="AZ292" s="55"/>
      <c r="BA292" s="55"/>
    </row>
    <row r="293" spans="46:53" x14ac:dyDescent="0.2">
      <c r="AT293" s="55"/>
      <c r="AU293" s="55"/>
      <c r="AV293" s="55"/>
      <c r="AW293" s="58"/>
      <c r="AX293" s="55"/>
      <c r="AY293" s="55"/>
      <c r="AZ293" s="55"/>
      <c r="BA293" s="55"/>
    </row>
    <row r="294" spans="46:53" x14ac:dyDescent="0.2">
      <c r="AT294" s="55"/>
      <c r="AU294" s="55"/>
      <c r="AV294" s="55"/>
      <c r="AW294" s="58"/>
      <c r="AX294" s="55"/>
      <c r="AY294" s="55"/>
      <c r="AZ294" s="55"/>
      <c r="BA294" s="55"/>
    </row>
    <row r="295" spans="46:53" x14ac:dyDescent="0.2">
      <c r="AT295" s="55"/>
      <c r="AU295" s="55"/>
      <c r="AV295" s="55"/>
      <c r="AW295" s="58"/>
      <c r="AX295" s="55"/>
      <c r="AY295" s="55"/>
      <c r="AZ295" s="55"/>
      <c r="BA295" s="55"/>
    </row>
    <row r="296" spans="46:53" x14ac:dyDescent="0.2">
      <c r="AT296" s="55"/>
      <c r="AU296" s="55"/>
      <c r="AV296" s="55"/>
      <c r="AW296" s="58"/>
      <c r="AX296" s="55"/>
      <c r="AY296" s="55"/>
      <c r="AZ296" s="55"/>
      <c r="BA296" s="55"/>
    </row>
    <row r="297" spans="46:53" x14ac:dyDescent="0.2">
      <c r="AT297" s="55"/>
      <c r="AU297" s="55"/>
      <c r="AV297" s="55"/>
      <c r="AW297" s="58"/>
      <c r="AX297" s="55"/>
      <c r="AY297" s="55"/>
      <c r="AZ297" s="55"/>
      <c r="BA297" s="55"/>
    </row>
    <row r="298" spans="46:53" x14ac:dyDescent="0.2">
      <c r="AT298" s="55"/>
      <c r="AU298" s="55"/>
      <c r="AV298" s="55"/>
      <c r="AW298" s="58"/>
      <c r="AX298" s="55"/>
      <c r="AY298" s="55"/>
      <c r="AZ298" s="55"/>
      <c r="BA298" s="55"/>
    </row>
    <row r="299" spans="46:53" x14ac:dyDescent="0.2">
      <c r="AT299" s="55"/>
      <c r="AU299" s="55"/>
      <c r="AV299" s="55"/>
      <c r="AW299" s="58"/>
      <c r="AX299" s="55"/>
      <c r="AY299" s="55"/>
      <c r="AZ299" s="55"/>
      <c r="BA299" s="55"/>
    </row>
    <row r="300" spans="46:53" x14ac:dyDescent="0.2">
      <c r="AT300" s="55"/>
      <c r="AU300" s="55"/>
      <c r="AV300" s="55"/>
      <c r="AW300" s="58"/>
      <c r="AX300" s="55"/>
      <c r="AY300" s="55"/>
      <c r="AZ300" s="55"/>
      <c r="BA300" s="55"/>
    </row>
    <row r="301" spans="46:53" x14ac:dyDescent="0.2">
      <c r="AT301" s="55"/>
      <c r="AU301" s="55"/>
      <c r="AV301" s="55"/>
      <c r="AW301" s="58"/>
      <c r="AX301" s="55"/>
      <c r="AY301" s="55"/>
      <c r="AZ301" s="55"/>
      <c r="BA301" s="55"/>
    </row>
    <row r="302" spans="46:53" x14ac:dyDescent="0.2">
      <c r="AT302" s="55"/>
      <c r="AU302" s="55"/>
      <c r="AV302" s="55"/>
      <c r="AW302" s="58"/>
      <c r="AX302" s="55"/>
      <c r="AY302" s="55"/>
      <c r="AZ302" s="55"/>
      <c r="BA302" s="55"/>
    </row>
    <row r="303" spans="46:53" x14ac:dyDescent="0.2">
      <c r="AT303" s="55"/>
      <c r="AU303" s="55"/>
      <c r="AV303" s="55"/>
      <c r="AW303" s="58"/>
      <c r="AX303" s="55"/>
      <c r="AY303" s="55"/>
      <c r="AZ303" s="55"/>
      <c r="BA303" s="55"/>
    </row>
    <row r="304" spans="46:53" x14ac:dyDescent="0.2">
      <c r="AT304" s="55"/>
      <c r="AU304" s="55"/>
      <c r="AV304" s="55"/>
      <c r="AW304" s="58"/>
      <c r="AX304" s="55"/>
      <c r="AY304" s="55"/>
      <c r="AZ304" s="55"/>
      <c r="BA304" s="55"/>
    </row>
    <row r="305" spans="46:53" x14ac:dyDescent="0.2">
      <c r="AT305" s="55"/>
      <c r="AU305" s="55"/>
      <c r="AV305" s="55"/>
      <c r="AW305" s="58"/>
      <c r="AX305" s="55"/>
      <c r="AY305" s="55"/>
      <c r="AZ305" s="55"/>
      <c r="BA305" s="55"/>
    </row>
    <row r="306" spans="46:53" x14ac:dyDescent="0.2">
      <c r="AT306" s="55"/>
      <c r="AU306" s="55"/>
      <c r="AV306" s="55"/>
      <c r="AW306" s="58"/>
      <c r="AX306" s="55"/>
      <c r="AY306" s="55"/>
      <c r="AZ306" s="55"/>
      <c r="BA306" s="55"/>
    </row>
    <row r="307" spans="46:53" x14ac:dyDescent="0.2">
      <c r="AT307" s="55"/>
      <c r="AU307" s="55"/>
      <c r="AV307" s="55"/>
      <c r="AW307" s="58"/>
      <c r="AX307" s="55"/>
      <c r="AY307" s="55"/>
      <c r="AZ307" s="55"/>
      <c r="BA307" s="55"/>
    </row>
    <row r="308" spans="46:53" x14ac:dyDescent="0.2">
      <c r="AT308" s="55"/>
      <c r="AU308" s="55"/>
      <c r="AV308" s="55"/>
      <c r="AW308" s="58"/>
      <c r="AX308" s="55"/>
      <c r="AY308" s="55"/>
      <c r="AZ308" s="55"/>
      <c r="BA308" s="55"/>
    </row>
    <row r="309" spans="46:53" x14ac:dyDescent="0.2">
      <c r="AT309" s="55"/>
      <c r="AU309" s="55"/>
      <c r="AV309" s="55"/>
      <c r="AW309" s="58"/>
      <c r="AX309" s="55"/>
      <c r="AY309" s="55"/>
      <c r="AZ309" s="55"/>
      <c r="BA309" s="55"/>
    </row>
    <row r="310" spans="46:53" x14ac:dyDescent="0.2">
      <c r="AT310" s="55"/>
      <c r="AU310" s="55"/>
      <c r="AV310" s="55"/>
      <c r="AW310" s="58"/>
      <c r="AX310" s="55"/>
      <c r="AY310" s="55"/>
      <c r="AZ310" s="55"/>
      <c r="BA310" s="55"/>
    </row>
    <row r="311" spans="46:53" x14ac:dyDescent="0.2">
      <c r="AT311" s="55"/>
      <c r="AU311" s="55"/>
      <c r="AV311" s="55"/>
      <c r="AW311" s="58"/>
      <c r="AX311" s="55"/>
      <c r="AY311" s="55"/>
      <c r="AZ311" s="55"/>
      <c r="BA311" s="55"/>
    </row>
    <row r="312" spans="46:53" x14ac:dyDescent="0.2">
      <c r="AT312" s="55"/>
      <c r="AU312" s="55"/>
      <c r="AV312" s="55"/>
      <c r="AW312" s="58"/>
      <c r="AX312" s="55"/>
      <c r="AY312" s="55"/>
      <c r="AZ312" s="55"/>
      <c r="BA312" s="55"/>
    </row>
    <row r="313" spans="46:53" x14ac:dyDescent="0.2">
      <c r="AT313" s="55"/>
      <c r="AU313" s="55"/>
      <c r="AV313" s="55"/>
      <c r="AW313" s="58"/>
      <c r="AX313" s="55"/>
      <c r="AY313" s="55"/>
      <c r="AZ313" s="55"/>
      <c r="BA313" s="55"/>
    </row>
    <row r="314" spans="46:53" x14ac:dyDescent="0.2">
      <c r="AT314" s="55"/>
      <c r="AU314" s="55"/>
      <c r="AV314" s="55"/>
      <c r="AW314" s="58"/>
      <c r="AX314" s="55"/>
      <c r="AY314" s="55"/>
      <c r="AZ314" s="55"/>
      <c r="BA314" s="55"/>
    </row>
    <row r="315" spans="46:53" x14ac:dyDescent="0.2">
      <c r="AT315" s="55"/>
      <c r="AU315" s="55"/>
      <c r="AV315" s="55"/>
      <c r="AW315" s="58"/>
      <c r="AX315" s="55"/>
      <c r="AY315" s="55"/>
      <c r="AZ315" s="55"/>
      <c r="BA315" s="55"/>
    </row>
    <row r="316" spans="46:53" x14ac:dyDescent="0.2">
      <c r="AT316" s="55"/>
      <c r="AU316" s="55"/>
      <c r="AV316" s="55"/>
      <c r="AW316" s="58"/>
      <c r="AX316" s="55"/>
      <c r="AY316" s="55"/>
      <c r="AZ316" s="55"/>
      <c r="BA316" s="55"/>
    </row>
    <row r="317" spans="46:53" x14ac:dyDescent="0.2">
      <c r="AT317" s="55"/>
      <c r="AU317" s="55"/>
      <c r="AV317" s="55"/>
      <c r="AW317" s="58"/>
      <c r="AX317" s="55"/>
      <c r="AY317" s="55"/>
      <c r="AZ317" s="55"/>
      <c r="BA317" s="55"/>
    </row>
    <row r="318" spans="46:53" x14ac:dyDescent="0.2">
      <c r="AT318" s="55"/>
      <c r="AU318" s="55"/>
      <c r="AV318" s="55"/>
      <c r="AW318" s="58"/>
      <c r="AX318" s="55"/>
      <c r="AY318" s="55"/>
      <c r="AZ318" s="55"/>
      <c r="BA318" s="55"/>
    </row>
    <row r="319" spans="46:53" x14ac:dyDescent="0.2">
      <c r="AT319" s="55"/>
      <c r="AU319" s="55"/>
      <c r="AV319" s="55"/>
      <c r="AW319" s="58"/>
      <c r="AX319" s="55"/>
      <c r="AY319" s="55"/>
      <c r="AZ319" s="55"/>
      <c r="BA319" s="55"/>
    </row>
    <row r="320" spans="46:53" x14ac:dyDescent="0.2">
      <c r="AT320" s="55"/>
      <c r="AU320" s="55"/>
      <c r="AV320" s="55"/>
      <c r="AW320" s="58"/>
      <c r="AX320" s="55"/>
      <c r="AY320" s="55"/>
      <c r="AZ320" s="55"/>
      <c r="BA320" s="55"/>
    </row>
    <row r="321" spans="46:53" x14ac:dyDescent="0.2">
      <c r="AT321" s="55"/>
      <c r="AU321" s="55"/>
      <c r="AV321" s="55"/>
      <c r="AW321" s="58"/>
      <c r="AX321" s="55"/>
      <c r="AY321" s="55"/>
      <c r="AZ321" s="55"/>
      <c r="BA321" s="55"/>
    </row>
    <row r="322" spans="46:53" x14ac:dyDescent="0.2">
      <c r="AT322" s="55"/>
      <c r="AU322" s="55"/>
      <c r="AV322" s="55"/>
      <c r="AW322" s="58"/>
      <c r="AX322" s="55"/>
      <c r="AY322" s="55"/>
      <c r="AZ322" s="55"/>
      <c r="BA322" s="55"/>
    </row>
    <row r="323" spans="46:53" x14ac:dyDescent="0.2">
      <c r="AT323" s="55"/>
      <c r="AU323" s="55"/>
      <c r="AV323" s="55"/>
      <c r="AW323" s="58"/>
      <c r="AX323" s="55"/>
      <c r="AY323" s="55"/>
      <c r="AZ323" s="55"/>
      <c r="BA323" s="55"/>
    </row>
    <row r="324" spans="46:53" x14ac:dyDescent="0.2">
      <c r="AT324" s="55"/>
      <c r="AU324" s="55"/>
      <c r="AV324" s="55"/>
      <c r="AW324" s="58"/>
      <c r="AX324" s="55"/>
      <c r="AY324" s="55"/>
      <c r="AZ324" s="55"/>
      <c r="BA324" s="55"/>
    </row>
    <row r="325" spans="46:53" x14ac:dyDescent="0.2">
      <c r="AT325" s="55"/>
      <c r="AU325" s="55"/>
      <c r="AV325" s="55"/>
      <c r="AW325" s="58"/>
      <c r="AX325" s="55"/>
      <c r="AY325" s="55"/>
      <c r="AZ325" s="55"/>
      <c r="BA325" s="55"/>
    </row>
    <row r="326" spans="46:53" x14ac:dyDescent="0.2">
      <c r="AT326" s="55"/>
      <c r="AU326" s="55"/>
      <c r="AV326" s="55"/>
      <c r="AW326" s="58"/>
      <c r="AX326" s="55"/>
      <c r="AY326" s="55"/>
      <c r="AZ326" s="55"/>
      <c r="BA326" s="55"/>
    </row>
    <row r="327" spans="46:53" x14ac:dyDescent="0.2">
      <c r="AT327" s="55"/>
      <c r="AU327" s="55"/>
      <c r="AV327" s="55"/>
      <c r="AW327" s="58"/>
      <c r="AX327" s="55"/>
      <c r="AY327" s="55"/>
      <c r="AZ327" s="55"/>
      <c r="BA327" s="55"/>
    </row>
    <row r="328" spans="46:53" x14ac:dyDescent="0.2">
      <c r="AT328" s="55"/>
      <c r="AU328" s="55"/>
      <c r="AV328" s="55"/>
      <c r="AW328" s="58"/>
      <c r="AX328" s="55"/>
      <c r="AY328" s="55"/>
      <c r="AZ328" s="55"/>
      <c r="BA328" s="55"/>
    </row>
    <row r="329" spans="46:53" x14ac:dyDescent="0.2">
      <c r="AT329" s="55"/>
      <c r="AU329" s="55"/>
      <c r="AV329" s="55"/>
      <c r="AW329" s="58"/>
      <c r="AX329" s="55"/>
      <c r="AY329" s="55"/>
      <c r="AZ329" s="55"/>
      <c r="BA329" s="55"/>
    </row>
    <row r="330" spans="46:53" x14ac:dyDescent="0.2">
      <c r="AT330" s="55"/>
      <c r="AU330" s="55"/>
      <c r="AV330" s="55"/>
      <c r="AW330" s="58"/>
      <c r="AX330" s="55"/>
      <c r="AY330" s="55"/>
      <c r="AZ330" s="55"/>
      <c r="BA330" s="55"/>
    </row>
    <row r="331" spans="46:53" x14ac:dyDescent="0.2">
      <c r="AT331" s="55"/>
      <c r="AU331" s="55"/>
      <c r="AV331" s="55"/>
      <c r="AW331" s="58"/>
      <c r="AX331" s="55"/>
      <c r="AY331" s="55"/>
      <c r="AZ331" s="55"/>
      <c r="BA331" s="55"/>
    </row>
    <row r="332" spans="46:53" x14ac:dyDescent="0.2">
      <c r="AT332" s="63"/>
      <c r="AU332" s="63"/>
      <c r="AV332" s="63"/>
    </row>
    <row r="333" spans="46:53" x14ac:dyDescent="0.2">
      <c r="AT333" s="63"/>
      <c r="AU333" s="63"/>
      <c r="AV333" s="63"/>
      <c r="AW333" s="66"/>
      <c r="AX333" s="63"/>
      <c r="AY333" s="63"/>
      <c r="AZ333" s="63"/>
      <c r="BA333" s="63"/>
    </row>
    <row r="334" spans="46:53" x14ac:dyDescent="0.2">
      <c r="AW334" s="66"/>
      <c r="AX334" s="63"/>
      <c r="AY334" s="63"/>
      <c r="AZ334" s="63"/>
      <c r="BA334" s="63"/>
    </row>
    <row r="335" spans="46:53" x14ac:dyDescent="0.2">
      <c r="AW335" s="66"/>
      <c r="AX335" s="63"/>
      <c r="AY335" s="63"/>
      <c r="AZ335" s="63"/>
      <c r="BA335" s="63"/>
    </row>
    <row r="336" spans="46:53" x14ac:dyDescent="0.2">
      <c r="AW336" s="66"/>
      <c r="AX336" s="63"/>
      <c r="AY336" s="63"/>
      <c r="AZ336" s="63"/>
      <c r="BA336" s="63"/>
    </row>
    <row r="337" spans="46:53" x14ac:dyDescent="0.2">
      <c r="AW337" s="66"/>
      <c r="AX337" s="63"/>
      <c r="AY337" s="63"/>
      <c r="AZ337" s="63"/>
      <c r="BA337" s="63"/>
    </row>
    <row r="338" spans="46:53" x14ac:dyDescent="0.2">
      <c r="AW338" s="66"/>
      <c r="AX338" s="63"/>
      <c r="AY338" s="63"/>
      <c r="AZ338" s="63"/>
      <c r="BA338" s="63"/>
    </row>
    <row r="339" spans="46:53" x14ac:dyDescent="0.2">
      <c r="AW339" s="66"/>
      <c r="AX339" s="63"/>
      <c r="AY339" s="63"/>
      <c r="AZ339" s="63"/>
      <c r="BA339" s="63"/>
    </row>
    <row r="340" spans="46:53" x14ac:dyDescent="0.2">
      <c r="AW340" s="66"/>
      <c r="AX340" s="63"/>
      <c r="AY340" s="63"/>
      <c r="AZ340" s="63"/>
      <c r="BA340" s="63"/>
    </row>
    <row r="341" spans="46:53" x14ac:dyDescent="0.2">
      <c r="AW341" s="73"/>
      <c r="AX341" s="72"/>
      <c r="AY341" s="72"/>
      <c r="AZ341" s="72"/>
      <c r="BA341" s="72"/>
    </row>
    <row r="342" spans="46:53" x14ac:dyDescent="0.2">
      <c r="AW342" s="79"/>
      <c r="AX342" s="78"/>
      <c r="AY342" s="78"/>
      <c r="AZ342" s="78"/>
      <c r="BA342" s="78"/>
    </row>
    <row r="343" spans="46:53" x14ac:dyDescent="0.2">
      <c r="AW343" s="79"/>
      <c r="AX343" s="78"/>
      <c r="AY343" s="78"/>
      <c r="AZ343" s="78"/>
      <c r="BA343" s="78"/>
    </row>
    <row r="344" spans="46:53" x14ac:dyDescent="0.2">
      <c r="AW344" s="66"/>
      <c r="AX344" s="63"/>
      <c r="AY344" s="63"/>
      <c r="AZ344" s="63"/>
      <c r="BA344" s="63"/>
    </row>
    <row r="345" spans="46:53" x14ac:dyDescent="0.2">
      <c r="AW345" s="66"/>
      <c r="AX345" s="63"/>
      <c r="AY345" s="63"/>
      <c r="AZ345" s="63"/>
      <c r="BA345" s="63"/>
    </row>
    <row r="348" spans="46:53" x14ac:dyDescent="0.2">
      <c r="AT348" s="96"/>
      <c r="AU348" s="96"/>
    </row>
    <row r="371" spans="46:53" x14ac:dyDescent="0.2">
      <c r="AW371" s="58"/>
      <c r="AX371" s="55"/>
      <c r="AY371" s="55"/>
      <c r="AZ371" s="55"/>
      <c r="BA371" s="55"/>
    </row>
    <row r="372" spans="46:53" x14ac:dyDescent="0.2">
      <c r="AW372" s="58"/>
      <c r="AX372" s="55"/>
      <c r="AY372" s="55"/>
      <c r="AZ372" s="55"/>
      <c r="BA372" s="55"/>
    </row>
    <row r="373" spans="46:53" x14ac:dyDescent="0.2">
      <c r="AW373" s="58"/>
      <c r="AX373" s="55"/>
      <c r="AY373" s="55"/>
      <c r="AZ373" s="55"/>
      <c r="BA373" s="55"/>
    </row>
    <row r="374" spans="46:53" x14ac:dyDescent="0.2">
      <c r="AW374" s="58"/>
      <c r="AX374" s="55"/>
      <c r="AY374" s="55"/>
      <c r="AZ374" s="55"/>
      <c r="BA374" s="55"/>
    </row>
    <row r="375" spans="46:53" x14ac:dyDescent="0.2">
      <c r="AW375" s="58"/>
      <c r="AX375" s="55"/>
      <c r="AY375" s="55"/>
      <c r="AZ375" s="55"/>
      <c r="BA375" s="55"/>
    </row>
    <row r="376" spans="46:53" x14ac:dyDescent="0.2">
      <c r="AW376" s="58"/>
      <c r="AX376" s="55"/>
      <c r="AY376" s="55"/>
      <c r="AZ376" s="55"/>
      <c r="BA376" s="55"/>
    </row>
    <row r="377" spans="46:53" x14ac:dyDescent="0.2">
      <c r="AW377" s="58"/>
      <c r="AX377" s="55"/>
      <c r="AY377" s="55"/>
      <c r="AZ377" s="55"/>
      <c r="BA377" s="55"/>
    </row>
    <row r="378" spans="46:53" x14ac:dyDescent="0.2">
      <c r="AW378" s="58"/>
      <c r="AX378" s="55"/>
      <c r="AY378" s="55"/>
      <c r="AZ378" s="55"/>
      <c r="BA378" s="55"/>
    </row>
    <row r="379" spans="46:53" x14ac:dyDescent="0.2">
      <c r="AW379" s="58"/>
      <c r="AX379" s="55"/>
      <c r="AY379" s="55"/>
      <c r="AZ379" s="55"/>
      <c r="BA379" s="55"/>
    </row>
    <row r="380" spans="46:53" x14ac:dyDescent="0.2">
      <c r="AW380" s="58"/>
      <c r="AX380" s="55"/>
      <c r="AY380" s="55"/>
      <c r="AZ380" s="55"/>
      <c r="BA380" s="55"/>
    </row>
    <row r="381" spans="46:53" x14ac:dyDescent="0.2">
      <c r="AW381" s="58"/>
      <c r="AX381" s="55"/>
      <c r="AY381" s="55"/>
      <c r="AZ381" s="55"/>
      <c r="BA381" s="55"/>
    </row>
    <row r="382" spans="46:53" x14ac:dyDescent="0.2">
      <c r="AW382" s="58"/>
      <c r="AX382" s="55"/>
      <c r="AY382" s="55"/>
      <c r="AZ382" s="55"/>
      <c r="BA382" s="55"/>
    </row>
    <row r="383" spans="46:53" x14ac:dyDescent="0.2">
      <c r="AW383" s="58"/>
      <c r="AX383" s="55"/>
      <c r="AY383" s="55"/>
      <c r="AZ383" s="55"/>
      <c r="BA383" s="55"/>
    </row>
    <row r="384" spans="46:53" x14ac:dyDescent="0.2">
      <c r="AT384" s="96"/>
      <c r="AU384" s="96"/>
      <c r="AW384" s="58"/>
      <c r="AX384" s="55"/>
      <c r="AY384" s="55"/>
      <c r="AZ384" s="55"/>
      <c r="BA384" s="55"/>
    </row>
    <row r="385" spans="49:53" x14ac:dyDescent="0.2">
      <c r="AW385" s="58"/>
      <c r="AX385" s="55"/>
      <c r="AY385" s="55"/>
      <c r="AZ385" s="55"/>
      <c r="BA385" s="55"/>
    </row>
    <row r="386" spans="49:53" x14ac:dyDescent="0.2">
      <c r="AW386" s="58"/>
      <c r="AX386" s="55"/>
      <c r="AY386" s="55"/>
      <c r="AZ386" s="55"/>
      <c r="BA386" s="55"/>
    </row>
    <row r="387" spans="49:53" x14ac:dyDescent="0.2">
      <c r="AW387" s="58"/>
      <c r="AX387" s="55"/>
      <c r="AY387" s="55"/>
      <c r="AZ387" s="55"/>
      <c r="BA387" s="55"/>
    </row>
    <row r="388" spans="49:53" x14ac:dyDescent="0.2">
      <c r="AW388" s="58"/>
      <c r="AX388" s="55"/>
      <c r="AY388" s="55"/>
      <c r="AZ388" s="55"/>
      <c r="BA388" s="55"/>
    </row>
    <row r="389" spans="49:53" x14ac:dyDescent="0.2">
      <c r="AW389" s="58"/>
      <c r="AX389" s="55"/>
      <c r="AY389" s="55"/>
      <c r="AZ389" s="55"/>
      <c r="BA389" s="55"/>
    </row>
    <row r="390" spans="49:53" x14ac:dyDescent="0.2">
      <c r="AW390" s="58"/>
      <c r="AX390" s="55"/>
      <c r="AY390" s="55"/>
      <c r="AZ390" s="55"/>
      <c r="BA390" s="55"/>
    </row>
    <row r="391" spans="49:53" x14ac:dyDescent="0.2">
      <c r="AW391" s="58"/>
      <c r="AX391" s="55"/>
      <c r="AY391" s="55"/>
      <c r="AZ391" s="55"/>
      <c r="BA391" s="55"/>
    </row>
    <row r="392" spans="49:53" x14ac:dyDescent="0.2">
      <c r="AW392" s="58"/>
      <c r="AX392" s="55"/>
      <c r="AY392" s="55"/>
      <c r="AZ392" s="55"/>
      <c r="BA392" s="55"/>
    </row>
    <row r="393" spans="49:53" x14ac:dyDescent="0.2">
      <c r="AW393" s="58"/>
      <c r="AX393" s="55"/>
      <c r="AY393" s="55"/>
      <c r="AZ393" s="55"/>
      <c r="BA393" s="55"/>
    </row>
    <row r="394" spans="49:53" x14ac:dyDescent="0.2">
      <c r="AW394" s="58"/>
      <c r="AX394" s="55"/>
      <c r="AY394" s="55"/>
      <c r="AZ394" s="55"/>
      <c r="BA394" s="55"/>
    </row>
    <row r="395" spans="49:53" x14ac:dyDescent="0.2">
      <c r="AW395" s="58"/>
      <c r="AX395" s="55"/>
      <c r="AY395" s="55"/>
      <c r="AZ395" s="55"/>
      <c r="BA395" s="55"/>
    </row>
    <row r="396" spans="49:53" x14ac:dyDescent="0.2">
      <c r="AW396" s="58"/>
      <c r="AX396" s="55"/>
      <c r="AY396" s="55"/>
      <c r="AZ396" s="55"/>
      <c r="BA396" s="55"/>
    </row>
    <row r="397" spans="49:53" x14ac:dyDescent="0.2">
      <c r="AW397" s="58"/>
      <c r="AX397" s="55"/>
      <c r="AY397" s="55"/>
      <c r="AZ397" s="55"/>
      <c r="BA397" s="55"/>
    </row>
    <row r="398" spans="49:53" x14ac:dyDescent="0.2">
      <c r="AW398" s="58"/>
      <c r="AX398" s="55"/>
      <c r="AY398" s="55"/>
      <c r="AZ398" s="55"/>
      <c r="BA398" s="55"/>
    </row>
    <row r="399" spans="49:53" x14ac:dyDescent="0.2">
      <c r="AW399" s="58"/>
      <c r="AX399" s="55"/>
      <c r="AY399" s="55"/>
      <c r="AZ399" s="55"/>
      <c r="BA399" s="55"/>
    </row>
    <row r="400" spans="49:53" x14ac:dyDescent="0.2">
      <c r="AW400" s="58"/>
      <c r="AX400" s="55"/>
      <c r="AY400" s="55"/>
      <c r="AZ400" s="55"/>
      <c r="BA400" s="55"/>
    </row>
    <row r="401" spans="49:53" x14ac:dyDescent="0.2">
      <c r="AW401" s="58"/>
      <c r="AX401" s="55"/>
      <c r="AY401" s="55"/>
      <c r="AZ401" s="55"/>
      <c r="BA401" s="55"/>
    </row>
    <row r="402" spans="49:53" x14ac:dyDescent="0.2">
      <c r="AW402" s="58"/>
      <c r="AX402" s="55"/>
      <c r="AY402" s="55"/>
      <c r="AZ402" s="55"/>
      <c r="BA402" s="55"/>
    </row>
    <row r="403" spans="49:53" x14ac:dyDescent="0.2">
      <c r="AW403" s="58"/>
      <c r="AX403" s="55"/>
      <c r="AY403" s="55"/>
      <c r="AZ403" s="55"/>
      <c r="BA403" s="55"/>
    </row>
    <row r="404" spans="49:53" x14ac:dyDescent="0.2">
      <c r="AW404" s="58"/>
      <c r="AX404" s="55"/>
      <c r="AY404" s="55"/>
      <c r="AZ404" s="55"/>
      <c r="BA404" s="55"/>
    </row>
    <row r="405" spans="49:53" x14ac:dyDescent="0.2">
      <c r="AW405" s="58"/>
      <c r="AX405" s="55"/>
      <c r="AY405" s="55"/>
      <c r="AZ405" s="55"/>
      <c r="BA405" s="55"/>
    </row>
    <row r="406" spans="49:53" x14ac:dyDescent="0.2">
      <c r="AW406" s="58"/>
      <c r="AX406" s="55"/>
      <c r="AY406" s="55"/>
      <c r="AZ406" s="55"/>
      <c r="BA406" s="55"/>
    </row>
    <row r="407" spans="49:53" x14ac:dyDescent="0.2">
      <c r="AW407" s="58"/>
      <c r="AX407" s="55"/>
      <c r="AY407" s="55"/>
      <c r="AZ407" s="55"/>
      <c r="BA407" s="55"/>
    </row>
    <row r="408" spans="49:53" x14ac:dyDescent="0.2">
      <c r="AW408" s="58"/>
      <c r="AX408" s="55"/>
      <c r="AY408" s="55"/>
      <c r="AZ408" s="55"/>
      <c r="BA408" s="55"/>
    </row>
    <row r="409" spans="49:53" x14ac:dyDescent="0.2">
      <c r="AW409" s="58"/>
      <c r="AX409" s="55"/>
      <c r="AY409" s="55"/>
      <c r="AZ409" s="55"/>
      <c r="BA409" s="55"/>
    </row>
    <row r="410" spans="49:53" x14ac:dyDescent="0.2">
      <c r="AW410" s="58"/>
      <c r="AX410" s="55"/>
      <c r="AY410" s="55"/>
      <c r="AZ410" s="55"/>
      <c r="BA410" s="55"/>
    </row>
    <row r="411" spans="49:53" x14ac:dyDescent="0.2">
      <c r="AW411" s="58"/>
      <c r="AX411" s="55"/>
      <c r="AY411" s="55"/>
      <c r="AZ411" s="55"/>
      <c r="BA411" s="55"/>
    </row>
    <row r="412" spans="49:53" x14ac:dyDescent="0.2">
      <c r="AW412" s="58"/>
      <c r="AX412" s="55"/>
      <c r="AY412" s="55"/>
      <c r="AZ412" s="55"/>
      <c r="BA412" s="55"/>
    </row>
    <row r="413" spans="49:53" x14ac:dyDescent="0.2">
      <c r="AW413" s="58"/>
      <c r="AX413" s="55"/>
      <c r="AY413" s="55"/>
      <c r="AZ413" s="55"/>
      <c r="BA413" s="55"/>
    </row>
    <row r="414" spans="49:53" x14ac:dyDescent="0.2">
      <c r="AW414" s="58"/>
      <c r="AX414" s="55"/>
      <c r="AY414" s="55"/>
      <c r="AZ414" s="55"/>
      <c r="BA414" s="55"/>
    </row>
    <row r="415" spans="49:53" x14ac:dyDescent="0.2">
      <c r="AW415" s="58"/>
      <c r="AX415" s="55"/>
      <c r="AY415" s="55"/>
      <c r="AZ415" s="55"/>
      <c r="BA415" s="55"/>
    </row>
    <row r="416" spans="49:53" x14ac:dyDescent="0.2">
      <c r="AW416" s="58"/>
      <c r="AX416" s="55"/>
      <c r="AY416" s="55"/>
      <c r="AZ416" s="55"/>
      <c r="BA416" s="55"/>
    </row>
    <row r="418" spans="49:53" x14ac:dyDescent="0.2">
      <c r="AW418" s="66"/>
      <c r="AX418" s="63"/>
      <c r="AY418" s="63"/>
      <c r="AZ418" s="63"/>
      <c r="BA418" s="63"/>
    </row>
    <row r="419" spans="49:53" x14ac:dyDescent="0.2">
      <c r="AW419" s="66"/>
      <c r="AX419" s="63"/>
      <c r="AY419" s="63"/>
      <c r="AZ419" s="63"/>
      <c r="BA419" s="63"/>
    </row>
    <row r="420" spans="49:53" x14ac:dyDescent="0.2">
      <c r="AW420" s="66"/>
      <c r="AX420" s="63"/>
      <c r="AY420" s="63"/>
      <c r="AZ420" s="63"/>
      <c r="BA420" s="63"/>
    </row>
    <row r="421" spans="49:53" x14ac:dyDescent="0.2">
      <c r="AW421" s="66"/>
      <c r="AX421" s="63"/>
      <c r="AY421" s="63"/>
      <c r="AZ421" s="63"/>
      <c r="BA421" s="63"/>
    </row>
    <row r="422" spans="49:53" x14ac:dyDescent="0.2">
      <c r="AW422" s="66"/>
      <c r="AX422" s="63"/>
      <c r="AY422" s="63"/>
      <c r="AZ422" s="63"/>
      <c r="BA422" s="63"/>
    </row>
    <row r="423" spans="49:53" x14ac:dyDescent="0.2">
      <c r="AW423" s="66"/>
      <c r="AX423" s="63"/>
      <c r="AY423" s="63"/>
      <c r="AZ423" s="63"/>
      <c r="BA423" s="63"/>
    </row>
    <row r="424" spans="49:53" x14ac:dyDescent="0.2">
      <c r="AW424" s="66"/>
      <c r="AX424" s="63"/>
      <c r="AY424" s="63"/>
      <c r="AZ424" s="63"/>
      <c r="BA424" s="63"/>
    </row>
    <row r="425" spans="49:53" x14ac:dyDescent="0.2">
      <c r="AW425" s="66"/>
      <c r="AX425" s="63"/>
      <c r="AY425" s="63"/>
      <c r="AZ425" s="63"/>
      <c r="BA425" s="63"/>
    </row>
    <row r="426" spans="49:53" x14ac:dyDescent="0.2">
      <c r="AW426" s="73"/>
      <c r="AX426" s="72"/>
      <c r="AY426" s="72"/>
      <c r="AZ426" s="72"/>
      <c r="BA426" s="72"/>
    </row>
    <row r="427" spans="49:53" x14ac:dyDescent="0.2">
      <c r="AW427" s="79"/>
      <c r="AX427" s="78"/>
      <c r="AY427" s="78"/>
      <c r="AZ427" s="78"/>
      <c r="BA427" s="78"/>
    </row>
    <row r="428" spans="49:53" x14ac:dyDescent="0.2">
      <c r="AW428" s="79"/>
      <c r="AX428" s="78"/>
      <c r="AY428" s="78"/>
      <c r="AZ428" s="78"/>
      <c r="BA428" s="78"/>
    </row>
    <row r="429" spans="49:53" x14ac:dyDescent="0.2">
      <c r="AW429" s="66"/>
      <c r="AX429" s="63"/>
      <c r="AY429" s="63"/>
      <c r="AZ429" s="63"/>
      <c r="BA429" s="63"/>
    </row>
    <row r="430" spans="49:53" x14ac:dyDescent="0.2">
      <c r="AW430" s="66"/>
      <c r="AX430" s="63"/>
      <c r="AY430" s="63"/>
      <c r="AZ430" s="63"/>
      <c r="BA430" s="6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4997" priority="5" stopIfTrue="1">
      <formula>IF(AK9&gt;0,0,1)</formula>
    </cfRule>
  </conditionalFormatting>
  <conditionalFormatting sqref="A10:A11 A95:A96">
    <cfRule type="expression" dxfId="4996" priority="6" stopIfTrue="1">
      <formula>IF(AK9&gt;1,0,1)</formula>
    </cfRule>
  </conditionalFormatting>
  <conditionalFormatting sqref="A12:A13 A97:A98">
    <cfRule type="expression" dxfId="4995" priority="7" stopIfTrue="1">
      <formula>IF(AK9&gt;2,0,1)</formula>
    </cfRule>
  </conditionalFormatting>
  <conditionalFormatting sqref="A14:A15 A99:A100">
    <cfRule type="expression" dxfId="4994" priority="8" stopIfTrue="1">
      <formula>IF(AK9&gt;3,0,1)</formula>
    </cfRule>
  </conditionalFormatting>
  <conditionalFormatting sqref="A16:A17 A101:A102">
    <cfRule type="expression" dxfId="4993" priority="9" stopIfTrue="1">
      <formula>IF(AK9&gt;4,0,1)</formula>
    </cfRule>
  </conditionalFormatting>
  <conditionalFormatting sqref="B8 B93">
    <cfRule type="expression" dxfId="4992" priority="10" stopIfTrue="1">
      <formula>IF(AK9&gt;0,0,1)</formula>
    </cfRule>
  </conditionalFormatting>
  <conditionalFormatting sqref="B9 B94">
    <cfRule type="expression" dxfId="4991" priority="11" stopIfTrue="1">
      <formula>IF(AK9&gt;0,0,1)</formula>
    </cfRule>
  </conditionalFormatting>
  <conditionalFormatting sqref="B10 B95">
    <cfRule type="expression" dxfId="4990" priority="12" stopIfTrue="1">
      <formula>IF(AK9&gt;1,0,1)</formula>
    </cfRule>
  </conditionalFormatting>
  <conditionalFormatting sqref="B11:D11 B96:D96">
    <cfRule type="expression" dxfId="4989" priority="13" stopIfTrue="1">
      <formula>IF(AK9&gt;1,0,1)</formula>
    </cfRule>
  </conditionalFormatting>
  <conditionalFormatting sqref="B12:D12 B97:D97">
    <cfRule type="expression" dxfId="4988" priority="14" stopIfTrue="1">
      <formula>IF(AK9&gt;2,0,1)</formula>
    </cfRule>
  </conditionalFormatting>
  <conditionalFormatting sqref="B13:D13 B98:D98">
    <cfRule type="expression" dxfId="4987" priority="15" stopIfTrue="1">
      <formula>IF(AK9&gt;2,0,1)</formula>
    </cfRule>
  </conditionalFormatting>
  <conditionalFormatting sqref="B14:D14 B99:D99">
    <cfRule type="expression" dxfId="4986" priority="16" stopIfTrue="1">
      <formula>IF(AK9&gt;3,0,1)</formula>
    </cfRule>
  </conditionalFormatting>
  <conditionalFormatting sqref="B15:D15 B100:D100">
    <cfRule type="expression" dxfId="4985" priority="17" stopIfTrue="1">
      <formula>IF(AK9&gt;3,0,1)</formula>
    </cfRule>
  </conditionalFormatting>
  <conditionalFormatting sqref="B16:D16 B101:D101">
    <cfRule type="expression" dxfId="4984" priority="18" stopIfTrue="1">
      <formula>IF(AK9&gt;4,0,1)</formula>
    </cfRule>
  </conditionalFormatting>
  <conditionalFormatting sqref="B17:D17 B102:D102">
    <cfRule type="expression" dxfId="4983" priority="19" stopIfTrue="1">
      <formula>IF(AK9&gt;4,0,1)</formula>
    </cfRule>
  </conditionalFormatting>
  <conditionalFormatting sqref="E8 E93">
    <cfRule type="expression" dxfId="4982" priority="20" stopIfTrue="1">
      <formula>IF(AK9&gt;0,0,1)</formula>
    </cfRule>
  </conditionalFormatting>
  <conditionalFormatting sqref="E9 E94">
    <cfRule type="expression" dxfId="4981" priority="21" stopIfTrue="1">
      <formula>IF(AK9&gt;0,0,1)</formula>
    </cfRule>
  </conditionalFormatting>
  <conditionalFormatting sqref="E10 E95">
    <cfRule type="expression" dxfId="4980" priority="22" stopIfTrue="1">
      <formula>IF(AK9&gt;1,0,1)</formula>
    </cfRule>
  </conditionalFormatting>
  <conditionalFormatting sqref="E11 E96">
    <cfRule type="expression" dxfId="4979" priority="23" stopIfTrue="1">
      <formula>IF(AK9&gt;1,0,1)</formula>
    </cfRule>
  </conditionalFormatting>
  <conditionalFormatting sqref="E12 E97">
    <cfRule type="expression" dxfId="4978" priority="24" stopIfTrue="1">
      <formula>IF(AK9&gt;2,0,1)</formula>
    </cfRule>
  </conditionalFormatting>
  <conditionalFormatting sqref="E13 E98">
    <cfRule type="expression" dxfId="4977" priority="25" stopIfTrue="1">
      <formula>IF(AK9&gt;2,0,1)</formula>
    </cfRule>
  </conditionalFormatting>
  <conditionalFormatting sqref="E14 E99">
    <cfRule type="expression" dxfId="4976" priority="26" stopIfTrue="1">
      <formula>IF(AK9&gt;3,0,1)</formula>
    </cfRule>
  </conditionalFormatting>
  <conditionalFormatting sqref="E15 E100">
    <cfRule type="expression" dxfId="4975" priority="27" stopIfTrue="1">
      <formula>IF(AK9&gt;3,0,1)</formula>
    </cfRule>
  </conditionalFormatting>
  <conditionalFormatting sqref="E16 E101">
    <cfRule type="expression" dxfId="4974" priority="28" stopIfTrue="1">
      <formula>IF(AK9&gt;4,0,1)</formula>
    </cfRule>
  </conditionalFormatting>
  <conditionalFormatting sqref="E17 E102">
    <cfRule type="expression" dxfId="4973" priority="29" stopIfTrue="1">
      <formula>IF(AK9&gt;4,0,1)</formula>
    </cfRule>
  </conditionalFormatting>
  <conditionalFormatting sqref="AC8 AC93">
    <cfRule type="expression" dxfId="4972" priority="30" stopIfTrue="1">
      <formula>IF(AK11=1,IF(AK9&gt;0,0,1),1)</formula>
    </cfRule>
  </conditionalFormatting>
  <conditionalFormatting sqref="AC10:AE11 AC95:AE96">
    <cfRule type="expression" dxfId="4971" priority="31" stopIfTrue="1">
      <formula>IF(AK11=1,IF(AK9&gt;1,0,1),1)</formula>
    </cfRule>
  </conditionalFormatting>
  <conditionalFormatting sqref="AC12:AE13 AC97:AE98">
    <cfRule type="expression" dxfId="4970" priority="32" stopIfTrue="1">
      <formula>IF(AK11=1,IF(AK9&gt;2,0,1),1)</formula>
    </cfRule>
  </conditionalFormatting>
  <conditionalFormatting sqref="AC14:AE15 AC99:AE100">
    <cfRule type="expression" dxfId="4969" priority="33" stopIfTrue="1">
      <formula>IF(AK11=1,IF(AK9&gt;3,0,1),1)</formula>
    </cfRule>
  </conditionalFormatting>
  <conditionalFormatting sqref="AC16:AE17 AC101:AE102">
    <cfRule type="expression" dxfId="4968" priority="34" stopIfTrue="1">
      <formula>IF(AK11=1,IF(AK9&gt;4,0,1),1)</formula>
    </cfRule>
  </conditionalFormatting>
  <conditionalFormatting sqref="AH8 AH93">
    <cfRule type="expression" dxfId="4967" priority="35" stopIfTrue="1">
      <formula>IF(AK9&gt;0,0,1)</formula>
    </cfRule>
  </conditionalFormatting>
  <conditionalFormatting sqref="AH10:AI11 AH95:AI96">
    <cfRule type="expression" dxfId="4966" priority="36" stopIfTrue="1">
      <formula>IF(AK9&gt;1,0,1)</formula>
    </cfRule>
  </conditionalFormatting>
  <conditionalFormatting sqref="AH12:AI13 AH97:AI98">
    <cfRule type="expression" dxfId="4965" priority="37" stopIfTrue="1">
      <formula>IF(AK9&gt;2,0,1)</formula>
    </cfRule>
  </conditionalFormatting>
  <conditionalFormatting sqref="AH14:AI15 AH99:AI100">
    <cfRule type="expression" dxfId="4964" priority="38" stopIfTrue="1">
      <formula>IF(AK9&gt;3,0,1)</formula>
    </cfRule>
  </conditionalFormatting>
  <conditionalFormatting sqref="AH16:AI17 AH101:AI102">
    <cfRule type="expression" dxfId="4963" priority="39" stopIfTrue="1">
      <formula>IF(AK9&gt;4,0,1)</formula>
    </cfRule>
  </conditionalFormatting>
  <conditionalFormatting sqref="B19:D19 B104:D104">
    <cfRule type="expression" dxfId="4962" priority="40" stopIfTrue="1">
      <formula>IF(AK8&gt;0,0,1)</formula>
    </cfRule>
  </conditionalFormatting>
  <conditionalFormatting sqref="E19:G19 E104:G104">
    <cfRule type="expression" dxfId="4961" priority="41" stopIfTrue="1">
      <formula>IF(AK8&gt;1,0,1)</formula>
    </cfRule>
  </conditionalFormatting>
  <conditionalFormatting sqref="H19:J19 H104:J104">
    <cfRule type="expression" dxfId="4960" priority="42" stopIfTrue="1">
      <formula>IF(AK8&gt;2,0,1)</formula>
    </cfRule>
  </conditionalFormatting>
  <conditionalFormatting sqref="K19:M19 K104:M104">
    <cfRule type="expression" dxfId="4959" priority="43" stopIfTrue="1">
      <formula>IF(AK8&gt;3,0,1)</formula>
    </cfRule>
  </conditionalFormatting>
  <conditionalFormatting sqref="N19:P19 N104:P104">
    <cfRule type="expression" dxfId="4958" priority="44" stopIfTrue="1">
      <formula>IF(AK8&gt;4,0,1)</formula>
    </cfRule>
  </conditionalFormatting>
  <conditionalFormatting sqref="Q19:S19 Q104:S104">
    <cfRule type="expression" dxfId="4957" priority="45" stopIfTrue="1">
      <formula>IF(AK8&gt;5,0,1)</formula>
    </cfRule>
  </conditionalFormatting>
  <conditionalFormatting sqref="T19:V19 T104:V104">
    <cfRule type="expression" dxfId="4956" priority="46" stopIfTrue="1">
      <formula>IF(AK8&gt;6,0,1)</formula>
    </cfRule>
  </conditionalFormatting>
  <conditionalFormatting sqref="W19:Y19 W104:Y104">
    <cfRule type="expression" dxfId="4955" priority="47" stopIfTrue="1">
      <formula>IF(AK8&gt;7,0,1)</formula>
    </cfRule>
  </conditionalFormatting>
  <conditionalFormatting sqref="Z19:AB19 Z104:AB104">
    <cfRule type="expression" dxfId="4954" priority="48" stopIfTrue="1">
      <formula>IF(AK8&gt;8,0,1)</formula>
    </cfRule>
  </conditionalFormatting>
  <conditionalFormatting sqref="AC19:AE19 AC104:AE104">
    <cfRule type="expression" dxfId="4953" priority="49" stopIfTrue="1">
      <formula>IF(AK8&gt;9,0,1)</formula>
    </cfRule>
  </conditionalFormatting>
  <conditionalFormatting sqref="B20:D20 B105:D105">
    <cfRule type="expression" dxfId="4952" priority="50" stopIfTrue="1">
      <formula>IF(AK8&gt;0,0,1)</formula>
    </cfRule>
  </conditionalFormatting>
  <conditionalFormatting sqref="E20:G20 E105:G105">
    <cfRule type="expression" dxfId="4951" priority="51" stopIfTrue="1">
      <formula>IF(AK8&gt;1,0,1)</formula>
    </cfRule>
  </conditionalFormatting>
  <conditionalFormatting sqref="H20:J20 H105:J105">
    <cfRule type="expression" dxfId="4950" priority="52" stopIfTrue="1">
      <formula>IF(AK8&gt;2,0,1)</formula>
    </cfRule>
  </conditionalFormatting>
  <conditionalFormatting sqref="K20:M20 K105:M105">
    <cfRule type="expression" dxfId="4949" priority="53" stopIfTrue="1">
      <formula>IF(AK8&gt;3,0,1)</formula>
    </cfRule>
  </conditionalFormatting>
  <conditionalFormatting sqref="N20:P20 N105:P105">
    <cfRule type="expression" dxfId="4948" priority="54" stopIfTrue="1">
      <formula>IF(AK8&gt;4,0,1)</formula>
    </cfRule>
  </conditionalFormatting>
  <conditionalFormatting sqref="Q20:S20 Q105:S105">
    <cfRule type="expression" dxfId="4947" priority="55" stopIfTrue="1">
      <formula>IF(AK8&gt;5,0,1)</formula>
    </cfRule>
  </conditionalFormatting>
  <conditionalFormatting sqref="T20:V20 T105:V105">
    <cfRule type="expression" dxfId="4946" priority="56" stopIfTrue="1">
      <formula>IF(AK8&gt;6,0,1)</formula>
    </cfRule>
  </conditionalFormatting>
  <conditionalFormatting sqref="W20:Y20 W105:Y105">
    <cfRule type="expression" dxfId="4945" priority="57" stopIfTrue="1">
      <formula>IF(AK8&gt;7,0,1)</formula>
    </cfRule>
  </conditionalFormatting>
  <conditionalFormatting sqref="Z20:AB20 Z105:AB105">
    <cfRule type="expression" dxfId="4944" priority="58" stopIfTrue="1">
      <formula>IF(AK8&gt;8,0,1)</formula>
    </cfRule>
  </conditionalFormatting>
  <conditionalFormatting sqref="AC20:AE20 AC105:AE105">
    <cfRule type="expression" dxfId="4943" priority="59" stopIfTrue="1">
      <formula>IF(AK8&gt;9,0,1)</formula>
    </cfRule>
  </conditionalFormatting>
  <conditionalFormatting sqref="E22:G22 E107:G107">
    <cfRule type="expression" dxfId="4942" priority="60" stopIfTrue="1">
      <formula>IF(AK8&gt;1,0,1)</formula>
    </cfRule>
  </conditionalFormatting>
  <conditionalFormatting sqref="H22:J22 H107:J107">
    <cfRule type="expression" dxfId="4941" priority="61" stopIfTrue="1">
      <formula>IF(AK8&gt;2,0,1)</formula>
    </cfRule>
  </conditionalFormatting>
  <conditionalFormatting sqref="K22:M22 K107:M107">
    <cfRule type="expression" dxfId="4940" priority="62" stopIfTrue="1">
      <formula>IF(AK8&gt;3,0,1)</formula>
    </cfRule>
  </conditionalFormatting>
  <conditionalFormatting sqref="N22:P22 N107:P107">
    <cfRule type="expression" dxfId="4939" priority="63" stopIfTrue="1">
      <formula>IF(AK8&gt;4,0,1)</formula>
    </cfRule>
  </conditionalFormatting>
  <conditionalFormatting sqref="Q22:S22 Q107:S107">
    <cfRule type="expression" dxfId="4938" priority="64" stopIfTrue="1">
      <formula>IF(AK8&gt;5,0,1)</formula>
    </cfRule>
  </conditionalFormatting>
  <conditionalFormatting sqref="T22:V22 T107:V107">
    <cfRule type="expression" dxfId="4937" priority="65" stopIfTrue="1">
      <formula>IF(AK8&gt;6,0,1)</formula>
    </cfRule>
  </conditionalFormatting>
  <conditionalFormatting sqref="W22:Y22 W107:Y107">
    <cfRule type="expression" dxfId="4936" priority="66" stopIfTrue="1">
      <formula>IF(AK8&gt;7,0,1)</formula>
    </cfRule>
  </conditionalFormatting>
  <conditionalFormatting sqref="Z22:AB22 Z107:AB107">
    <cfRule type="expression" dxfId="4935" priority="67" stopIfTrue="1">
      <formula>IF(AK8&gt;8,0,1)</formula>
    </cfRule>
  </conditionalFormatting>
  <conditionalFormatting sqref="AC22:AE22 AC107:AE107">
    <cfRule type="expression" dxfId="4934" priority="68" stopIfTrue="1">
      <formula>IF(AK8&gt;9,0,1)</formula>
    </cfRule>
  </conditionalFormatting>
  <conditionalFormatting sqref="B24 B109">
    <cfRule type="expression" dxfId="4933" priority="69" stopIfTrue="1">
      <formula>IF(AK8&gt;0,0,1)</formula>
    </cfRule>
  </conditionalFormatting>
  <conditionalFormatting sqref="C24 C109">
    <cfRule type="expression" dxfId="4932" priority="70" stopIfTrue="1">
      <formula>IF(AK8&gt;0,0,1)</formula>
    </cfRule>
  </conditionalFormatting>
  <conditionalFormatting sqref="D24 D109">
    <cfRule type="expression" dxfId="4931" priority="71" stopIfTrue="1">
      <formula>IF(AK8&gt;0,0,1)</formula>
    </cfRule>
  </conditionalFormatting>
  <conditionalFormatting sqref="E23:G23 E108:G108">
    <cfRule type="expression" dxfId="4930" priority="72" stopIfTrue="1">
      <formula>IF(AK8&gt;1,0,1)</formula>
    </cfRule>
  </conditionalFormatting>
  <conditionalFormatting sqref="F24 F109">
    <cfRule type="expression" dxfId="4929" priority="73" stopIfTrue="1">
      <formula>IF(AK8&gt;1,0,1)</formula>
    </cfRule>
  </conditionalFormatting>
  <conditionalFormatting sqref="G24 G109">
    <cfRule type="expression" dxfId="4928" priority="74" stopIfTrue="1">
      <formula>IF(AK8&gt;1,0,1)</formula>
    </cfRule>
  </conditionalFormatting>
  <conditionalFormatting sqref="H23:J23 H108:J108">
    <cfRule type="expression" dxfId="4927" priority="75" stopIfTrue="1">
      <formula>IF(AK8&gt;2,0,1)</formula>
    </cfRule>
  </conditionalFormatting>
  <conditionalFormatting sqref="I24 I109">
    <cfRule type="expression" dxfId="4926" priority="76" stopIfTrue="1">
      <formula>IF(AK8&gt;2,0,1)</formula>
    </cfRule>
  </conditionalFormatting>
  <conditionalFormatting sqref="J24 J109">
    <cfRule type="expression" dxfId="4925" priority="77" stopIfTrue="1">
      <formula>IF(AK8&gt;2,0,1)</formula>
    </cfRule>
  </conditionalFormatting>
  <conditionalFormatting sqref="K23:M23 K108:M108">
    <cfRule type="expression" dxfId="4924" priority="78" stopIfTrue="1">
      <formula>IF(AK8&gt;3,0,1)</formula>
    </cfRule>
  </conditionalFormatting>
  <conditionalFormatting sqref="L24 L109">
    <cfRule type="expression" dxfId="4923" priority="79" stopIfTrue="1">
      <formula>IF(AK8&gt;3,0,1)</formula>
    </cfRule>
  </conditionalFormatting>
  <conditionalFormatting sqref="M24 M109">
    <cfRule type="expression" dxfId="4922" priority="80" stopIfTrue="1">
      <formula>IF(AK8&gt;3,0,1)</formula>
    </cfRule>
  </conditionalFormatting>
  <conditionalFormatting sqref="N23:P23 N108:P108">
    <cfRule type="expression" dxfId="4921" priority="81" stopIfTrue="1">
      <formula>IF(AK8&gt;4,0,1)</formula>
    </cfRule>
  </conditionalFormatting>
  <conditionalFormatting sqref="O24 O109">
    <cfRule type="expression" dxfId="4920" priority="82" stopIfTrue="1">
      <formula>IF(AK8&gt;4,0,1)</formula>
    </cfRule>
  </conditionalFormatting>
  <conditionalFormatting sqref="P24 P109">
    <cfRule type="expression" dxfId="4919" priority="83" stopIfTrue="1">
      <formula>IF(AK8&gt;4,0,1)</formula>
    </cfRule>
  </conditionalFormatting>
  <conditionalFormatting sqref="Q23:S23 Q108:S108">
    <cfRule type="expression" dxfId="4918" priority="84" stopIfTrue="1">
      <formula>IF(AK8&gt;5,0,1)</formula>
    </cfRule>
  </conditionalFormatting>
  <conditionalFormatting sqref="R24 R109">
    <cfRule type="expression" dxfId="4917" priority="85" stopIfTrue="1">
      <formula>IF(AK8&gt;5,0,1)</formula>
    </cfRule>
  </conditionalFormatting>
  <conditionalFormatting sqref="S24 S109">
    <cfRule type="expression" dxfId="4916" priority="86" stopIfTrue="1">
      <formula>IF(AK8&gt;5,0,1)</formula>
    </cfRule>
  </conditionalFormatting>
  <conditionalFormatting sqref="T23:V23 T108:V108">
    <cfRule type="expression" dxfId="4915" priority="87" stopIfTrue="1">
      <formula>IF(AK8&gt;6,0,1)</formula>
    </cfRule>
  </conditionalFormatting>
  <conditionalFormatting sqref="U24 U109">
    <cfRule type="expression" dxfId="4914" priority="88" stopIfTrue="1">
      <formula>IF(AK8&gt;6,0,1)</formula>
    </cfRule>
  </conditionalFormatting>
  <conditionalFormatting sqref="V24 V109">
    <cfRule type="expression" dxfId="4913" priority="89" stopIfTrue="1">
      <formula>IF(AK8&gt;6,0,1)</formula>
    </cfRule>
  </conditionalFormatting>
  <conditionalFormatting sqref="W23:Y23 W108:Y108">
    <cfRule type="expression" dxfId="4912" priority="90" stopIfTrue="1">
      <formula>IF(AK8&gt;7,0,1)</formula>
    </cfRule>
  </conditionalFormatting>
  <conditionalFormatting sqref="X24 X109">
    <cfRule type="expression" dxfId="4911" priority="91" stopIfTrue="1">
      <formula>IF(AK8&gt;7,0,1)</formula>
    </cfRule>
  </conditionalFormatting>
  <conditionalFormatting sqref="Y24 Y109">
    <cfRule type="expression" dxfId="4910" priority="92" stopIfTrue="1">
      <formula>IF(AK8&gt;7,0,1)</formula>
    </cfRule>
  </conditionalFormatting>
  <conditionalFormatting sqref="Z23:AB23 Z108:AB108">
    <cfRule type="expression" dxfId="4909" priority="93" stopIfTrue="1">
      <formula>IF(AK8&gt;8,0,1)</formula>
    </cfRule>
  </conditionalFormatting>
  <conditionalFormatting sqref="AA24 AA109">
    <cfRule type="expression" dxfId="4908" priority="94" stopIfTrue="1">
      <formula>IF(AK8&gt;8,0,1)</formula>
    </cfRule>
  </conditionalFormatting>
  <conditionalFormatting sqref="AB24 AB109">
    <cfRule type="expression" dxfId="4907" priority="95" stopIfTrue="1">
      <formula>IF(AK8&gt;8,0,1)</formula>
    </cfRule>
  </conditionalFormatting>
  <conditionalFormatting sqref="AC23:AE23 AC108:AE108">
    <cfRule type="expression" dxfId="4906" priority="96" stopIfTrue="1">
      <formula>IF(AK8&gt;9,0,1)</formula>
    </cfRule>
  </conditionalFormatting>
  <conditionalFormatting sqref="AD24 AD109">
    <cfRule type="expression" dxfId="4905" priority="97" stopIfTrue="1">
      <formula>IF(AK8&gt;9,0,1)</formula>
    </cfRule>
  </conditionalFormatting>
  <conditionalFormatting sqref="AE24 AE109">
    <cfRule type="expression" dxfId="4904" priority="98" stopIfTrue="1">
      <formula>IF(AK8&gt;9,0,1)</formula>
    </cfRule>
  </conditionalFormatting>
  <conditionalFormatting sqref="A26 A111">
    <cfRule type="expression" dxfId="4903" priority="99" stopIfTrue="1">
      <formula>IF(AK7&gt;1,0,1)</formula>
    </cfRule>
  </conditionalFormatting>
  <conditionalFormatting sqref="A27 A112">
    <cfRule type="expression" dxfId="4902" priority="100" stopIfTrue="1">
      <formula>IF(AK7&gt;2,0,1)</formula>
    </cfRule>
  </conditionalFormatting>
  <conditionalFormatting sqref="A28 A113">
    <cfRule type="expression" dxfId="4901" priority="101" stopIfTrue="1">
      <formula>IF(AK7&gt;3,0,1)</formula>
    </cfRule>
  </conditionalFormatting>
  <conditionalFormatting sqref="A29 A114">
    <cfRule type="expression" dxfId="4900" priority="102" stopIfTrue="1">
      <formula>IF(AK7&gt;4,0,1)</formula>
    </cfRule>
  </conditionalFormatting>
  <conditionalFormatting sqref="B25:D25 B110:D110">
    <cfRule type="expression" dxfId="4899" priority="103" stopIfTrue="1">
      <formula>IF($AK8&gt;0,0,1)</formula>
    </cfRule>
  </conditionalFormatting>
  <conditionalFormatting sqref="B26:D26 B111:D111">
    <cfRule type="expression" dxfId="4898" priority="104" stopIfTrue="1">
      <formula>IF($AK8&lt;1,1,IF($AK7&lt;2,1,0))</formula>
    </cfRule>
  </conditionalFormatting>
  <conditionalFormatting sqref="B27:D27 B112:D112">
    <cfRule type="expression" dxfId="4897" priority="105" stopIfTrue="1">
      <formula>IF($AK8&lt;1,1,IF($AK7&lt;3,1,0))</formula>
    </cfRule>
  </conditionalFormatting>
  <conditionalFormatting sqref="B28:D28 B113:D113">
    <cfRule type="expression" dxfId="4896" priority="106" stopIfTrue="1">
      <formula>IF($AK8&lt;1,1,IF($AK7&lt;4,1,0))</formula>
    </cfRule>
  </conditionalFormatting>
  <conditionalFormatting sqref="B29:D29 B114:D114">
    <cfRule type="expression" dxfId="4895" priority="107" stopIfTrue="1">
      <formula>IF($AK8&lt;1,1,IF($AK7&lt;5,1,0))</formula>
    </cfRule>
  </conditionalFormatting>
  <conditionalFormatting sqref="AG23 AG108">
    <cfRule type="expression" dxfId="4894" priority="108" stopIfTrue="1">
      <formula>IF($AK8&lt;1,1,0)</formula>
    </cfRule>
  </conditionalFormatting>
  <conditionalFormatting sqref="AH23 AH108">
    <cfRule type="expression" dxfId="4893" priority="109" stopIfTrue="1">
      <formula>IF($AK8&lt;2,1,0)</formula>
    </cfRule>
  </conditionalFormatting>
  <conditionalFormatting sqref="AI23 AI108">
    <cfRule type="expression" dxfId="4892" priority="110" stopIfTrue="1">
      <formula>IF($AK8&lt;3,1,0)</formula>
    </cfRule>
  </conditionalFormatting>
  <conditionalFormatting sqref="AJ23 AJ108">
    <cfRule type="expression" dxfId="4891" priority="111" stopIfTrue="1">
      <formula>IF($AK8&lt;4,1,0)</formula>
    </cfRule>
  </conditionalFormatting>
  <conditionalFormatting sqref="AK23 AK108">
    <cfRule type="expression" dxfId="4890" priority="112" stopIfTrue="1">
      <formula>IF($AK8&lt;5,1,0)</formula>
    </cfRule>
  </conditionalFormatting>
  <conditionalFormatting sqref="AL23 AL108">
    <cfRule type="expression" dxfId="4889" priority="113" stopIfTrue="1">
      <formula>IF($AK8&lt;6,1,0)</formula>
    </cfRule>
  </conditionalFormatting>
  <conditionalFormatting sqref="AM23 AM108">
    <cfRule type="expression" dxfId="4888" priority="114" stopIfTrue="1">
      <formula>IF($AK8&lt;7,1,0)</formula>
    </cfRule>
  </conditionalFormatting>
  <conditionalFormatting sqref="AN23 AN108">
    <cfRule type="expression" dxfId="4887" priority="115" stopIfTrue="1">
      <formula>IF($AK8&lt;8,1,0)</formula>
    </cfRule>
  </conditionalFormatting>
  <conditionalFormatting sqref="AO23 AO108">
    <cfRule type="expression" dxfId="4886" priority="116" stopIfTrue="1">
      <formula>IF($AK8&lt;9,1,0)</formula>
    </cfRule>
  </conditionalFormatting>
  <conditionalFormatting sqref="AP23 AP108">
    <cfRule type="expression" dxfId="4885" priority="117" stopIfTrue="1">
      <formula>IF($AK8&lt;10,1,0)</formula>
    </cfRule>
  </conditionalFormatting>
  <conditionalFormatting sqref="AQ24 AQ109">
    <cfRule type="expression" dxfId="4884" priority="118" stopIfTrue="1">
      <formula>IF($AK9&gt;0,0,1)</formula>
    </cfRule>
  </conditionalFormatting>
  <conditionalFormatting sqref="AQ25 AQ110">
    <cfRule type="expression" dxfId="4883" priority="119" stopIfTrue="1">
      <formula>IF($AK9&gt;1,0,1)</formula>
    </cfRule>
  </conditionalFormatting>
  <conditionalFormatting sqref="AQ26 H25:J25 AQ111 H110:J110">
    <cfRule type="expression" dxfId="4882" priority="120" stopIfTrue="1">
      <formula>IF($AK8&gt;2,0,1)</formula>
    </cfRule>
  </conditionalFormatting>
  <conditionalFormatting sqref="K25:M25 K110:M110">
    <cfRule type="expression" dxfId="4881" priority="121" stopIfTrue="1">
      <formula>IF($AK8&gt;3,0,1)</formula>
    </cfRule>
  </conditionalFormatting>
  <conditionalFormatting sqref="AQ28 AQ113">
    <cfRule type="expression" dxfId="4880" priority="122" stopIfTrue="1">
      <formula>IF($AK9&gt;4,0,1)</formula>
    </cfRule>
  </conditionalFormatting>
  <conditionalFormatting sqref="E26:G26 E111:G111">
    <cfRule type="expression" dxfId="4879" priority="123" stopIfTrue="1">
      <formula>IF($AK8&lt;2,1,IF($AK7&lt;2,1,0))</formula>
    </cfRule>
  </conditionalFormatting>
  <conditionalFormatting sqref="E27:G27 E112:G112">
    <cfRule type="expression" dxfId="4878" priority="124" stopIfTrue="1">
      <formula>IF($AK8&lt;2,1,IF($AK7&lt;3,1,0))</formula>
    </cfRule>
  </conditionalFormatting>
  <conditionalFormatting sqref="E28:G28 E113:G113">
    <cfRule type="expression" dxfId="4877" priority="125" stopIfTrue="1">
      <formula>IF($AK8&lt;2,1,IF($AK7&lt;4,1,0))</formula>
    </cfRule>
  </conditionalFormatting>
  <conditionalFormatting sqref="E29:G29 E114:G114">
    <cfRule type="expression" dxfId="4876" priority="126" stopIfTrue="1">
      <formula>IF($AK8&lt;2,1,IF($AK7&lt;5,1,0))</formula>
    </cfRule>
  </conditionalFormatting>
  <conditionalFormatting sqref="N25:P25 N110:P110">
    <cfRule type="expression" dxfId="4875" priority="127" stopIfTrue="1">
      <formula>IF($AK8&gt;4,0,1)</formula>
    </cfRule>
  </conditionalFormatting>
  <conditionalFormatting sqref="Q25:S25 Q110:S110">
    <cfRule type="expression" dxfId="4874" priority="128" stopIfTrue="1">
      <formula>IF($AK8&gt;5,0,1)</formula>
    </cfRule>
  </conditionalFormatting>
  <conditionalFormatting sqref="T25:V25 T110:V110">
    <cfRule type="expression" dxfId="4873" priority="129" stopIfTrue="1">
      <formula>IF($AK8&gt;6,0,1)</formula>
    </cfRule>
  </conditionalFormatting>
  <conditionalFormatting sqref="W25:Y25 W110:Y110">
    <cfRule type="expression" dxfId="4872" priority="130" stopIfTrue="1">
      <formula>IF($AK8&gt;7,0,1)</formula>
    </cfRule>
  </conditionalFormatting>
  <conditionalFormatting sqref="Z25:AB25 Z110:AB110">
    <cfRule type="expression" dxfId="4871" priority="131" stopIfTrue="1">
      <formula>IF($AK8&gt;8,0,1)</formula>
    </cfRule>
  </conditionalFormatting>
  <conditionalFormatting sqref="AC25:AE25 AC110:AE110">
    <cfRule type="expression" dxfId="4870" priority="132" stopIfTrue="1">
      <formula>IF($AK8&gt;9,0,1)</formula>
    </cfRule>
  </conditionalFormatting>
  <conditionalFormatting sqref="H26:J26 H111:J111">
    <cfRule type="expression" dxfId="4869" priority="133" stopIfTrue="1">
      <formula>IF($AK8&lt;3,1,IF($AK7&lt;2,1,0))</formula>
    </cfRule>
  </conditionalFormatting>
  <conditionalFormatting sqref="K26:M26 K111:M111">
    <cfRule type="expression" dxfId="4868" priority="134" stopIfTrue="1">
      <formula>IF($AK8&lt;4,1,IF($AK7&lt;2,1,0))</formula>
    </cfRule>
  </conditionalFormatting>
  <conditionalFormatting sqref="N26:P26 N111:P111">
    <cfRule type="expression" dxfId="4867" priority="135" stopIfTrue="1">
      <formula>IF($AK8&lt;5,1,IF($AK7&lt;2,1,0))</formula>
    </cfRule>
  </conditionalFormatting>
  <conditionalFormatting sqref="Q26:S26 Q111:S111">
    <cfRule type="expression" dxfId="4866" priority="136" stopIfTrue="1">
      <formula>IF($AK8&lt;6,1,IF($AK7&lt;2,1,0))</formula>
    </cfRule>
  </conditionalFormatting>
  <conditionalFormatting sqref="T26:V26 T111:V111">
    <cfRule type="expression" dxfId="4865" priority="137" stopIfTrue="1">
      <formula>IF($AK8&lt;7,1,IF($AK7&lt;2,1,0))</formula>
    </cfRule>
  </conditionalFormatting>
  <conditionalFormatting sqref="W26:Y26 W111:Y111">
    <cfRule type="expression" dxfId="4864" priority="138" stopIfTrue="1">
      <formula>IF($AK8&lt;8,1,IF($AK7&lt;2,1,0))</formula>
    </cfRule>
  </conditionalFormatting>
  <conditionalFormatting sqref="Z26:AB26 Z111:AB111">
    <cfRule type="expression" dxfId="4863" priority="139" stopIfTrue="1">
      <formula>IF($AK8&lt;9,1,IF($AK7&lt;2,1,0))</formula>
    </cfRule>
  </conditionalFormatting>
  <conditionalFormatting sqref="AC26:AE26 AC111:AE111">
    <cfRule type="expression" dxfId="4862" priority="140" stopIfTrue="1">
      <formula>IF($AK8&lt;10,1,IF($AK7&lt;2,1,0))</formula>
    </cfRule>
  </conditionalFormatting>
  <conditionalFormatting sqref="H27:J27 H112:J112">
    <cfRule type="expression" dxfId="4861" priority="141" stopIfTrue="1">
      <formula>IF($AK8&lt;3,1,IF($AK7&lt;3,1,0))</formula>
    </cfRule>
  </conditionalFormatting>
  <conditionalFormatting sqref="K27:M27 K112:M112">
    <cfRule type="expression" dxfId="4860" priority="142" stopIfTrue="1">
      <formula>IF($AK8&lt;4,1,IF($AK7&lt;3,1,0))</formula>
    </cfRule>
  </conditionalFormatting>
  <conditionalFormatting sqref="N27:P27 N112:P112">
    <cfRule type="expression" dxfId="4859" priority="143" stopIfTrue="1">
      <formula>IF($AK8&lt;5,1,IF($AK7&lt;3,1,0))</formula>
    </cfRule>
  </conditionalFormatting>
  <conditionalFormatting sqref="Q27:S27 Q112:S112">
    <cfRule type="expression" dxfId="4858" priority="144" stopIfTrue="1">
      <formula>IF($AK8&lt;6,1,IF($AK7&lt;3,1,0))</formula>
    </cfRule>
  </conditionalFormatting>
  <conditionalFormatting sqref="T27:V27 T112:V112">
    <cfRule type="expression" dxfId="4857" priority="145" stopIfTrue="1">
      <formula>IF($AK8&lt;7,1,IF($AK7&lt;3,1,0))</formula>
    </cfRule>
  </conditionalFormatting>
  <conditionalFormatting sqref="W27:Y27 W112:Y112">
    <cfRule type="expression" dxfId="4856" priority="146" stopIfTrue="1">
      <formula>IF($AK8&lt;8,1,IF($AK7&lt;3,1,0))</formula>
    </cfRule>
  </conditionalFormatting>
  <conditionalFormatting sqref="Z27:AB27 Z112:AB112">
    <cfRule type="expression" dxfId="4855" priority="147" stopIfTrue="1">
      <formula>IF($AK8&lt;9,1,IF($AK7&lt;3,1,0))</formula>
    </cfRule>
  </conditionalFormatting>
  <conditionalFormatting sqref="AC27:AE27 AC112:AE112">
    <cfRule type="expression" dxfId="4854" priority="148" stopIfTrue="1">
      <formula>IF($AK8&lt;10,1,IF($AK7&lt;3,1,0))</formula>
    </cfRule>
  </conditionalFormatting>
  <conditionalFormatting sqref="H28:J28 H113:J113">
    <cfRule type="expression" dxfId="4853" priority="149" stopIfTrue="1">
      <formula>IF($AK8&lt;3,1,IF($AK7&lt;4,1,0))</formula>
    </cfRule>
  </conditionalFormatting>
  <conditionalFormatting sqref="K28:M28 K113:M113">
    <cfRule type="expression" dxfId="4852" priority="150" stopIfTrue="1">
      <formula>IF($AK8&lt;4,1,IF($AK7&lt;4,1,0))</formula>
    </cfRule>
  </conditionalFormatting>
  <conditionalFormatting sqref="N28:P28 N113:P113">
    <cfRule type="expression" dxfId="4851" priority="151" stopIfTrue="1">
      <formula>IF($AK8&lt;5,1,IF($AK7&lt;4,1,0))</formula>
    </cfRule>
  </conditionalFormatting>
  <conditionalFormatting sqref="Q28:S28 Q113:S113">
    <cfRule type="expression" dxfId="4850" priority="152" stopIfTrue="1">
      <formula>IF($AK8&lt;6,1,IF($AK7&lt;4,1,0))</formula>
    </cfRule>
  </conditionalFormatting>
  <conditionalFormatting sqref="T28:V28 T113:V113">
    <cfRule type="expression" dxfId="4849" priority="153" stopIfTrue="1">
      <formula>IF($AK8&lt;7,1,IF($AK7&lt;4,1,0))</formula>
    </cfRule>
  </conditionalFormatting>
  <conditionalFormatting sqref="W28:Y28 W113:Y113">
    <cfRule type="expression" dxfId="4848" priority="154" stopIfTrue="1">
      <formula>IF($AK8&lt;8,1,IF($AK7&lt;4,1,0))</formula>
    </cfRule>
  </conditionalFormatting>
  <conditionalFormatting sqref="Z28:AB28 Z113:AB113">
    <cfRule type="expression" dxfId="4847" priority="155" stopIfTrue="1">
      <formula>IF($AK8&lt;9,1,IF($AK7&lt;4,1,0))</formula>
    </cfRule>
  </conditionalFormatting>
  <conditionalFormatting sqref="AC28:AE28 AC113:AE113">
    <cfRule type="expression" dxfId="4846" priority="156" stopIfTrue="1">
      <formula>IF($AK8&lt;10,1,IF($AK7&lt;4,1,0))</formula>
    </cfRule>
  </conditionalFormatting>
  <conditionalFormatting sqref="H29:J29 H114:J114">
    <cfRule type="expression" dxfId="4845" priority="157" stopIfTrue="1">
      <formula>IF($AK8&lt;3,1,IF($AK7&lt;5,1,0))</formula>
    </cfRule>
  </conditionalFormatting>
  <conditionalFormatting sqref="K29:M29 K114:M114">
    <cfRule type="expression" dxfId="4844" priority="158" stopIfTrue="1">
      <formula>IF($AK8&lt;4,1,IF($AK7&lt;5,1,0))</formula>
    </cfRule>
  </conditionalFormatting>
  <conditionalFormatting sqref="N29:P29 N114:P114">
    <cfRule type="expression" dxfId="4843" priority="159" stopIfTrue="1">
      <formula>IF($AK8&lt;5,1,IF($AK7&lt;5,1,0))</formula>
    </cfRule>
  </conditionalFormatting>
  <conditionalFormatting sqref="Q29:S29 Q114:S114">
    <cfRule type="expression" dxfId="4842" priority="160" stopIfTrue="1">
      <formula>IF($AK8&lt;6,1,IF($AK7&lt;5,1,0))</formula>
    </cfRule>
  </conditionalFormatting>
  <conditionalFormatting sqref="T29:V29 T114:V114">
    <cfRule type="expression" dxfId="4841" priority="161" stopIfTrue="1">
      <formula>IF($AK8&lt;7,1,IF($AK7&lt;5,1,0))</formula>
    </cfRule>
  </conditionalFormatting>
  <conditionalFormatting sqref="W29:Y29 W114:Y114">
    <cfRule type="expression" dxfId="4840" priority="162" stopIfTrue="1">
      <formula>IF($AK8&lt;8,1,IF($AK7&lt;5,1,0))</formula>
    </cfRule>
  </conditionalFormatting>
  <conditionalFormatting sqref="Z29:AB29 Z114:AB114">
    <cfRule type="expression" dxfId="4839" priority="163" stopIfTrue="1">
      <formula>IF($AK8&lt;9,1,IF($AK7&lt;5,1,0))</formula>
    </cfRule>
  </conditionalFormatting>
  <conditionalFormatting sqref="AC29:AE29 AC114:AE114">
    <cfRule type="expression" dxfId="4838" priority="164" stopIfTrue="1">
      <formula>IF($AK8&lt;10,1,IF($AK7&lt;5,1,0))</formula>
    </cfRule>
  </conditionalFormatting>
  <conditionalFormatting sqref="R14:AB15 AF14:AF15 L14:P15 R99:AB100 AF99:AF100 L99:P100 AG14 AG99">
    <cfRule type="expression" dxfId="4837" priority="165" stopIfTrue="1">
      <formula>IF($AK9&gt;3,0,1)</formula>
    </cfRule>
  </conditionalFormatting>
  <conditionalFormatting sqref="R16:AB17 AF16:AF17 L16:P17 R101:AB102 AF101:AF102 L101:P102 AG16 AG101">
    <cfRule type="expression" dxfId="4836" priority="166" stopIfTrue="1">
      <formula>IF($AK9&gt;4,0,1)</formula>
    </cfRule>
  </conditionalFormatting>
  <conditionalFormatting sqref="R8:AB9 AF8:AF9 L8:P9 R93:AB94 AF93:AF94 L93:P94 AG8 AG93">
    <cfRule type="expression" dxfId="4835" priority="167" stopIfTrue="1">
      <formula>IF($AK9&gt;0,0,1)</formula>
    </cfRule>
  </conditionalFormatting>
  <conditionalFormatting sqref="R10:AB11 AF10:AF11 L10:P11 R95:AB96 AF95:AF96 L95:P96 AG10 AG95">
    <cfRule type="expression" dxfId="4834" priority="168" stopIfTrue="1">
      <formula>IF($AK9&gt;1,0,1)</formula>
    </cfRule>
  </conditionalFormatting>
  <conditionalFormatting sqref="R12:AB13 AF12:AF13 L12:P13 R97:AB98 AF97:AF98 L97:P98 AG12 AG97">
    <cfRule type="expression" dxfId="4833" priority="169" stopIfTrue="1">
      <formula>IF($AK9&gt;2,0,1)</formula>
    </cfRule>
  </conditionalFormatting>
  <conditionalFormatting sqref="E24 E109">
    <cfRule type="expression" dxfId="4832" priority="170" stopIfTrue="1">
      <formula>IF(AK8&gt;1,0,1)</formula>
    </cfRule>
  </conditionalFormatting>
  <conditionalFormatting sqref="H24 H109">
    <cfRule type="expression" dxfId="4831" priority="171" stopIfTrue="1">
      <formula>IF(AK8&gt;2,0,1)</formula>
    </cfRule>
  </conditionalFormatting>
  <conditionalFormatting sqref="K24 K109">
    <cfRule type="expression" dxfId="4830" priority="172" stopIfTrue="1">
      <formula>IF(AK8&gt;3,0,1)</formula>
    </cfRule>
  </conditionalFormatting>
  <conditionalFormatting sqref="N24 N109">
    <cfRule type="expression" dxfId="4829" priority="173" stopIfTrue="1">
      <formula>IF(AK8&gt;4,0,1)</formula>
    </cfRule>
  </conditionalFormatting>
  <conditionalFormatting sqref="Q24 Q109">
    <cfRule type="expression" dxfId="4828" priority="174" stopIfTrue="1">
      <formula>IF(AK8&gt;5,0,1)</formula>
    </cfRule>
  </conditionalFormatting>
  <conditionalFormatting sqref="T24 T109">
    <cfRule type="expression" dxfId="4827" priority="175" stopIfTrue="1">
      <formula>IF(AK8&gt;6,0,1)</formula>
    </cfRule>
  </conditionalFormatting>
  <conditionalFormatting sqref="W24 W109">
    <cfRule type="expression" dxfId="4826" priority="176" stopIfTrue="1">
      <formula>IF(AK8&gt;7,0,1)</formula>
    </cfRule>
  </conditionalFormatting>
  <conditionalFormatting sqref="Z24 Z109">
    <cfRule type="expression" dxfId="4825" priority="177" stopIfTrue="1">
      <formula>IF(AK8&gt;8,0,1)</formula>
    </cfRule>
  </conditionalFormatting>
  <conditionalFormatting sqref="AC24 AC109">
    <cfRule type="expression" dxfId="4824" priority="178" stopIfTrue="1">
      <formula>IF(AK8&gt;9,0,1)</formula>
    </cfRule>
  </conditionalFormatting>
  <conditionalFormatting sqref="AQ27 AQ112">
    <cfRule type="expression" dxfId="4823" priority="179" stopIfTrue="1">
      <formula>IF($AK9&gt;3,0,1)</formula>
    </cfRule>
  </conditionalFormatting>
  <conditionalFormatting sqref="E25:G25 E110:G110">
    <cfRule type="expression" dxfId="4822" priority="180" stopIfTrue="1">
      <formula>IF($AK8&gt;1,0,1)</formula>
    </cfRule>
  </conditionalFormatting>
  <conditionalFormatting sqref="B21:D21 B106:D106">
    <cfRule type="expression" dxfId="4821" priority="181" stopIfTrue="1">
      <formula>IF(AK8&gt;0,0,1)</formula>
    </cfRule>
  </conditionalFormatting>
  <conditionalFormatting sqref="E21:G21 E106:G106">
    <cfRule type="expression" dxfId="4820" priority="182" stopIfTrue="1">
      <formula>IF(AK8&gt;1,0,1)</formula>
    </cfRule>
  </conditionalFormatting>
  <conditionalFormatting sqref="H21:J21 H106:J106">
    <cfRule type="expression" dxfId="4819" priority="183" stopIfTrue="1">
      <formula>IF(AK8&gt;2,0,1)</formula>
    </cfRule>
  </conditionalFormatting>
  <conditionalFormatting sqref="K21:M21 K106:M106">
    <cfRule type="expression" dxfId="4818" priority="184" stopIfTrue="1">
      <formula>IF(AK8&gt;3,0,1)</formula>
    </cfRule>
  </conditionalFormatting>
  <conditionalFormatting sqref="N21:P21 N106:P106">
    <cfRule type="expression" dxfId="4817" priority="185" stopIfTrue="1">
      <formula>IF(AK8&gt;4,0,1)</formula>
    </cfRule>
  </conditionalFormatting>
  <conditionalFormatting sqref="Q21:S21 Q106:S106">
    <cfRule type="expression" dxfId="4816" priority="186" stopIfTrue="1">
      <formula>IF(AK8&gt;5,0,1)</formula>
    </cfRule>
  </conditionalFormatting>
  <conditionalFormatting sqref="T21:V21 T106:V106">
    <cfRule type="expression" dxfId="4815" priority="187" stopIfTrue="1">
      <formula>IF(AK8&gt;6,0,1)</formula>
    </cfRule>
  </conditionalFormatting>
  <conditionalFormatting sqref="W21:Y21 W106:Y106">
    <cfRule type="expression" dxfId="4814" priority="188" stopIfTrue="1">
      <formula>IF(AK8&gt;7,0,1)</formula>
    </cfRule>
  </conditionalFormatting>
  <conditionalFormatting sqref="Z21:AB21 Z106:AB106">
    <cfRule type="expression" dxfId="4813" priority="189" stopIfTrue="1">
      <formula>IF(AK8&gt;8,0,1)</formula>
    </cfRule>
  </conditionalFormatting>
  <conditionalFormatting sqref="AC21:AE21 AC106:AE106">
    <cfRule type="expression" dxfId="4812" priority="190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4811" priority="191" stopIfTrue="1">
      <formula>IF(#REF!&gt;0,0,1)</formula>
    </cfRule>
  </conditionalFormatting>
  <conditionalFormatting sqref="AA215:AB215 AB223 AA218:AB218 Z223 Z215:Z218 F215:G215 G223 F218:G218 E223 E215:E218">
    <cfRule type="expression" dxfId="4810" priority="192" stopIfTrue="1">
      <formula>IF(#REF!&gt;1,0,1)</formula>
    </cfRule>
  </conditionalFormatting>
  <conditionalFormatting sqref="AC215:AC218 AD215:AE215 AE223 AD218:AE218 AC223 H223 H215:H218 I215:J215 J223 I218:J218">
    <cfRule type="expression" dxfId="4809" priority="193" stopIfTrue="1">
      <formula>IF(#REF!&gt;2,0,1)</formula>
    </cfRule>
  </conditionalFormatting>
  <conditionalFormatting sqref="W224 Y224 B224 D224">
    <cfRule type="expression" dxfId="4808" priority="194" stopIfTrue="1">
      <formula>IF(#REF!&lt;1,1,IF(#REF!&lt;2,1,0))</formula>
    </cfRule>
  </conditionalFormatting>
  <conditionalFormatting sqref="Z224 AB224 E224 G224">
    <cfRule type="expression" dxfId="4807" priority="195" stopIfTrue="1">
      <formula>IF(#REF!&lt;2,1,IF(#REF!&lt;2,1,0))</formula>
    </cfRule>
  </conditionalFormatting>
  <conditionalFormatting sqref="AC224 AE224 H224 J224">
    <cfRule type="expression" dxfId="4806" priority="196" stopIfTrue="1">
      <formula>IF(#REF!&lt;3,1,IF(#REF!&lt;2,1,0))</formula>
    </cfRule>
  </conditionalFormatting>
  <conditionalFormatting sqref="Y225 B225 D225 W225">
    <cfRule type="expression" dxfId="4805" priority="197" stopIfTrue="1">
      <formula>IF(#REF!&lt;1,1,IF(#REF!&lt;3,1,0))</formula>
    </cfRule>
  </conditionalFormatting>
  <conditionalFormatting sqref="AB225 E225 G225 Z225">
    <cfRule type="expression" dxfId="4804" priority="198" stopIfTrue="1">
      <formula>IF(#REF!&lt;2,1,IF(#REF!&lt;3,1,0))</formula>
    </cfRule>
  </conditionalFormatting>
  <conditionalFormatting sqref="AE225 H225 J225 AC225">
    <cfRule type="expression" dxfId="4803" priority="199" stopIfTrue="1">
      <formula>IF(#REF!&lt;3,1,IF(#REF!&lt;3,1,0))</formula>
    </cfRule>
  </conditionalFormatting>
  <conditionalFormatting sqref="AG24:AP28 AG109:AP113">
    <cfRule type="cellIs" dxfId="4802" priority="200" stopIfTrue="1" operator="notBetween">
      <formula>-9999</formula>
      <formula>9999</formula>
    </cfRule>
  </conditionalFormatting>
  <conditionalFormatting sqref="AC7 AC92">
    <cfRule type="expression" dxfId="4801" priority="201" stopIfTrue="1">
      <formula>IF($AK$11=0,1,0)</formula>
    </cfRule>
  </conditionalFormatting>
  <conditionalFormatting sqref="B18">
    <cfRule type="expression" dxfId="4800" priority="202" stopIfTrue="1">
      <formula>IF($AK$9&gt;0,0,1)</formula>
    </cfRule>
  </conditionalFormatting>
  <conditionalFormatting sqref="B22:D23 B107:D108">
    <cfRule type="cellIs" dxfId="4799" priority="203" stopIfTrue="1" operator="equal">
      <formula>99</formula>
    </cfRule>
  </conditionalFormatting>
  <conditionalFormatting sqref="X226 AA226 C226 F226">
    <cfRule type="expression" dxfId="4798" priority="204" stopIfTrue="1">
      <formula>IF(#REF!&gt;0,0,1)</formula>
    </cfRule>
  </conditionalFormatting>
  <conditionalFormatting sqref="K215">
    <cfRule type="expression" dxfId="4797" priority="4" stopIfTrue="1">
      <formula>IF(#REF!&gt;2,0,1)</formula>
    </cfRule>
  </conditionalFormatting>
  <conditionalFormatting sqref="K215">
    <cfRule type="expression" dxfId="4796" priority="3" stopIfTrue="1">
      <formula>IF(ISNUMBER(K223),0,1)</formula>
    </cfRule>
  </conditionalFormatting>
  <conditionalFormatting sqref="AF215">
    <cfRule type="expression" dxfId="4795" priority="2" stopIfTrue="1">
      <formula>IF(ISNUMBER(AF223),0,1)</formula>
    </cfRule>
  </conditionalFormatting>
  <conditionalFormatting sqref="B103">
    <cfRule type="expression" dxfId="4794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3074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3074" r:id="rId4" name="Pool2RecalcFinish"/>
      </mc:Fallback>
    </mc:AlternateContent>
    <mc:AlternateContent xmlns:mc="http://schemas.openxmlformats.org/markup-compatibility/2006">
      <mc:Choice Requires="x14">
        <control shapeId="3073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3073" r:id="rId6" name="Pool1RecalcFinish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indexed="11"/>
  </sheetPr>
  <dimension ref="A1:BY658"/>
  <sheetViews>
    <sheetView topLeftCell="S1" zoomScale="70" zoomScaleNormal="70" workbookViewId="0">
      <selection activeCell="AU11" sqref="AU11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54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3"/>
      <c r="AW1" s="194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17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 t="s">
        <v>19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23</v>
      </c>
      <c r="AV3" s="15" t="s">
        <v>24</v>
      </c>
      <c r="AW3" s="16">
        <f>VLOOKUP(AV3,Initial!G:K,5,FALSE)</f>
        <v>1400</v>
      </c>
      <c r="AX3" s="17">
        <f t="shared" ref="AX3:AX12" si="0">VLOOKUP(AU3,AT$79:AU$174,2,FALSE)</f>
        <v>1295.295172435071</v>
      </c>
      <c r="AY3" s="18">
        <f t="shared" ref="AY3:AY12" si="1">IF(ISNA(VLOOKUP(AU3,AT$182:AU$234,2,FALSE)),AX3,VLOOKUP(AU3,AT$182:AU$234,2,FALSE))</f>
        <v>1289.6307267867726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26</v>
      </c>
      <c r="F4" s="210"/>
      <c r="G4" s="210"/>
      <c r="H4" s="210"/>
      <c r="I4" s="210"/>
      <c r="J4" s="210"/>
      <c r="K4" s="210"/>
      <c r="L4" s="210"/>
      <c r="M4" s="211"/>
      <c r="N4" s="206" t="s">
        <v>27</v>
      </c>
      <c r="O4" s="207"/>
      <c r="P4" s="207"/>
      <c r="Q4" s="208"/>
      <c r="R4" s="212" t="s">
        <v>28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29</v>
      </c>
      <c r="AC4" s="207"/>
      <c r="AD4" s="207"/>
      <c r="AE4" s="208"/>
      <c r="AF4" s="407">
        <v>42759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30</v>
      </c>
      <c r="AV4" s="15" t="s">
        <v>31</v>
      </c>
      <c r="AW4" s="16">
        <f>VLOOKUP(AV4,Initial!G:K,5,FALSE)</f>
        <v>1400</v>
      </c>
      <c r="AX4" s="20">
        <f t="shared" si="0"/>
        <v>1399.7657168979335</v>
      </c>
      <c r="AY4" s="21">
        <f t="shared" si="1"/>
        <v>1417.5351435170446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33</v>
      </c>
      <c r="AV5" s="15" t="s">
        <v>34</v>
      </c>
      <c r="AW5" s="16">
        <f>VLOOKUP(AV5,Initial!G:K,5,FALSE)</f>
        <v>1400</v>
      </c>
      <c r="AX5" s="20">
        <f t="shared" si="0"/>
        <v>1468.8483067654026</v>
      </c>
      <c r="AY5" s="21">
        <f t="shared" si="1"/>
        <v>1480.592748992279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3</v>
      </c>
      <c r="J6" s="250"/>
      <c r="K6" s="251" t="str">
        <f>"Pool "&amp;B6&amp;" - Round 1 - Court "&amp;I6</f>
        <v>Pool A - Round 1 - Court 3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38</v>
      </c>
      <c r="AV6" s="15" t="s">
        <v>39</v>
      </c>
      <c r="AW6" s="16">
        <f>VLOOKUP(AV6,Initial!G:K,5,FALSE)</f>
        <v>1393.502057373001</v>
      </c>
      <c r="AX6" s="20">
        <f t="shared" si="0"/>
        <v>1432.8387704265824</v>
      </c>
      <c r="AY6" s="21">
        <f t="shared" si="1"/>
        <v>1425.664964424519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Games Won</v>
      </c>
      <c r="M7" s="255"/>
      <c r="N7" s="255"/>
      <c r="O7" s="255"/>
      <c r="P7" s="255"/>
      <c r="Q7" s="256"/>
      <c r="R7" s="254" t="str">
        <f>IF($AK10=0,"Games Lost","Matches Lost")</f>
        <v>Games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47</v>
      </c>
      <c r="AV7" s="15" t="s">
        <v>48</v>
      </c>
      <c r="AW7" s="16">
        <f>VLOOKUP(AV7,Initial!G:K,5,FALSE)</f>
        <v>1375.6647897871101</v>
      </c>
      <c r="AX7" s="20">
        <f t="shared" si="0"/>
        <v>1418.5341024586221</v>
      </c>
      <c r="AY7" s="21">
        <f t="shared" si="1"/>
        <v>1421.4642724843534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Kershaw 12 White</v>
      </c>
      <c r="F8" s="233"/>
      <c r="G8" s="233"/>
      <c r="H8" s="233"/>
      <c r="I8" s="233"/>
      <c r="J8" s="233"/>
      <c r="K8" s="234"/>
      <c r="L8" s="235">
        <f>IF($AK10=0,AF64,AF46)</f>
        <v>1</v>
      </c>
      <c r="M8" s="236"/>
      <c r="N8" s="236"/>
      <c r="O8" s="236"/>
      <c r="P8" s="236"/>
      <c r="Q8" s="256"/>
      <c r="R8" s="235">
        <f>IF($AK10=0,AG64,AG46)</f>
        <v>7</v>
      </c>
      <c r="S8" s="236"/>
      <c r="T8" s="236"/>
      <c r="U8" s="236"/>
      <c r="V8" s="236"/>
      <c r="W8" s="235">
        <f>AQ24</f>
        <v>-54</v>
      </c>
      <c r="X8" s="236"/>
      <c r="Y8" s="236"/>
      <c r="Z8" s="239">
        <f>IF(AF58&gt;0,(AQ24/AF58),0)</f>
        <v>-0.27</v>
      </c>
      <c r="AA8" s="240"/>
      <c r="AB8" s="240"/>
      <c r="AC8" s="262">
        <f>IF(AF72=0,0,(AF64/AF72))</f>
        <v>0.125</v>
      </c>
      <c r="AD8" s="263"/>
      <c r="AE8" s="264"/>
      <c r="AF8" s="268">
        <v>4</v>
      </c>
      <c r="AG8" s="268">
        <v>3</v>
      </c>
      <c r="AH8" s="270">
        <v>7</v>
      </c>
      <c r="AI8" s="271"/>
      <c r="AJ8" s="27"/>
      <c r="AK8" s="28">
        <v>10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50</v>
      </c>
      <c r="AV8" s="15" t="s">
        <v>51</v>
      </c>
      <c r="AW8" s="16">
        <f>VLOOKUP(AV8,Initial!G:K,5,FALSE)</f>
        <v>1373.7743082657332</v>
      </c>
      <c r="AX8" s="20">
        <f t="shared" si="0"/>
        <v>1288.8770288740386</v>
      </c>
      <c r="AY8" s="21">
        <f t="shared" si="1"/>
        <v>1288.8770288740386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fj2kersh2pm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5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53</v>
      </c>
      <c r="AV9" s="15" t="s">
        <v>54</v>
      </c>
      <c r="AW9" s="16">
        <f>VLOOKUP(AV9,Initial!G:K,5,FALSE)</f>
        <v>1368.3041030693962</v>
      </c>
      <c r="AX9" s="20">
        <f t="shared" si="0"/>
        <v>1396.8261896374447</v>
      </c>
      <c r="AY9" s="21">
        <f t="shared" si="1"/>
        <v>1389.3253833869005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SC Midlands 12 Black</v>
      </c>
      <c r="F10" s="233"/>
      <c r="G10" s="233"/>
      <c r="H10" s="233"/>
      <c r="I10" s="233"/>
      <c r="J10" s="233"/>
      <c r="K10" s="234"/>
      <c r="L10" s="235">
        <f>IF($AK10=0,AF65,AF47)</f>
        <v>6</v>
      </c>
      <c r="M10" s="236"/>
      <c r="N10" s="236"/>
      <c r="O10" s="236"/>
      <c r="P10" s="236"/>
      <c r="Q10" s="256"/>
      <c r="R10" s="235">
        <f>IF($AK10=0,AG65,AG47)</f>
        <v>2</v>
      </c>
      <c r="S10" s="236"/>
      <c r="T10" s="236"/>
      <c r="U10" s="236"/>
      <c r="V10" s="236"/>
      <c r="W10" s="235">
        <f>AQ25</f>
        <v>48</v>
      </c>
      <c r="X10" s="236"/>
      <c r="Y10" s="236"/>
      <c r="Z10" s="239">
        <f>IF(AF59&gt;0,(AQ25/AF59),0)</f>
        <v>0.24</v>
      </c>
      <c r="AA10" s="240"/>
      <c r="AB10" s="240"/>
      <c r="AC10" s="262">
        <f>IF(AF73=0,0,(AF65/AF73))</f>
        <v>0.75</v>
      </c>
      <c r="AD10" s="263"/>
      <c r="AE10" s="264"/>
      <c r="AF10" s="268">
        <v>2</v>
      </c>
      <c r="AG10" s="268">
        <v>5</v>
      </c>
      <c r="AH10" s="270">
        <v>3</v>
      </c>
      <c r="AI10" s="271"/>
      <c r="AJ10" s="27"/>
      <c r="AK10" s="28">
        <v>0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56</v>
      </c>
      <c r="AV10" s="15" t="s">
        <v>57</v>
      </c>
      <c r="AW10" s="16">
        <f>VLOOKUP(AV10,Initial!G:K,5,FALSE)</f>
        <v>1345.1281772310635</v>
      </c>
      <c r="AX10" s="20">
        <f t="shared" si="0"/>
        <v>1401.6308274545675</v>
      </c>
      <c r="AY10" s="21">
        <f t="shared" si="1"/>
        <v>1391.547816818643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fj2scmid1pm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5" t="s">
        <v>59</v>
      </c>
      <c r="AV11" s="15" t="s">
        <v>60</v>
      </c>
      <c r="AW11" s="16">
        <f>VLOOKUP(AV11,Initial!G:K,5,FALSE)</f>
        <v>1212.6460682694362</v>
      </c>
      <c r="AX11" s="20">
        <f t="shared" si="0"/>
        <v>1178.6422198857679</v>
      </c>
      <c r="AY11" s="21">
        <f t="shared" si="1"/>
        <v>1178.6422198857679</v>
      </c>
    </row>
    <row r="12" spans="1:53" ht="18.75" customHeight="1" thickBot="1" x14ac:dyDescent="0.25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Emerald City 12-1</v>
      </c>
      <c r="F12" s="233"/>
      <c r="G12" s="233"/>
      <c r="H12" s="233"/>
      <c r="I12" s="233"/>
      <c r="J12" s="233"/>
      <c r="K12" s="234"/>
      <c r="L12" s="235">
        <f>IF($AK10=0,AF66,AF48)</f>
        <v>6</v>
      </c>
      <c r="M12" s="236"/>
      <c r="N12" s="236"/>
      <c r="O12" s="236"/>
      <c r="P12" s="236"/>
      <c r="Q12" s="256"/>
      <c r="R12" s="235">
        <f>IF($AK10=0,AG66,AG48)</f>
        <v>2</v>
      </c>
      <c r="S12" s="236"/>
      <c r="T12" s="236"/>
      <c r="U12" s="236"/>
      <c r="V12" s="236"/>
      <c r="W12" s="235">
        <f>AQ26</f>
        <v>55</v>
      </c>
      <c r="X12" s="236"/>
      <c r="Y12" s="236"/>
      <c r="Z12" s="239">
        <f>IF(AF60&gt;0,(AQ26/AF60),0)</f>
        <v>0.27500000000000002</v>
      </c>
      <c r="AA12" s="240"/>
      <c r="AB12" s="240"/>
      <c r="AC12" s="262">
        <f>IF(AF74=0,0,(AF66/AF74))</f>
        <v>0.75</v>
      </c>
      <c r="AD12" s="263"/>
      <c r="AE12" s="264"/>
      <c r="AF12" s="268">
        <v>1</v>
      </c>
      <c r="AG12" s="268">
        <v>5</v>
      </c>
      <c r="AH12" s="270">
        <v>2</v>
      </c>
      <c r="AI12" s="271"/>
      <c r="AJ12" s="31"/>
      <c r="AK12" s="28">
        <v>8</v>
      </c>
      <c r="AL12" s="32" t="s">
        <v>61</v>
      </c>
      <c r="AM12" s="29"/>
      <c r="AN12" s="29"/>
      <c r="AO12" s="29"/>
      <c r="AP12" s="29"/>
      <c r="AQ12" s="29"/>
      <c r="AR12" s="30"/>
      <c r="AT12" s="33">
        <v>10</v>
      </c>
      <c r="AU12" s="15" t="s">
        <v>62</v>
      </c>
      <c r="AV12" s="15" t="s">
        <v>63</v>
      </c>
      <c r="AW12" s="16">
        <f>VLOOKUP(AV12,Initial!G:K,5,FALSE)</f>
        <v>1321.2738836240517</v>
      </c>
      <c r="AX12" s="34">
        <f t="shared" si="0"/>
        <v>1309.0350527843616</v>
      </c>
      <c r="AY12" s="35">
        <f t="shared" si="1"/>
        <v>1307.0130824494734</v>
      </c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fj2ecity1pm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39" t="s">
        <v>64</v>
      </c>
      <c r="AU13" s="340"/>
      <c r="AV13" s="340"/>
      <c r="AW13" s="340"/>
      <c r="AX13" s="340"/>
      <c r="AY13" s="341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Intense 12 Lexington</v>
      </c>
      <c r="F14" s="233"/>
      <c r="G14" s="233"/>
      <c r="H14" s="233"/>
      <c r="I14" s="233"/>
      <c r="J14" s="233"/>
      <c r="K14" s="234"/>
      <c r="L14" s="235">
        <f>IF($AK10=0,AF67,AF49)</f>
        <v>6</v>
      </c>
      <c r="M14" s="236"/>
      <c r="N14" s="236"/>
      <c r="O14" s="236"/>
      <c r="P14" s="236"/>
      <c r="Q14" s="256"/>
      <c r="R14" s="235">
        <f>IF($AK10=0,AG67,AG49)</f>
        <v>2</v>
      </c>
      <c r="S14" s="236"/>
      <c r="T14" s="236"/>
      <c r="U14" s="236"/>
      <c r="V14" s="236"/>
      <c r="W14" s="235">
        <f>AQ27</f>
        <v>24</v>
      </c>
      <c r="X14" s="236"/>
      <c r="Y14" s="236"/>
      <c r="Z14" s="239">
        <f>IF(AF61&gt;0,(AQ27/AF61),0)</f>
        <v>0.12</v>
      </c>
      <c r="AA14" s="240"/>
      <c r="AB14" s="240"/>
      <c r="AC14" s="262">
        <f>IF(AF75=0,0,(AF67/AF75))</f>
        <v>0.75</v>
      </c>
      <c r="AD14" s="263"/>
      <c r="AE14" s="264"/>
      <c r="AF14" s="268">
        <v>3</v>
      </c>
      <c r="AG14" s="268">
        <v>5</v>
      </c>
      <c r="AH14" s="270">
        <v>7</v>
      </c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42"/>
      <c r="AU14" s="343"/>
      <c r="AV14" s="343"/>
      <c r="AW14" s="343"/>
      <c r="AX14" s="343"/>
      <c r="AY14" s="344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fj2inten2pm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  <c r="AW15" s="38"/>
      <c r="AX15" s="38"/>
      <c r="AY15" s="38"/>
    </row>
    <row r="16" spans="1:53" ht="18.75" customHeight="1" thickBot="1" x14ac:dyDescent="0.25">
      <c r="A16" s="227" t="str">
        <f>IF($AK9&gt;4,"5","")</f>
        <v>5</v>
      </c>
      <c r="B16" s="286" t="s">
        <v>10</v>
      </c>
      <c r="C16" s="287"/>
      <c r="D16" s="287"/>
      <c r="E16" s="232" t="str">
        <f>AU11</f>
        <v>Club Coastal 12 Gray</v>
      </c>
      <c r="F16" s="233"/>
      <c r="G16" s="233"/>
      <c r="H16" s="233"/>
      <c r="I16" s="233"/>
      <c r="J16" s="233"/>
      <c r="K16" s="234"/>
      <c r="L16" s="235">
        <f>IF($AK10=0,AF68,AF50)</f>
        <v>1</v>
      </c>
      <c r="M16" s="236"/>
      <c r="N16" s="236"/>
      <c r="O16" s="236"/>
      <c r="P16" s="236"/>
      <c r="Q16" s="256"/>
      <c r="R16" s="235">
        <f>IF($AK10=0,AG68,AG50)</f>
        <v>7</v>
      </c>
      <c r="S16" s="236"/>
      <c r="T16" s="236"/>
      <c r="U16" s="236"/>
      <c r="V16" s="236"/>
      <c r="W16" s="235">
        <f>AQ28</f>
        <v>-73</v>
      </c>
      <c r="X16" s="236"/>
      <c r="Y16" s="236"/>
      <c r="Z16" s="239">
        <f>IF(AF62&gt;0,(AQ28/AF62),0)</f>
        <v>-0.36499999999999999</v>
      </c>
      <c r="AA16" s="240"/>
      <c r="AB16" s="240"/>
      <c r="AC16" s="262">
        <f>IF(AF76=0,0,(AF68/AF76))</f>
        <v>0.125</v>
      </c>
      <c r="AD16" s="263"/>
      <c r="AE16" s="264"/>
      <c r="AF16" s="268">
        <v>5</v>
      </c>
      <c r="AG16" s="268">
        <v>3</v>
      </c>
      <c r="AH16" s="270">
        <v>10</v>
      </c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T16" s="39"/>
      <c r="AU16" s="38"/>
      <c r="AV16" s="38"/>
      <c r="AW16" s="38"/>
      <c r="AX16" s="38"/>
      <c r="AY16" s="38"/>
    </row>
    <row r="17" spans="1:51" ht="18.75" customHeight="1" thickBot="1" x14ac:dyDescent="0.25">
      <c r="A17" s="228"/>
      <c r="B17" s="296" t="s">
        <v>11</v>
      </c>
      <c r="C17" s="297"/>
      <c r="D17" s="297"/>
      <c r="E17" s="410" t="str">
        <f>AV11</f>
        <v>fj2ccoas1pm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T17" s="39"/>
      <c r="AU17" s="15"/>
      <c r="AV17" s="15"/>
      <c r="AW17" s="38"/>
      <c r="AX17" s="38"/>
      <c r="AY17" s="38"/>
    </row>
    <row r="18" spans="1:51" ht="21" customHeight="1" thickTop="1" thickBot="1" x14ac:dyDescent="0.25">
      <c r="A18" s="40"/>
      <c r="B18" s="305" t="s">
        <v>65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T18" s="39"/>
      <c r="AU18" s="38"/>
      <c r="AV18" s="38"/>
      <c r="AW18" s="4"/>
    </row>
    <row r="19" spans="1:51" ht="13.5" thickTop="1" x14ac:dyDescent="0.2">
      <c r="A19" s="4" t="s">
        <v>66</v>
      </c>
      <c r="B19" s="308">
        <v>0.35416666666666669</v>
      </c>
      <c r="C19" s="309"/>
      <c r="D19" s="310"/>
      <c r="E19" s="308">
        <v>0.38541666666666669</v>
      </c>
      <c r="F19" s="309"/>
      <c r="G19" s="310"/>
      <c r="H19" s="308">
        <v>0.41666666666666669</v>
      </c>
      <c r="I19" s="309"/>
      <c r="J19" s="310"/>
      <c r="K19" s="308">
        <v>0.44791666666666669</v>
      </c>
      <c r="L19" s="309"/>
      <c r="M19" s="310"/>
      <c r="N19" s="308">
        <v>0.47916666666666669</v>
      </c>
      <c r="O19" s="309"/>
      <c r="P19" s="310"/>
      <c r="Q19" s="308">
        <v>0.51041666666666663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T19" s="39"/>
      <c r="AU19" s="38"/>
      <c r="AV19" s="38"/>
      <c r="AW19" s="4"/>
    </row>
    <row r="20" spans="1:51" x14ac:dyDescent="0.2">
      <c r="A20" s="41" t="s">
        <v>68</v>
      </c>
      <c r="B20" s="319">
        <v>0.3611111111111111</v>
      </c>
      <c r="C20" s="320"/>
      <c r="D20" s="321"/>
      <c r="E20" s="319">
        <v>0.39583333333333331</v>
      </c>
      <c r="F20" s="320"/>
      <c r="G20" s="321"/>
      <c r="H20" s="319">
        <v>0.4236111111111111</v>
      </c>
      <c r="I20" s="320"/>
      <c r="J20" s="321"/>
      <c r="K20" s="319">
        <v>0.4548611111111111</v>
      </c>
      <c r="L20" s="320"/>
      <c r="M20" s="321"/>
      <c r="N20" s="319">
        <v>0.49305555555555558</v>
      </c>
      <c r="O20" s="320"/>
      <c r="P20" s="321"/>
      <c r="Q20" s="319">
        <v>0.52430555555555558</v>
      </c>
      <c r="R20" s="320"/>
      <c r="S20" s="321"/>
      <c r="T20" s="319">
        <v>5.5555555555555552E-2</v>
      </c>
      <c r="U20" s="320"/>
      <c r="V20" s="321"/>
      <c r="W20" s="319">
        <v>9.375E-2</v>
      </c>
      <c r="X20" s="320"/>
      <c r="Y20" s="321"/>
      <c r="Z20" s="319">
        <v>0.13194444444444445</v>
      </c>
      <c r="AA20" s="320"/>
      <c r="AB20" s="321"/>
      <c r="AC20" s="319">
        <v>0.16666666666666666</v>
      </c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T20" s="39"/>
      <c r="AU20" s="38"/>
      <c r="AV20" s="38"/>
      <c r="AW20" s="4"/>
    </row>
    <row r="21" spans="1:51" x14ac:dyDescent="0.2">
      <c r="A21" s="41" t="s">
        <v>69</v>
      </c>
      <c r="B21" s="319">
        <v>0.38541666666666669</v>
      </c>
      <c r="C21" s="320"/>
      <c r="D21" s="321"/>
      <c r="E21" s="319">
        <v>0.41666666666666669</v>
      </c>
      <c r="F21" s="320"/>
      <c r="G21" s="321"/>
      <c r="H21" s="319">
        <v>0.44791666666666669</v>
      </c>
      <c r="I21" s="320"/>
      <c r="J21" s="321"/>
      <c r="K21" s="319">
        <v>0.4861111111111111</v>
      </c>
      <c r="L21" s="320"/>
      <c r="M21" s="321"/>
      <c r="N21" s="319">
        <v>0.52013888888888882</v>
      </c>
      <c r="O21" s="320"/>
      <c r="P21" s="321"/>
      <c r="Q21" s="319">
        <v>4.8611111111111112E-2</v>
      </c>
      <c r="R21" s="320"/>
      <c r="S21" s="321"/>
      <c r="T21" s="319">
        <v>8.6805555555555566E-2</v>
      </c>
      <c r="U21" s="320"/>
      <c r="V21" s="321"/>
      <c r="W21" s="319">
        <v>0.125</v>
      </c>
      <c r="X21" s="320"/>
      <c r="Y21" s="321"/>
      <c r="Z21" s="319">
        <v>0.15625</v>
      </c>
      <c r="AA21" s="320"/>
      <c r="AB21" s="321"/>
      <c r="AC21" s="319">
        <v>0.1875</v>
      </c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T21" s="6"/>
      <c r="AU21" s="6"/>
      <c r="AV21" s="6"/>
      <c r="AW21" s="4"/>
    </row>
    <row r="22" spans="1:51" ht="13.5" thickBot="1" x14ac:dyDescent="0.25">
      <c r="A22" s="7"/>
      <c r="B22" s="322" t="s">
        <v>70</v>
      </c>
      <c r="C22" s="323"/>
      <c r="D22" s="324"/>
      <c r="E22" s="322" t="str">
        <f>IF($AK8&gt;1,"Match 2","")</f>
        <v>Match 2</v>
      </c>
      <c r="F22" s="323"/>
      <c r="G22" s="324"/>
      <c r="H22" s="322" t="str">
        <f>IF($AK8&gt;2,"Match 3","")</f>
        <v>Match 3</v>
      </c>
      <c r="I22" s="323"/>
      <c r="J22" s="324"/>
      <c r="K22" s="322" t="str">
        <f>IF($AK8&gt;3,"Match 4","")</f>
        <v>Match 4</v>
      </c>
      <c r="L22" s="323"/>
      <c r="M22" s="324"/>
      <c r="N22" s="322" t="str">
        <f>IF($AK8&gt;4,"Match 5","")</f>
        <v>Match 5</v>
      </c>
      <c r="O22" s="323"/>
      <c r="P22" s="324"/>
      <c r="Q22" s="322" t="str">
        <f>IF($AK8&gt;5,"Match 6","")</f>
        <v>Match 6</v>
      </c>
      <c r="R22" s="323"/>
      <c r="S22" s="324"/>
      <c r="T22" s="322" t="str">
        <f>IF($AK8&gt;6,"Match 7","")</f>
        <v>Match 7</v>
      </c>
      <c r="U22" s="323"/>
      <c r="V22" s="324"/>
      <c r="W22" s="322" t="str">
        <f>IF($AK8&gt;7,"Match 8","")</f>
        <v>Match 8</v>
      </c>
      <c r="X22" s="323"/>
      <c r="Y22" s="324"/>
      <c r="Z22" s="322" t="str">
        <f>IF($AK8&gt;8,"Match 9","")</f>
        <v>Match 9</v>
      </c>
      <c r="AA22" s="323"/>
      <c r="AB22" s="324"/>
      <c r="AC22" s="322" t="str">
        <f>IF($AK8&gt;9,"Match 10","")</f>
        <v>Match 10</v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T22" s="39"/>
      <c r="AU22" s="38"/>
      <c r="AV22" s="38"/>
      <c r="AW22" s="4"/>
    </row>
    <row r="23" spans="1:51" ht="15.75" x14ac:dyDescent="0.25">
      <c r="A23" s="7"/>
      <c r="B23" s="325" t="s">
        <v>71</v>
      </c>
      <c r="C23" s="326"/>
      <c r="D23" s="327"/>
      <c r="E23" s="325" t="s">
        <v>72</v>
      </c>
      <c r="F23" s="326"/>
      <c r="G23" s="327"/>
      <c r="H23" s="325" t="s">
        <v>73</v>
      </c>
      <c r="I23" s="326"/>
      <c r="J23" s="327"/>
      <c r="K23" s="325" t="s">
        <v>74</v>
      </c>
      <c r="L23" s="326"/>
      <c r="M23" s="327"/>
      <c r="N23" s="325" t="s">
        <v>75</v>
      </c>
      <c r="O23" s="326"/>
      <c r="P23" s="327"/>
      <c r="Q23" s="325" t="s">
        <v>73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74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9"/>
      <c r="AU23" s="38"/>
      <c r="AV23" s="38"/>
      <c r="AW23" s="38"/>
      <c r="AX23" s="38"/>
      <c r="AY23" s="38"/>
    </row>
    <row r="24" spans="1:51" ht="15.75" x14ac:dyDescent="0.25">
      <c r="A24" s="7"/>
      <c r="B24" s="45">
        <v>2</v>
      </c>
      <c r="C24" s="46" t="s">
        <v>78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2" t="str">
        <f>IF($AK9&gt;0,"Team 1","")</f>
        <v>Team 1</v>
      </c>
      <c r="AG24" s="48" t="str">
        <f>IF($AK9&lt;1,"",IF($AK8&lt;1,"",IF(B24=1,B30-D30,IF(D24=1,D30-B30,""))))</f>
        <v/>
      </c>
      <c r="AH24" s="48">
        <f>IF($AK9&lt;1,"",IF($AK8&lt;2,"",IF(E24=1,E30-G30,IF(G24=1,G30-E30,""))))</f>
        <v>-16</v>
      </c>
      <c r="AI24" s="48" t="str">
        <f>IF($AK9&lt;1,"",IF($AK8&lt;3,"",IF(H24=1,H30-J30,IF(J24=1,J30-H30,""))))</f>
        <v/>
      </c>
      <c r="AJ24" s="48" t="str">
        <f>IF($AK9&lt;1,"",IF($AK8&lt;4,"",IF(K24=1,K30-M30,IF(M24=1,M30-K30,""))))</f>
        <v/>
      </c>
      <c r="AK24" s="48">
        <f>IF($AK9&lt;1,"",IF($AK8&lt;5,"",IF(N24=1,N30-P30,IF(P24=1,P30-N30,""))))</f>
        <v>-21</v>
      </c>
      <c r="AL24" s="48" t="str">
        <f>IF($AK9&lt;1,"",IF($AK8&lt;6,"",IF(Q24=1,Q30-S30,IF(S24=1,S30-Q30,""))))</f>
        <v/>
      </c>
      <c r="AM24" s="48" t="str">
        <f>IF($AK9&lt;1,"",IF($AK8&lt;7,"",IF(T24=1,T30-V30,IF(V24=1,V30-T30,""))))</f>
        <v/>
      </c>
      <c r="AN24" s="48">
        <f>IF($AK9&lt;1,"",IF($AK8&lt;8,"",IF(W24=1,W30-Y30,IF(Y24=1,Y30-W30,""))))</f>
        <v>4</v>
      </c>
      <c r="AO24" s="48" t="str">
        <f>IF($AK9&lt;1,"",IF($AK8&lt;9,"",IF(Z24=1,Z30-AB30,IF(AB24=1,AB30-Z30,""))))</f>
        <v/>
      </c>
      <c r="AP24" s="48">
        <f>IF($AK9&lt;1,"",IF($AK8&lt;10,"",IF(AC24=1,AC30-AE30,IF(AE24=1,AE30-AC30,""))))</f>
        <v>-21</v>
      </c>
      <c r="AQ24" s="44">
        <f>SUM(AG24:AP24)</f>
        <v>-54</v>
      </c>
      <c r="AT24" s="39"/>
      <c r="AU24" s="38"/>
      <c r="AV24" s="38"/>
      <c r="AW24" s="38"/>
      <c r="AX24" s="38"/>
      <c r="AY24" s="38"/>
    </row>
    <row r="25" spans="1:51" ht="15" x14ac:dyDescent="0.2">
      <c r="A25" s="4" t="s">
        <v>79</v>
      </c>
      <c r="B25" s="49">
        <v>25</v>
      </c>
      <c r="C25" s="50" t="s">
        <v>80</v>
      </c>
      <c r="D25" s="51">
        <v>13</v>
      </c>
      <c r="E25" s="49">
        <v>15</v>
      </c>
      <c r="F25" s="50" t="str">
        <f>IF($AK8&gt;1,"/","")</f>
        <v>/</v>
      </c>
      <c r="G25" s="51">
        <v>25</v>
      </c>
      <c r="H25" s="49">
        <v>25</v>
      </c>
      <c r="I25" s="50" t="str">
        <f>IF($AK8&gt;2,"/","")</f>
        <v>/</v>
      </c>
      <c r="J25" s="51">
        <v>13</v>
      </c>
      <c r="K25" s="49">
        <v>20</v>
      </c>
      <c r="L25" s="50" t="str">
        <f>IF($AK8&gt;3,"/","")</f>
        <v>/</v>
      </c>
      <c r="M25" s="51">
        <v>25</v>
      </c>
      <c r="N25" s="49">
        <v>16</v>
      </c>
      <c r="O25" s="50" t="str">
        <f>IF($AK8&gt;4,"/","")</f>
        <v>/</v>
      </c>
      <c r="P25" s="51">
        <v>25</v>
      </c>
      <c r="Q25" s="49">
        <v>25</v>
      </c>
      <c r="R25" s="50" t="str">
        <f>IF($AK8&gt;5,"/","")</f>
        <v>/</v>
      </c>
      <c r="S25" s="51">
        <v>17</v>
      </c>
      <c r="T25" s="49">
        <v>23</v>
      </c>
      <c r="U25" s="50" t="str">
        <f>IF($AK8&gt;6,"/","")</f>
        <v>/</v>
      </c>
      <c r="V25" s="51">
        <v>25</v>
      </c>
      <c r="W25" s="49">
        <v>23</v>
      </c>
      <c r="X25" s="50" t="str">
        <f>IF($AK8&gt;7,"/","")</f>
        <v>/</v>
      </c>
      <c r="Y25" s="51">
        <v>25</v>
      </c>
      <c r="Z25" s="49">
        <v>21</v>
      </c>
      <c r="AA25" s="50" t="str">
        <f>IF($AK8&gt;8,"/","")</f>
        <v>/</v>
      </c>
      <c r="AB25" s="51">
        <v>25</v>
      </c>
      <c r="AC25" s="49">
        <v>19</v>
      </c>
      <c r="AD25" s="50" t="str">
        <f>IF($AK8&gt;9,"/","")</f>
        <v>/</v>
      </c>
      <c r="AE25" s="51">
        <v>25</v>
      </c>
      <c r="AF25" s="42" t="str">
        <f>IF($AK9&gt;1,"Team 2","")</f>
        <v>Team 2</v>
      </c>
      <c r="AG25" s="48">
        <f>IF($AK9&lt;2,"",IF($AK8&lt;1,"",IF(B24=2,B30-D30,IF(D24=2,D30-B30,""))))</f>
        <v>24</v>
      </c>
      <c r="AH25" s="48" t="str">
        <f>IF($AK9&lt;2,"",IF($AK8&lt;2,"",IF(E24=2,E30-G30,IF(G24=2,G30-E30,""))))</f>
        <v/>
      </c>
      <c r="AI25" s="48" t="str">
        <f>IF($AK9&lt;2,"",IF($AK8&lt;3,"",IF(H24=2,H30-J30,IF(J24=2,J30-H30,""))))</f>
        <v/>
      </c>
      <c r="AJ25" s="48">
        <f>IF($AK9&lt;2,"",IF($AK8&lt;4,"",IF(K24=2,K30-M30,IF(M24=2,M30-K30,""))))</f>
        <v>2</v>
      </c>
      <c r="AK25" s="48" t="str">
        <f>IF($AK9&lt;2,"",IF($AK8&lt;5,"",IF(N24=2,N30-P30,IF(P24=2,P30-N30,""))))</f>
        <v/>
      </c>
      <c r="AL25" s="48" t="str">
        <f>IF($AK9&lt;2,"",IF($AK8&lt;6,"",IF(Q24=2,Q30-S30,IF(S24=2,S30-Q30,""))))</f>
        <v/>
      </c>
      <c r="AM25" s="48">
        <f>IF($AK9&lt;2,"",IF($AK8&lt;7,"",IF(T24=2,T30-V30,IF(V24=2,V30-T30,""))))</f>
        <v>1</v>
      </c>
      <c r="AN25" s="48" t="str">
        <f>IF($AK9&lt;2,"",IF($AK8&lt;8,"",IF(W24=2,W30-Y30,IF(Y24=2,Y30-W30,""))))</f>
        <v/>
      </c>
      <c r="AO25" s="48" t="str">
        <f>IF($AK9&lt;2,"",IF($AK8&lt;9,"",IF(Z24=2,Z30-AB30,IF(AB24=2,AB30-Z30,""))))</f>
        <v/>
      </c>
      <c r="AP25" s="48">
        <f>IF($AK9&lt;2,"",IF($AK8&lt;10,"",IF(AC24=2,AC30-AE30,IF(AE24=2,AE30-AC30,""))))</f>
        <v>21</v>
      </c>
      <c r="AQ25" s="44">
        <f>SUM(AG25:AP25)</f>
        <v>48</v>
      </c>
      <c r="AW25" s="4"/>
    </row>
    <row r="26" spans="1:51" ht="15" x14ac:dyDescent="0.2">
      <c r="A26" s="3" t="str">
        <f>IF($AK7&gt;1,"Game 2","")</f>
        <v>Game 2</v>
      </c>
      <c r="B26" s="49">
        <v>25</v>
      </c>
      <c r="C26" s="50" t="s">
        <v>80</v>
      </c>
      <c r="D26" s="51">
        <v>13</v>
      </c>
      <c r="E26" s="49">
        <v>19</v>
      </c>
      <c r="F26" s="50" t="str">
        <f>IF($AK8&gt;1,IF($AK7&gt;1,"/",""),"")</f>
        <v>/</v>
      </c>
      <c r="G26" s="51">
        <v>25</v>
      </c>
      <c r="H26" s="49">
        <v>25</v>
      </c>
      <c r="I26" s="50" t="str">
        <f>IF($AK8&gt;2,IF($AK7&gt;1,"/",""),"")</f>
        <v>/</v>
      </c>
      <c r="J26" s="51">
        <v>12</v>
      </c>
      <c r="K26" s="49">
        <v>25</v>
      </c>
      <c r="L26" s="50" t="str">
        <f>IF($AK8&gt;3,IF($AK7&gt;1,"/",""),"")</f>
        <v>/</v>
      </c>
      <c r="M26" s="51">
        <v>18</v>
      </c>
      <c r="N26" s="49">
        <v>13</v>
      </c>
      <c r="O26" s="50" t="str">
        <f>IF($AK8&gt;4,IF($AK7&gt;1,"/",""),"")</f>
        <v>/</v>
      </c>
      <c r="P26" s="51">
        <v>25</v>
      </c>
      <c r="Q26" s="49">
        <v>25</v>
      </c>
      <c r="R26" s="50" t="str">
        <f>IF($AK8&gt;5,IF($AK7&gt;1,"/",""),"")</f>
        <v>/</v>
      </c>
      <c r="S26" s="51">
        <v>13</v>
      </c>
      <c r="T26" s="49">
        <v>25</v>
      </c>
      <c r="U26" s="50" t="str">
        <f>IF($AK8&gt;6,IF($AK7&gt;1,"/",""),"")</f>
        <v>/</v>
      </c>
      <c r="V26" s="51">
        <v>22</v>
      </c>
      <c r="W26" s="49">
        <v>25</v>
      </c>
      <c r="X26" s="50" t="str">
        <f>IF($AK8&gt;7,IF($AK7&gt;1,"/",""),"")</f>
        <v>/</v>
      </c>
      <c r="Y26" s="51">
        <v>19</v>
      </c>
      <c r="Z26" s="49">
        <v>25</v>
      </c>
      <c r="AA26" s="50" t="str">
        <f>IF($AK8&gt;8,IF($AK7&gt;1,"/",""),"")</f>
        <v>/</v>
      </c>
      <c r="AB26" s="51">
        <v>11</v>
      </c>
      <c r="AC26" s="49">
        <v>10</v>
      </c>
      <c r="AD26" s="50" t="str">
        <f>IF($AK8&gt;9,IF($AK7&gt;1,"/",""),"")</f>
        <v>/</v>
      </c>
      <c r="AE26" s="51">
        <v>25</v>
      </c>
      <c r="AF26" s="42" t="str">
        <f>IF($AK9&gt;2,"Team 3","")</f>
        <v>Team 3</v>
      </c>
      <c r="AG26" s="48" t="str">
        <f>IF($AK9&lt;3,"",IF($AK8&lt;1,"",IF(B24=3,B30-D30,IF(D24=3,D30-B30,""))))</f>
        <v/>
      </c>
      <c r="AH26" s="48" t="str">
        <f>IF($AK9&lt;3,"",IF($AK8&lt;2,"",IF(E24=3,E30-G30,IF(G24=3,G30-E30,""))))</f>
        <v/>
      </c>
      <c r="AI26" s="48">
        <f>IF($AK9&lt;3,"",IF($AK8&lt;3,"",IF(H24=3,H30-J30,IF(J24=3,J30-H30,""))))</f>
        <v>25</v>
      </c>
      <c r="AJ26" s="48" t="str">
        <f>IF($AK9&lt;3,"",IF($AK8&lt;4,"",IF(K24=3,K30-M30,IF(M24=3,M30-K30,""))))</f>
        <v/>
      </c>
      <c r="AK26" s="48">
        <f>IF($AK9&lt;3,"",IF($AK8&lt;5,"",IF(N24=3,N30-P30,IF(P24=3,P30-N30,""))))</f>
        <v>21</v>
      </c>
      <c r="AL26" s="48" t="str">
        <f>IF($AK9&lt;3,"",IF($AK8&lt;6,"",IF(Q24=3,Q30-S30,IF(S24=3,S30-Q30,""))))</f>
        <v/>
      </c>
      <c r="AM26" s="48">
        <f>IF($AK9&lt;3,"",IF($AK8&lt;7,"",IF(T24=3,T30-V30,IF(V24=3,V30-T30,""))))</f>
        <v>-1</v>
      </c>
      <c r="AN26" s="48" t="str">
        <f>IF($AK9&lt;3,"",IF($AK8&lt;8,"",IF(W24=3,W30-Y30,IF(Y24=3,Y30-W30,""))))</f>
        <v/>
      </c>
      <c r="AO26" s="48">
        <f>IF($AK9&lt;3,"",IF($AK8&lt;9,"",IF(Z24=3,Z30-AB30,IF(AB24=3,AB30-Z30,""))))</f>
        <v>10</v>
      </c>
      <c r="AP26" s="48" t="str">
        <f>IF($AK9&lt;3,"",IF($AK8&lt;9,"",IF(AC24=3,AC30-AE30,IF(AE24=3,AE30-AC30,""))))</f>
        <v/>
      </c>
      <c r="AQ26" s="44">
        <f>SUM(AG26:AP26)</f>
        <v>55</v>
      </c>
      <c r="AW26" s="4"/>
    </row>
    <row r="27" spans="1:51" ht="15" x14ac:dyDescent="0.2">
      <c r="A27" s="3" t="str">
        <f>IF($AK7&gt;2,"Game 3","")</f>
        <v/>
      </c>
      <c r="B27" s="49"/>
      <c r="C27" s="50" t="s">
        <v>80</v>
      </c>
      <c r="D27" s="51"/>
      <c r="E27" s="49"/>
      <c r="F27" s="50" t="str">
        <f>IF($AK8&gt;1,IF($AK7&gt;2,"/",""),"")</f>
        <v/>
      </c>
      <c r="G27" s="51"/>
      <c r="H27" s="49"/>
      <c r="I27" s="50" t="str">
        <f>IF($AK8&gt;2,IF($AK7&gt;2,"/",""),"")</f>
        <v/>
      </c>
      <c r="J27" s="51"/>
      <c r="K27" s="49"/>
      <c r="L27" s="50" t="str">
        <f>IF($AK8&gt;3,IF($AK7&gt;2,"/",""),"")</f>
        <v/>
      </c>
      <c r="M27" s="51"/>
      <c r="N27" s="49"/>
      <c r="O27" s="50" t="str">
        <f>IF($AK8&gt;4,IF($AK7&gt;2,"/",""),"")</f>
        <v/>
      </c>
      <c r="P27" s="51"/>
      <c r="Q27" s="49"/>
      <c r="R27" s="50" t="str">
        <f>IF($AK8&gt;5,IF($AK7&gt;2,"/",""),"")</f>
        <v/>
      </c>
      <c r="S27" s="51"/>
      <c r="T27" s="49"/>
      <c r="U27" s="50" t="str">
        <f>IF($AK8&gt;6,IF($AK7&gt;2,"/",""),"")</f>
        <v/>
      </c>
      <c r="V27" s="51"/>
      <c r="W27" s="49"/>
      <c r="X27" s="50" t="str">
        <f>IF($AK8&gt;7,IF($AK7&gt;2,"/",""),"")</f>
        <v/>
      </c>
      <c r="Y27" s="51"/>
      <c r="Z27" s="49"/>
      <c r="AA27" s="50" t="str">
        <f>IF($AK8&gt;8,IF($AK7&gt;2,"/",""),"")</f>
        <v/>
      </c>
      <c r="AB27" s="51"/>
      <c r="AC27" s="49"/>
      <c r="AD27" s="50" t="str">
        <f>IF($AK8&gt;9,IF($AK7&gt;2,"/",""),"")</f>
        <v/>
      </c>
      <c r="AE27" s="51"/>
      <c r="AF27" s="42" t="str">
        <f>IF($AK9&gt;3,"Team 4","")</f>
        <v>Team 4</v>
      </c>
      <c r="AG27" s="48" t="str">
        <f>IF($AK9&lt;4,"",IF($AK8&lt;1,"",IF(B24=4,B30-D30,IF(D24=4,D30-B30,""))))</f>
        <v/>
      </c>
      <c r="AH27" s="48">
        <f>IF($AK9&lt;4,"",IF($AK8&lt;2,"",IF(E24=4,E30-G30,IF(G24=4,G30-E30,""))))</f>
        <v>16</v>
      </c>
      <c r="AI27" s="48" t="str">
        <f>IF($AK9&lt;4,"",IF($AK8&lt;3,"",IF(H24=4,H30-J30,IF(J24=4,J30-H30,""))))</f>
        <v/>
      </c>
      <c r="AJ27" s="48">
        <f>IF($AK9&lt;4,"",IF($AK8&lt;4,"",IF(K24=4,K30-M30,IF(M24=4,M30-K30,""))))</f>
        <v>-2</v>
      </c>
      <c r="AK27" s="48" t="str">
        <f>IF($AK9&lt;4,"",IF($AK8&lt;5,"",IF(N24=4,N30-P30,IF(P24=4,P30-N30,""))))</f>
        <v/>
      </c>
      <c r="AL27" s="48">
        <f>IF($AK9&lt;4,"",IF($AK8&lt;6,"",IF(Q24=4,Q30-S30,IF(S24=4,S30-Q30,""))))</f>
        <v>20</v>
      </c>
      <c r="AM27" s="48" t="str">
        <f>IF($AK9&lt;4,"",IF($AK8&lt;7,"",IF(T24=4,T30-V30,IF(V24=4,V30-T30,""))))</f>
        <v/>
      </c>
      <c r="AN27" s="48" t="str">
        <f>IF($AK9&lt;4,"",IF($AK8&lt;8,"",IF(W24=4,W30-Y30,IF(Y24=4,Y30-W30,""))))</f>
        <v/>
      </c>
      <c r="AO27" s="48">
        <f>IF($AK9&lt;4,"",IF($AK8&lt;9,"",IF(Z24=4,Z30-AB30,IF(AB24=4,AB30-Z30,""))))</f>
        <v>-10</v>
      </c>
      <c r="AP27" s="48" t="str">
        <f>IF($AK9&lt;4,"",IF($AK8&lt;10,"",IF(AC24=4,AC30-AE30,IF(AE24=4,AE30-AC30,""))))</f>
        <v/>
      </c>
      <c r="AQ27" s="44">
        <f>SUM(AG27:AP27)</f>
        <v>24</v>
      </c>
      <c r="AW27" s="4"/>
    </row>
    <row r="28" spans="1:51" ht="15" x14ac:dyDescent="0.2">
      <c r="A28" s="3" t="str">
        <f>IF($AK7&gt;3,"Game 4","")</f>
        <v/>
      </c>
      <c r="B28" s="49"/>
      <c r="C28" s="50" t="s">
        <v>80</v>
      </c>
      <c r="D28" s="51"/>
      <c r="E28" s="49"/>
      <c r="F28" s="50" t="str">
        <f>IF($AK8&gt;1,IF($AK7&gt;3,"/",""),"")</f>
        <v/>
      </c>
      <c r="G28" s="51"/>
      <c r="H28" s="49"/>
      <c r="I28" s="50" t="str">
        <f>IF($AK8&gt;2,IF($AK7&gt;3,"/",""),"")</f>
        <v/>
      </c>
      <c r="J28" s="51"/>
      <c r="K28" s="49"/>
      <c r="L28" s="50" t="str">
        <f>IF($AK8&gt;3,IF($AK7&gt;3,"/",""),"")</f>
        <v/>
      </c>
      <c r="M28" s="51"/>
      <c r="N28" s="49"/>
      <c r="O28" s="50" t="str">
        <f>IF($AK8&gt;4,IF($AK7&gt;3,"/",""),"")</f>
        <v/>
      </c>
      <c r="P28" s="51"/>
      <c r="Q28" s="49"/>
      <c r="R28" s="50" t="str">
        <f>IF($AK8&gt;5,IF($AK7&gt;3,"/",""),"")</f>
        <v/>
      </c>
      <c r="S28" s="51"/>
      <c r="T28" s="49"/>
      <c r="U28" s="50" t="str">
        <f>IF($AK8&gt;6,IF($AK7&gt;3,"/",""),"")</f>
        <v/>
      </c>
      <c r="V28" s="51"/>
      <c r="W28" s="49"/>
      <c r="X28" s="50" t="str">
        <f>IF($AK8&gt;7,IF($AK7&gt;3,"/",""),"")</f>
        <v/>
      </c>
      <c r="Y28" s="51"/>
      <c r="Z28" s="49"/>
      <c r="AA28" s="50" t="str">
        <f>IF($AK8&gt;8,IF($AK7&gt;3,"/",""),"")</f>
        <v/>
      </c>
      <c r="AB28" s="51"/>
      <c r="AC28" s="49"/>
      <c r="AD28" s="50" t="str">
        <f>IF($AK8&gt;9,IF($AK7&gt;3,"/",""),"")</f>
        <v/>
      </c>
      <c r="AE28" s="51"/>
      <c r="AF28" s="42" t="str">
        <f>IF($AK9&gt;4,"Team 5","")</f>
        <v>Team 5</v>
      </c>
      <c r="AG28" s="52">
        <f>IF($AK9&lt;5,"",IF($AK8&lt;1,"",IF(B24=5,B30-D30,IF(D24=5,D30-B30,""))))</f>
        <v>-24</v>
      </c>
      <c r="AH28" s="48" t="str">
        <f>IF($AK9&lt;5,"",IF($AK8&lt;2,"",IF(E24=5,E30-G30,IF(G24=5,G30-E30,""))))</f>
        <v/>
      </c>
      <c r="AI28" s="48">
        <f>IF($AK9&lt;5,"",IF($AK8&lt;3,"",IF(H24=5,H30-J30,IF(J24=5,J30-H30,""))))</f>
        <v>-25</v>
      </c>
      <c r="AJ28" s="48" t="str">
        <f>IF($AK9&lt;5,"",IF($AK8&lt;4,"",IF(K24=5,K30-M30,IF(M24=5,M30-K30,""))))</f>
        <v/>
      </c>
      <c r="AK28" s="48" t="str">
        <f>IF($AK9&lt;5,"",IF($AK8&lt;5,"",IF(N24=5,N30-P30,IF(P24=5,P30-N30,""))))</f>
        <v/>
      </c>
      <c r="AL28" s="48">
        <f>IF($AK9&lt;5,"",IF($AK8&lt;6,"",IF(Q24=5,Q30-S30,IF(S24=5,S30-Q30,""))))</f>
        <v>-20</v>
      </c>
      <c r="AM28" s="48" t="str">
        <f>IF($AK9&lt;5,"",IF($AK8&lt;7,"",IF(T24=5,T30-V30,IF(V24=5,V30-T30,""))))</f>
        <v/>
      </c>
      <c r="AN28" s="48">
        <f>IF($AK9&lt;5,"",IF($AK8&lt;8,"",IF(W24=5,W30-Y30,IF(Y24=5,Y30-W30,""))))</f>
        <v>-4</v>
      </c>
      <c r="AO28" s="48" t="str">
        <f>IF($AK9&lt;5,"",IF($AK8&lt;9,"",IF(Z24=5,Z30-AB30,IF(AB24=5,AB30-Z30,""))))</f>
        <v/>
      </c>
      <c r="AP28" s="48" t="str">
        <f>IF($AK9&lt;5,"",IF($AK8&lt;10,"",IF(AC24=5,AC30-AE30,IF(AE24=5,AE30-AC30,""))))</f>
        <v/>
      </c>
      <c r="AQ28" s="44">
        <f>SUM(AG28:AP28)</f>
        <v>-73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49"/>
      <c r="C29" s="50" t="s">
        <v>80</v>
      </c>
      <c r="D29" s="51"/>
      <c r="E29" s="49"/>
      <c r="F29" s="50" t="str">
        <f>IF($AK8&gt;1,IF($AK7&gt;4,"/",""),"")</f>
        <v/>
      </c>
      <c r="G29" s="51"/>
      <c r="H29" s="49"/>
      <c r="I29" s="50" t="str">
        <f>IF($AK8&gt;2,IF($AK7&gt;4,"/",""),"")</f>
        <v/>
      </c>
      <c r="J29" s="51"/>
      <c r="K29" s="49"/>
      <c r="L29" s="50" t="str">
        <f>IF($AK8&gt;3,IF($AK7&gt;4,"/",""),"")</f>
        <v/>
      </c>
      <c r="M29" s="51"/>
      <c r="N29" s="49"/>
      <c r="O29" s="50" t="str">
        <f>IF($AK8&gt;4,IF($AK7&gt;4,"/",""),"")</f>
        <v/>
      </c>
      <c r="P29" s="51"/>
      <c r="Q29" s="49"/>
      <c r="R29" s="50" t="str">
        <f>IF($AK8&gt;5,IF($AK7&gt;4,"/",""),"")</f>
        <v/>
      </c>
      <c r="S29" s="51"/>
      <c r="T29" s="49"/>
      <c r="U29" s="50" t="str">
        <f>IF($AK8&gt;6,IF($AK7&gt;4,"/",""),"")</f>
        <v/>
      </c>
      <c r="V29" s="51"/>
      <c r="W29" s="49"/>
      <c r="X29" s="50" t="str">
        <f>IF($AK8&gt;7,IF($AK7&gt;4,"/",""),"")</f>
        <v/>
      </c>
      <c r="Y29" s="51"/>
      <c r="Z29" s="49"/>
      <c r="AA29" s="50" t="str">
        <f>IF($AK8&gt;8,IF($AK7&gt;4,"/",""),"")</f>
        <v/>
      </c>
      <c r="AB29" s="51"/>
      <c r="AC29" s="49"/>
      <c r="AD29" s="50" t="str">
        <f>IF($AK8&gt;9,IF($AK7&gt;4,"/",""),"")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3"/>
      <c r="B30" s="53">
        <f>IF($AK7=5,SUM(B25:B29),IF($AK7=4,SUM(B25:B28),IF($AK7=3,SUM(B25:B27),IF($AK7=2,SUM(B25:B26),B25))))</f>
        <v>50</v>
      </c>
      <c r="C30" s="53"/>
      <c r="D30" s="53">
        <f>IF($AK7=5,SUM(D25:D29),IF($AK7=4,SUM(D25:D28),IF($AK7=3,SUM(D25:D27),IF($AK7=2,SUM(D25:D26),D25))))</f>
        <v>26</v>
      </c>
      <c r="E30" s="53">
        <f>IF($AK7=5,SUM(E25:E29),IF($AK7=4,SUM(E25:E28),IF($AK7=3,SUM(E25:E27),IF($AK7=2,SUM(E25:E26),E25))))</f>
        <v>34</v>
      </c>
      <c r="F30" s="53"/>
      <c r="G30" s="53">
        <f>IF($AK7=5,SUM(G25:G29),IF($AK7=4,SUM(G25:G28),IF($AK7=3,SUM(G25:G27),IF($AK7=2,SUM(G25:G26),G25))))</f>
        <v>50</v>
      </c>
      <c r="H30" s="53">
        <f>IF($AK7=5,SUM(H25:H29),IF($AK7=4,SUM(H25:H28),IF($AK7=3,SUM(H25:H27),IF($AK7=2,SUM(H25:H26),H25))))</f>
        <v>50</v>
      </c>
      <c r="I30" s="53"/>
      <c r="J30" s="53">
        <f>IF($AK7=5,SUM(J25:J29),IF($AK7=4,SUM(J25:J28),IF($AK7=3,SUM(J25:J27),IF($AK7=2,SUM(J25:J26),J25))))</f>
        <v>25</v>
      </c>
      <c r="K30" s="53">
        <f>IF($AK7=5,SUM(K25:K29),IF($AK7=4,SUM(K25:K28),IF($AK7=3,SUM(K25:K27),IF($AK7=2,SUM(K25:K26),K25))))</f>
        <v>45</v>
      </c>
      <c r="L30" s="53"/>
      <c r="M30" s="53">
        <f>IF($AK7=5,SUM(M25:M29),IF($AK7=4,SUM(M25:M28),IF($AK7=3,SUM(M25:M27),IF($AK7=2,SUM(M25:M26),M25))))</f>
        <v>43</v>
      </c>
      <c r="N30" s="53">
        <f>IF($AK7=5,SUM(N25:N29),IF($AK7=4,SUM(N25:N28),IF($AK7=3,SUM(N25:N27),IF($AK7=2,SUM(N25:N26),N25))))</f>
        <v>29</v>
      </c>
      <c r="O30" s="53"/>
      <c r="P30" s="53">
        <f>IF($AK7=5,SUM(P25:P29),IF($AK7=4,SUM(P25:P28),IF($AK7=3,SUM(P25:P27),IF($AK7=2,SUM(P25:P26),P25))))</f>
        <v>50</v>
      </c>
      <c r="Q30" s="53">
        <f>IF($AK7=5,SUM(Q25:Q29),IF($AK7=4,SUM(Q25:Q28),IF($AK7=3,SUM(Q25:Q27),IF($AK7=2,SUM(Q25:Q26),Q25))))</f>
        <v>50</v>
      </c>
      <c r="R30" s="53"/>
      <c r="S30" s="53">
        <f>IF($AK7=5,SUM(S25:S29),IF($AK7=4,SUM(S25:S28),IF($AK7=3,SUM(S25:S27),IF($AK7=2,SUM(S25:S26),S25))))</f>
        <v>30</v>
      </c>
      <c r="T30" s="53">
        <f>IF($AK7=5,SUM(T25:T29),IF($AK7=4,SUM(T25:T28),IF($AK7=3,SUM(T25:T27),IF($AK7=2,SUM(T25:T26),T25))))</f>
        <v>48</v>
      </c>
      <c r="U30" s="53"/>
      <c r="V30" s="53">
        <f>IF($AK7=5,SUM(V25:V29),IF($AK7=4,SUM(V25:V28),IF($AK7=3,SUM(V25:V27),IF($AK7=2,SUM(V25:V26),V25))))</f>
        <v>47</v>
      </c>
      <c r="W30" s="53">
        <f>IF($AK7=5,SUM(W25:W29),IF($AK7=4,SUM(W25:W28),IF($AK7=3,SUM(W25:W27),IF($AK7=2,SUM(W25:W26),W25))))</f>
        <v>48</v>
      </c>
      <c r="X30" s="53"/>
      <c r="Y30" s="53">
        <f>IF($AK7=5,SUM(Y25:Y29),IF($AK7=4,SUM(Y25:Y28),IF($AK7=3,SUM(Y25:Y27),IF($AK7=2,SUM(Y25:Y26),Y25))))</f>
        <v>44</v>
      </c>
      <c r="Z30" s="53">
        <f>IF($AK7=5,SUM(Z25:Z29),IF($AK7=4,SUM(Z25:Z28),IF($AK7=3,SUM(Z25:Z27),IF($AK7=2,SUM(Z25:Z26),Z25))))</f>
        <v>46</v>
      </c>
      <c r="AA30" s="53"/>
      <c r="AB30" s="53">
        <f>IF($AK7=5,SUM(AB25:AB29),IF($AK7=4,SUM(AB25:AB28),IF($AK7=3,SUM(AB25:AB27),IF($AK7=2,SUM(AB25:AB26),AB25))))</f>
        <v>36</v>
      </c>
      <c r="AC30" s="53">
        <f>IF($AK7=5,SUM(AC25:AC29),IF($AK7=4,SUM(AC25:AC28),IF($AK7=3,SUM(AC25:AC27),IF($AK7=2,SUM(AC25:AC26),AC25))))</f>
        <v>29</v>
      </c>
      <c r="AD30" s="53"/>
      <c r="AE30" s="53">
        <f>IF($AK7=5,SUM(AE25:AE29),IF($AK7=4,SUM(AE25:AE28),IF($AK7=3,SUM(AE25:AE27),IF($AK7=2,SUM(AE25:AE26),AE25))))</f>
        <v>50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5" customFormat="1" ht="12.75" hidden="1" customHeight="1" x14ac:dyDescent="0.2">
      <c r="A31" s="55" t="s">
        <v>81</v>
      </c>
      <c r="B31" s="56">
        <f>IF(AND(B25&gt;D25,$AK8&gt;0,ISNUMBER(B25),ISNUMBER(D25)),1,0)</f>
        <v>1</v>
      </c>
      <c r="C31" s="56"/>
      <c r="D31" s="57">
        <f>IF(AND(D25&gt;B25,$AK8&gt;0,ISNUMBER(B25),ISNUMBER(D25)),1,0)</f>
        <v>0</v>
      </c>
      <c r="E31" s="56">
        <f>IF(AND(E25&gt;G25,$AK8&gt;1,ISNUMBER(E25),ISNUMBER(G25)),1,0)</f>
        <v>0</v>
      </c>
      <c r="F31" s="56"/>
      <c r="G31" s="57">
        <f>IF(AND(G25&gt;E25,$AK8&gt;1,ISNUMBER(E25),ISNUMBER(G25)),1,0)</f>
        <v>1</v>
      </c>
      <c r="H31" s="56">
        <f>IF(AND(H25&gt;J25,$AK8&gt;2,ISNUMBER(H25),ISNUMBER(J25)),1,0)</f>
        <v>1</v>
      </c>
      <c r="I31" s="56"/>
      <c r="J31" s="57">
        <f>IF(AND(J25&gt;H25,$AK8&gt;2,ISNUMBER(H25),ISNUMBER(J25)),1,0)</f>
        <v>0</v>
      </c>
      <c r="K31" s="56">
        <f>IF(AND(K25&gt;M25,$AK8&gt;3,ISNUMBER(K25),ISNUMBER(M25)),1,0)</f>
        <v>0</v>
      </c>
      <c r="L31" s="56"/>
      <c r="M31" s="57">
        <f>IF(AND(M25&gt;K25,$AK8&gt;3,ISNUMBER(K25),ISNUMBER(M25)),1,0)</f>
        <v>1</v>
      </c>
      <c r="N31" s="56">
        <f>IF(AND(N25&gt;P25,$AK8&gt;4,ISNUMBER(N25),ISNUMBER(P25)),1,0)</f>
        <v>0</v>
      </c>
      <c r="O31" s="56"/>
      <c r="P31" s="57">
        <f>IF(AND(P25&gt;N25,$AK8&gt;4,ISNUMBER(N25),ISNUMBER(P25)),1,0)</f>
        <v>1</v>
      </c>
      <c r="Q31" s="56">
        <f>IF(AND(Q25&gt;S25,$AK8&gt;5,ISNUMBER(Q25),ISNUMBER(S25)),1,0)</f>
        <v>1</v>
      </c>
      <c r="R31" s="56"/>
      <c r="S31" s="57">
        <f>IF(AND(S25&gt;Q25,$AK8&gt;5,ISNUMBER(Q25),ISNUMBER(S25)),1,0)</f>
        <v>0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1</v>
      </c>
      <c r="W31" s="56">
        <f>IF(AND(W25&gt;Y25,$AK8&gt;7,ISNUMBER(W25),ISNUMBER(Y25)),1,0)</f>
        <v>0</v>
      </c>
      <c r="X31" s="56"/>
      <c r="Y31" s="57">
        <f>IF(AND(Y25&gt;W25,$AK8&gt;7,ISNUMBER(W25),ISNUMBER(Y25)),1,0)</f>
        <v>1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1</v>
      </c>
      <c r="AC31" s="56">
        <f>IF(AND(AC25&gt;AE25,$AK8&gt;9,ISNUMBER(AC25),ISNUMBER(AE25)),1,0)</f>
        <v>0</v>
      </c>
      <c r="AD31" s="56"/>
      <c r="AE31" s="57">
        <f>IF(AND(AE25&gt;AC25,$AK8&gt;9,ISNUMBER(AC25),ISNUMBER(AE25)),1,0)</f>
        <v>1</v>
      </c>
      <c r="AW31" s="58"/>
    </row>
    <row r="32" spans="1:51" s="55" customFormat="1" ht="12.75" hidden="1" customHeight="1" x14ac:dyDescent="0.2">
      <c r="A32" s="55" t="s">
        <v>82</v>
      </c>
      <c r="B32" s="56">
        <f>IF(AND(B26&gt;D26,$AK8&gt;0,$AK7&gt;1,ISNUMBER(B26),ISNUMBER(D26)),1,0)</f>
        <v>1</v>
      </c>
      <c r="C32" s="56"/>
      <c r="D32" s="57">
        <f>IF(AND(D26&gt;B26,$AK8&gt;0,$AK7&gt;1,ISNUMBER(B26),ISNUMBER(D26)),1,0)</f>
        <v>0</v>
      </c>
      <c r="E32" s="56">
        <f>IF(AND(E26&gt;G26,$AK8&gt;1,$AK7&gt;1,ISNUMBER(E26),ISNUMBER(G26)),1,0)</f>
        <v>0</v>
      </c>
      <c r="F32" s="56"/>
      <c r="G32" s="57">
        <f>IF(AND(G26&gt;E26,$AK8&gt;1,$AK7&gt;1,ISNUMBER(E26),ISNUMBER(G26)),1,0)</f>
        <v>1</v>
      </c>
      <c r="H32" s="56">
        <f>IF(AND(H26&gt;J26,$AK8&gt;2,$AK7&gt;1,ISNUMBER(H26),ISNUMBER(J26)),1,0)</f>
        <v>1</v>
      </c>
      <c r="I32" s="56"/>
      <c r="J32" s="57">
        <f>IF(AND(J26&gt;H26,$AK8&gt;2,$AK7&gt;1,ISNUMBER(H26),ISNUMBER(J26)),1,0)</f>
        <v>0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1</v>
      </c>
      <c r="Q32" s="56">
        <f>IF(AND(Q26&gt;S26,$AK8&gt;5,$AK7&gt;1,ISNUMBER(Q26),ISNUMBER(S26)),1,0)</f>
        <v>1</v>
      </c>
      <c r="R32" s="56"/>
      <c r="S32" s="57">
        <f>IF(AND(S26&gt;Q26,$AK8&gt;5,$AK7&gt;1,ISNUMBER(Q26),ISNUMBER(S26)),1,0)</f>
        <v>0</v>
      </c>
      <c r="T32" s="56">
        <f>IF(AND(T26&gt;V26,$AK8&gt;6,$AK7&gt;1,ISNUMBER(T26),ISNUMBER(V26)),1,0)</f>
        <v>1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1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1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1</v>
      </c>
      <c r="AW32" s="58"/>
    </row>
    <row r="33" spans="1:49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  <c r="AW33" s="58"/>
    </row>
    <row r="34" spans="1:49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  <c r="AW34" s="58"/>
    </row>
    <row r="35" spans="1:49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  <c r="AW35" s="58"/>
    </row>
    <row r="36" spans="1:49" s="55" customFormat="1" ht="38.25" hidden="1" customHeight="1" x14ac:dyDescent="0.2">
      <c r="A36" s="59" t="s">
        <v>86</v>
      </c>
      <c r="B36" s="55">
        <f>SUM(B31:B35)</f>
        <v>2</v>
      </c>
      <c r="D36" s="60">
        <f>SUM(D31:D35)</f>
        <v>0</v>
      </c>
      <c r="E36" s="55">
        <f>SUM(E31:E35)</f>
        <v>0</v>
      </c>
      <c r="G36" s="60">
        <f>SUM(G31:G35)</f>
        <v>2</v>
      </c>
      <c r="H36" s="55">
        <f>SUM(H31:H35)</f>
        <v>2</v>
      </c>
      <c r="J36" s="60">
        <f>SUM(J31:J35)</f>
        <v>0</v>
      </c>
      <c r="K36" s="55">
        <f>SUM(K31:K35)</f>
        <v>1</v>
      </c>
      <c r="M36" s="60">
        <f>SUM(M31:M35)</f>
        <v>1</v>
      </c>
      <c r="N36" s="55">
        <f>SUM(N31:N35)</f>
        <v>0</v>
      </c>
      <c r="P36" s="60">
        <f>SUM(P31:P35)</f>
        <v>2</v>
      </c>
      <c r="Q36" s="55">
        <f>SUM(Q31:Q35)</f>
        <v>2</v>
      </c>
      <c r="S36" s="60">
        <f>SUM(S31:S35)</f>
        <v>0</v>
      </c>
      <c r="T36" s="55">
        <f>SUM(T31:T35)</f>
        <v>1</v>
      </c>
      <c r="V36" s="60">
        <f>SUM(V31:V35)</f>
        <v>1</v>
      </c>
      <c r="W36" s="55">
        <f>SUM(W31:W35)</f>
        <v>1</v>
      </c>
      <c r="Y36" s="60">
        <f>SUM(Y31:Y35)</f>
        <v>1</v>
      </c>
      <c r="Z36" s="55">
        <f>SUM(Z31:Z35)</f>
        <v>1</v>
      </c>
      <c r="AB36" s="60">
        <f>SUM(AB31:AB35)</f>
        <v>1</v>
      </c>
      <c r="AC36" s="55">
        <f>SUM(AC31:AC35)</f>
        <v>0</v>
      </c>
      <c r="AE36" s="60">
        <f>SUM(AE31:AE35)</f>
        <v>2</v>
      </c>
      <c r="AW36" s="58"/>
    </row>
    <row r="37" spans="1:49" s="55" customFormat="1" ht="25.5" hidden="1" customHeight="1" x14ac:dyDescent="0.2">
      <c r="A37" s="59" t="s">
        <v>87</v>
      </c>
      <c r="B37" s="55">
        <f>IF(B36&gt;D36,IF(C71=AK7,1,IF(C71=AK7-1,1,0)),0)</f>
        <v>1</v>
      </c>
      <c r="C37" s="55">
        <f>B37+D37</f>
        <v>1</v>
      </c>
      <c r="D37" s="60">
        <f>IF(D36&gt;B36,IF(C71=AK7,1,IF(C71=AK7-1,1,0)),0)</f>
        <v>0</v>
      </c>
      <c r="E37" s="55">
        <f>IF(E36&gt;G36,IF(F71=AK7,1,IF(F71=AK7-1,1,0)),0)</f>
        <v>0</v>
      </c>
      <c r="F37" s="55">
        <f>E37+G37</f>
        <v>1</v>
      </c>
      <c r="G37" s="60">
        <f>IF(G36&gt;E36,IF(F71=AK7,1,IF(F71=AK7-1,1,0)),0)</f>
        <v>1</v>
      </c>
      <c r="H37" s="55">
        <f>IF(H36&gt;J36,IF(I71=AK7,1,IF(I71=AK7-1,1,0)),0)</f>
        <v>1</v>
      </c>
      <c r="I37" s="55">
        <f>H37+J37</f>
        <v>1</v>
      </c>
      <c r="J37" s="60">
        <f>IF(J36&gt;H36,IF(I71=AK7,1,IF(I71=AK7-1,1,0)),0)</f>
        <v>0</v>
      </c>
      <c r="K37" s="55">
        <f>IF(K36&gt;M36,IF(L71=AK7,1,IF(L71=AK7-1,1,0)),0)</f>
        <v>0</v>
      </c>
      <c r="L37" s="55">
        <f>K37+M37</f>
        <v>0</v>
      </c>
      <c r="M37" s="60">
        <f>IF(M36&gt;K36,IF(L71=AK7,1,IF(L71=AK7-1,1,0)),0)</f>
        <v>0</v>
      </c>
      <c r="N37" s="55">
        <f>IF(N36&gt;P36,IF(O71=AK7,1,IF(O71=AK7-1,1,0)),0)</f>
        <v>0</v>
      </c>
      <c r="O37" s="55">
        <f>N37+P37</f>
        <v>1</v>
      </c>
      <c r="P37" s="60">
        <f>IF(P36&gt;N36,IF(O71=AK7,1,IF(O71=AK7-1,1,0)),0)</f>
        <v>1</v>
      </c>
      <c r="Q37" s="55">
        <f>IF(Q36&gt;S36,IF(R71=AK7,1,IF(R71=AK7-1,1,0)),0)</f>
        <v>1</v>
      </c>
      <c r="R37" s="55">
        <f>Q37+S37</f>
        <v>1</v>
      </c>
      <c r="S37" s="60">
        <f>IF(S36&gt;Q36,IF(R71=AK7,1,IF(R71=AK7-1,1,0)),0)</f>
        <v>0</v>
      </c>
      <c r="T37" s="55">
        <f>IF(T36&gt;V36,IF(U71=AK7,1,IF(U71=AK7-1,1,0)),0)</f>
        <v>0</v>
      </c>
      <c r="U37" s="55">
        <f>T37+V37</f>
        <v>0</v>
      </c>
      <c r="V37" s="60">
        <f>IF(V36&gt;T36,IF(U71=AK7,1,IF(U71=AK7-1,1,0)),0)</f>
        <v>0</v>
      </c>
      <c r="W37" s="55">
        <f>IF(W36&gt;Y36,IF(X71=AK7,1,IF(X71=AK7-1,1,0)),0)</f>
        <v>0</v>
      </c>
      <c r="X37" s="55">
        <f>W37+Y37</f>
        <v>0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0</v>
      </c>
      <c r="AB37" s="60">
        <f>IF(AB36&gt;Z36,IF(AA71=AK7,1,IF(AA71=AK7-1,1,0)),0)</f>
        <v>0</v>
      </c>
      <c r="AC37" s="55">
        <f>IF(AC36&gt;AE36,IF(AD71=AK7,1,IF(AD71=AK7-1,1,0)),0)</f>
        <v>0</v>
      </c>
      <c r="AD37" s="55">
        <f>AC37+AE37</f>
        <v>1</v>
      </c>
      <c r="AE37" s="60">
        <f>IF(AE36&gt;AC36,IF(AD71=AK7,1,IF(AD71=AK7-1,1,0)),0)</f>
        <v>1</v>
      </c>
      <c r="AW37" s="58"/>
    </row>
    <row r="38" spans="1:49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  <c r="AW38" s="58"/>
    </row>
    <row r="39" spans="1:49" s="55" customFormat="1" ht="12.75" hidden="1" customHeight="1" x14ac:dyDescent="0.2">
      <c r="A39" s="55" t="s">
        <v>88</v>
      </c>
      <c r="B39" s="55">
        <f>IF(B31=1,B25,0)</f>
        <v>25</v>
      </c>
      <c r="D39" s="60">
        <f t="shared" ref="D39:E43" si="2">IF(D31=1,D25,0)</f>
        <v>0</v>
      </c>
      <c r="E39" s="55">
        <f t="shared" si="2"/>
        <v>0</v>
      </c>
      <c r="G39" s="60">
        <f t="shared" ref="G39:H43" si="3">IF(G31=1,G25,0)</f>
        <v>25</v>
      </c>
      <c r="H39" s="55">
        <f t="shared" si="3"/>
        <v>25</v>
      </c>
      <c r="J39" s="60">
        <f t="shared" ref="J39:K43" si="4">IF(J31=1,J25,0)</f>
        <v>0</v>
      </c>
      <c r="K39" s="55">
        <f t="shared" si="4"/>
        <v>0</v>
      </c>
      <c r="M39" s="60">
        <f t="shared" ref="M39:N43" si="5">IF(M31=1,M25,0)</f>
        <v>25</v>
      </c>
      <c r="N39" s="55">
        <f t="shared" si="5"/>
        <v>0</v>
      </c>
      <c r="P39" s="60">
        <f t="shared" ref="P39:Q43" si="6">IF(P31=1,P25,0)</f>
        <v>25</v>
      </c>
      <c r="Q39" s="55">
        <f t="shared" si="6"/>
        <v>25</v>
      </c>
      <c r="S39" s="60">
        <f t="shared" ref="S39:T43" si="7">IF(S31=1,S25,0)</f>
        <v>0</v>
      </c>
      <c r="T39" s="55">
        <f t="shared" si="7"/>
        <v>0</v>
      </c>
      <c r="V39" s="60">
        <f t="shared" ref="V39:W43" si="8">IF(V31=1,V25,0)</f>
        <v>25</v>
      </c>
      <c r="W39" s="55">
        <f t="shared" si="8"/>
        <v>0</v>
      </c>
      <c r="Y39" s="60">
        <f t="shared" ref="Y39:Z43" si="9">IF(Y31=1,Y25,0)</f>
        <v>25</v>
      </c>
      <c r="Z39" s="55">
        <f t="shared" si="9"/>
        <v>0</v>
      </c>
      <c r="AB39" s="60">
        <f t="shared" ref="AB39:AC43" si="10">IF(AB31=1,AB25,0)</f>
        <v>25</v>
      </c>
      <c r="AC39" s="55">
        <f t="shared" si="10"/>
        <v>0</v>
      </c>
      <c r="AE39" s="60">
        <f>IF(AE31=1,AE25,0)</f>
        <v>25</v>
      </c>
      <c r="AW39" s="58"/>
    </row>
    <row r="40" spans="1:49" s="55" customFormat="1" ht="12.75" hidden="1" customHeight="1" x14ac:dyDescent="0.2">
      <c r="A40" s="55" t="s">
        <v>89</v>
      </c>
      <c r="B40" s="55">
        <f>IF(B32=1,B26,0)</f>
        <v>25</v>
      </c>
      <c r="D40" s="60">
        <f t="shared" si="2"/>
        <v>0</v>
      </c>
      <c r="E40" s="55">
        <f t="shared" si="2"/>
        <v>0</v>
      </c>
      <c r="G40" s="60">
        <f t="shared" si="3"/>
        <v>25</v>
      </c>
      <c r="H40" s="55">
        <f t="shared" si="3"/>
        <v>25</v>
      </c>
      <c r="J40" s="60">
        <f t="shared" si="4"/>
        <v>0</v>
      </c>
      <c r="K40" s="55">
        <f t="shared" si="4"/>
        <v>25</v>
      </c>
      <c r="M40" s="60">
        <f t="shared" si="5"/>
        <v>0</v>
      </c>
      <c r="N40" s="55">
        <f t="shared" si="5"/>
        <v>0</v>
      </c>
      <c r="P40" s="60">
        <f t="shared" si="6"/>
        <v>25</v>
      </c>
      <c r="Q40" s="55">
        <f t="shared" si="6"/>
        <v>25</v>
      </c>
      <c r="S40" s="60">
        <f t="shared" si="7"/>
        <v>0</v>
      </c>
      <c r="T40" s="55">
        <f t="shared" si="7"/>
        <v>25</v>
      </c>
      <c r="V40" s="60">
        <f t="shared" si="8"/>
        <v>0</v>
      </c>
      <c r="W40" s="55">
        <f t="shared" si="8"/>
        <v>25</v>
      </c>
      <c r="Y40" s="60">
        <f t="shared" si="9"/>
        <v>0</v>
      </c>
      <c r="Z40" s="55">
        <f t="shared" si="9"/>
        <v>25</v>
      </c>
      <c r="AB40" s="60">
        <f t="shared" si="10"/>
        <v>0</v>
      </c>
      <c r="AC40" s="55">
        <f t="shared" si="10"/>
        <v>0</v>
      </c>
      <c r="AE40" s="60">
        <f>IF(AE32=1,AE26,0)</f>
        <v>25</v>
      </c>
      <c r="AW40" s="58"/>
    </row>
    <row r="41" spans="1:49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  <c r="AW41" s="58"/>
    </row>
    <row r="42" spans="1:49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  <c r="AW42" s="58"/>
    </row>
    <row r="43" spans="1:49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  <c r="AW43" s="58"/>
    </row>
    <row r="44" spans="1:49" s="55" customFormat="1" ht="38.25" hidden="1" customHeight="1" x14ac:dyDescent="0.2">
      <c r="A44" s="59" t="s">
        <v>93</v>
      </c>
      <c r="B44" s="55">
        <f>SUM(B39:D43)</f>
        <v>50</v>
      </c>
      <c r="D44" s="60"/>
      <c r="E44" s="55">
        <f>SUM(E39:G43)</f>
        <v>50</v>
      </c>
      <c r="G44" s="60"/>
      <c r="H44" s="55">
        <f>SUM(H39:J43)</f>
        <v>50</v>
      </c>
      <c r="J44" s="60"/>
      <c r="K44" s="55">
        <f>SUM(K39:M43)</f>
        <v>50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50</v>
      </c>
      <c r="V44" s="60"/>
      <c r="W44" s="55">
        <f>SUM(W39:Y43)</f>
        <v>50</v>
      </c>
      <c r="Y44" s="60"/>
      <c r="Z44" s="55">
        <f>SUM(Z39:AB43)</f>
        <v>50</v>
      </c>
      <c r="AB44" s="60"/>
      <c r="AC44" s="55">
        <f>SUM(AC39:AE43)</f>
        <v>50</v>
      </c>
      <c r="AE44" s="60"/>
      <c r="AW44" s="58"/>
    </row>
    <row r="45" spans="1:49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  <c r="AW45" s="58"/>
    </row>
    <row r="46" spans="1:49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0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0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0</v>
      </c>
      <c r="AG46" s="55">
        <f>AF52-AF46</f>
        <v>3</v>
      </c>
      <c r="AW46" s="58"/>
    </row>
    <row r="47" spans="1:49" s="55" customFormat="1" ht="12.75" hidden="1" customHeight="1" x14ac:dyDescent="0.2">
      <c r="A47" s="55" t="s">
        <v>98</v>
      </c>
      <c r="B47" s="55">
        <f>IF(B24=2,IF(B37=1,1,0),0)</f>
        <v>1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1</v>
      </c>
      <c r="AF47" s="55">
        <f>SUM(B47:AE47)</f>
        <v>2</v>
      </c>
      <c r="AG47" s="55">
        <f>AF53-AF47</f>
        <v>0</v>
      </c>
      <c r="AW47" s="58"/>
    </row>
    <row r="48" spans="1:49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1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1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2</v>
      </c>
      <c r="AG48" s="55">
        <f>AF54-AF48</f>
        <v>0</v>
      </c>
      <c r="AW48" s="58"/>
    </row>
    <row r="49" spans="1:49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1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1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2</v>
      </c>
      <c r="AG49" s="55">
        <f>AF55-AF49</f>
        <v>0</v>
      </c>
      <c r="AW49" s="58"/>
    </row>
    <row r="50" spans="1:49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0</v>
      </c>
      <c r="AG50" s="55">
        <f>AF56-AF50</f>
        <v>3</v>
      </c>
      <c r="AW50" s="58"/>
    </row>
    <row r="51" spans="1:49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  <c r="AW51" s="58"/>
    </row>
    <row r="52" spans="1:49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1</v>
      </c>
      <c r="P52" s="60">
        <f>IF(P24=1,IF(O37=1,1,0),0)</f>
        <v>0</v>
      </c>
      <c r="Q52" s="55">
        <f>IF(Q24=1,IF(R37=1,1,0),0)</f>
        <v>0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0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1</v>
      </c>
      <c r="AE52" s="60">
        <f>IF(AE24=1,IF(AD37=1,1,0),0)</f>
        <v>0</v>
      </c>
      <c r="AF52" s="55">
        <f>SUM(B52:AE52)</f>
        <v>3</v>
      </c>
      <c r="AW52" s="58"/>
    </row>
    <row r="53" spans="1:49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0</v>
      </c>
      <c r="J53" s="60">
        <f>IF(J24=2,IF(I37=1,1,0),0)</f>
        <v>0</v>
      </c>
      <c r="K53" s="55">
        <f>IF(K24=2,IF(L37=1,1,0),0)</f>
        <v>0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0</v>
      </c>
      <c r="T53" s="55">
        <f>IF(T24=2,IF(U37=1,1,0),0)</f>
        <v>0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1</v>
      </c>
      <c r="AF53" s="55">
        <f>SUM(B53:AE53)</f>
        <v>2</v>
      </c>
      <c r="AW53" s="58"/>
    </row>
    <row r="54" spans="1:49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0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1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1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0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0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2</v>
      </c>
      <c r="AW54" s="58"/>
    </row>
    <row r="55" spans="1:49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0</v>
      </c>
      <c r="K55" s="55">
        <f>IF(K24=4,IF(L37=1,1,0),0)</f>
        <v>0</v>
      </c>
      <c r="M55" s="60">
        <f>IF(M24=4,IF(L37=1,1,0),0)</f>
        <v>0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1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0</v>
      </c>
      <c r="AC55" s="55">
        <f>IF(AC24=4,IF(AD37=1,1,0),0)</f>
        <v>0</v>
      </c>
      <c r="AE55" s="60">
        <f>IF(AE24=4,IF(AD37=1,1,0),0)</f>
        <v>0</v>
      </c>
      <c r="AF55" s="55">
        <f>SUM(B55:AE55)</f>
        <v>2</v>
      </c>
      <c r="AW55" s="58"/>
    </row>
    <row r="56" spans="1:49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1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1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1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0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3</v>
      </c>
      <c r="AW56" s="58"/>
    </row>
    <row r="57" spans="1:49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  <c r="AW57" s="58"/>
    </row>
    <row r="58" spans="1:49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50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0</v>
      </c>
      <c r="M58" s="60">
        <f>IF(M24=1,K44,0)</f>
        <v>0</v>
      </c>
      <c r="N58" s="55">
        <f>IF(N24=1,N44,0)</f>
        <v>50</v>
      </c>
      <c r="P58" s="60">
        <f>IF(P24=1,N44,0)</f>
        <v>0</v>
      </c>
      <c r="Q58" s="55">
        <f>IF(Q24=1,Q44,0)</f>
        <v>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50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50</v>
      </c>
      <c r="AE58" s="60">
        <f>IF(AE24=1,AC44,0)</f>
        <v>0</v>
      </c>
      <c r="AF58" s="55">
        <f>SUM(B58:AE58)</f>
        <v>200</v>
      </c>
      <c r="AW58" s="58"/>
    </row>
    <row r="59" spans="1:49" s="55" customFormat="1" ht="12.75" hidden="1" customHeight="1" x14ac:dyDescent="0.2">
      <c r="A59" s="55" t="s">
        <v>104</v>
      </c>
      <c r="B59" s="55">
        <f>IF(B24=2,B44,0)</f>
        <v>50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0</v>
      </c>
      <c r="J59" s="60">
        <f>IF(J24=2,H44,0)</f>
        <v>0</v>
      </c>
      <c r="K59" s="55">
        <f>IF(K24=2,K44,0)</f>
        <v>50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0</v>
      </c>
      <c r="T59" s="55">
        <f>IF(T24=2,T44,0)</f>
        <v>50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50</v>
      </c>
      <c r="AF59" s="55">
        <f>SUM(B59:AE59)</f>
        <v>200</v>
      </c>
      <c r="AW59" s="58"/>
    </row>
    <row r="60" spans="1:49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0</v>
      </c>
      <c r="E60" s="55">
        <f>IF(E24=3,E44,0)</f>
        <v>0</v>
      </c>
      <c r="G60" s="60">
        <f>IF(G24=3,E44,0)</f>
        <v>0</v>
      </c>
      <c r="H60" s="55">
        <f>IF(H24=3,H44,0)</f>
        <v>50</v>
      </c>
      <c r="J60" s="60">
        <f>IF(J24=3,H44,0)</f>
        <v>0</v>
      </c>
      <c r="K60" s="55">
        <f>IF(K24=3,K44,0)</f>
        <v>0</v>
      </c>
      <c r="M60" s="60">
        <f>IF(M24=3,K44,0)</f>
        <v>0</v>
      </c>
      <c r="N60" s="55">
        <f>IF(N24=3,N44,0)</f>
        <v>0</v>
      </c>
      <c r="P60" s="60">
        <f>IF(P24=3,N44,0)</f>
        <v>50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50</v>
      </c>
      <c r="W60" s="55">
        <f>IF(W24=3,W44,0)</f>
        <v>0</v>
      </c>
      <c r="Y60" s="60">
        <f>IF(Y24=3,W44,0)</f>
        <v>0</v>
      </c>
      <c r="Z60" s="55">
        <f>IF(Z24=3,Z44,0)</f>
        <v>50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200</v>
      </c>
      <c r="AW60" s="58"/>
    </row>
    <row r="61" spans="1:49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50</v>
      </c>
      <c r="H61" s="55">
        <f>IF(H24=4,H44,0)</f>
        <v>0</v>
      </c>
      <c r="J61" s="60">
        <f>IF(J24=4,H44,0)</f>
        <v>0</v>
      </c>
      <c r="K61" s="55">
        <f>IF(K24=4,K44,0)</f>
        <v>0</v>
      </c>
      <c r="M61" s="60">
        <f>IF(M24=4,K44,0)</f>
        <v>50</v>
      </c>
      <c r="N61" s="55">
        <f>IF(N24=4,N44,0)</f>
        <v>0</v>
      </c>
      <c r="P61" s="60">
        <f>IF(P24=4,N44,0)</f>
        <v>0</v>
      </c>
      <c r="Q61" s="55">
        <f>IF(Q24=4,Q44,0)</f>
        <v>50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50</v>
      </c>
      <c r="AC61" s="55">
        <f>IF(AC24=4,AC44,0)</f>
        <v>0</v>
      </c>
      <c r="AE61" s="60">
        <f>IF(AE24=4,AC44,0)</f>
        <v>0</v>
      </c>
      <c r="AF61" s="55">
        <f>SUM(B61:AE61)</f>
        <v>200</v>
      </c>
      <c r="AW61" s="58"/>
    </row>
    <row r="62" spans="1:49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50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50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50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50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200</v>
      </c>
      <c r="AW62" s="58"/>
    </row>
    <row r="63" spans="1:49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  <c r="AW63" s="58"/>
    </row>
    <row r="64" spans="1:49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0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0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1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0</v>
      </c>
      <c r="AE64" s="60">
        <f>IF(AE24=1,SUMIF(AE31:AE35,"&gt;0"),0)</f>
        <v>0</v>
      </c>
      <c r="AF64" s="55">
        <f>SUM(B64:AE64)</f>
        <v>1</v>
      </c>
      <c r="AG64" s="55">
        <f>AF72-AF64</f>
        <v>7</v>
      </c>
      <c r="AW64" s="58"/>
    </row>
    <row r="65" spans="1:54" s="55" customFormat="1" ht="12.75" hidden="1" customHeight="1" x14ac:dyDescent="0.2">
      <c r="A65" s="55" t="s">
        <v>98</v>
      </c>
      <c r="B65" s="55">
        <f>IF(B24=2,SUMIF(B31:B35,"&gt;0"),0)</f>
        <v>2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1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1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2</v>
      </c>
      <c r="AF65" s="55">
        <f>SUM(B65:AE65)</f>
        <v>6</v>
      </c>
      <c r="AG65" s="55">
        <f>AF73-AF65</f>
        <v>2</v>
      </c>
      <c r="AW65" s="58"/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2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2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1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1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6</v>
      </c>
      <c r="AG66" s="55">
        <f>AF74-AF66</f>
        <v>2</v>
      </c>
      <c r="AW66" s="58"/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2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1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2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1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6</v>
      </c>
      <c r="AG67" s="55">
        <f>AF75-AF67</f>
        <v>2</v>
      </c>
      <c r="AW67" s="58"/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0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1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1</v>
      </c>
      <c r="AG68" s="55">
        <f>AF76-AF68</f>
        <v>7</v>
      </c>
      <c r="AW68" s="58"/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  <c r="AW69" s="58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  <c r="AW70" s="58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2</v>
      </c>
      <c r="V71" s="60"/>
      <c r="X71" s="55">
        <f>SUMIF(W64:Y68,"&gt;0")</f>
        <v>2</v>
      </c>
      <c r="Y71" s="60"/>
      <c r="AA71" s="55">
        <f>SUMIF(Z64:AB68,"&gt;0")</f>
        <v>2</v>
      </c>
      <c r="AB71" s="60"/>
      <c r="AD71" s="55">
        <f>SUMIF(AC64:AE68,"&gt;0")</f>
        <v>2</v>
      </c>
      <c r="AE71" s="60"/>
      <c r="AF71" s="59" t="s">
        <v>113</v>
      </c>
      <c r="AW71" s="58"/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0</v>
      </c>
      <c r="M72" s="60">
        <f>IF(M24=1,L71,0)</f>
        <v>0</v>
      </c>
      <c r="N72" s="55">
        <f>IF(N24=1,O71,0)</f>
        <v>2</v>
      </c>
      <c r="P72" s="60">
        <f>IF(P24=1,O71,0)</f>
        <v>0</v>
      </c>
      <c r="Q72" s="55">
        <f>IF(Q24=1,R71,0)</f>
        <v>0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2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2</v>
      </c>
      <c r="AE72" s="60">
        <f>IF(AE24=1,AD71,0)</f>
        <v>0</v>
      </c>
      <c r="AF72" s="55">
        <f>SUM(B72:AE72)</f>
        <v>8</v>
      </c>
      <c r="AW72" s="58"/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0</v>
      </c>
      <c r="J73" s="60">
        <f>IF(J24=2,I71,0)</f>
        <v>0</v>
      </c>
      <c r="K73" s="55">
        <f>IF(K24=2,L71,0)</f>
        <v>2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0</v>
      </c>
      <c r="T73" s="55">
        <f>IF(T24=2,U71,0)</f>
        <v>2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2</v>
      </c>
      <c r="AF73" s="55">
        <f>SUM(B73:AE73)</f>
        <v>8</v>
      </c>
      <c r="AW73" s="58"/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0</v>
      </c>
      <c r="E74" s="55">
        <f>IF(E24=3,F71,0)</f>
        <v>0</v>
      </c>
      <c r="G74" s="60">
        <f>IF(G24=3,F71,0)</f>
        <v>0</v>
      </c>
      <c r="H74" s="55">
        <f>IF(H24=3,I71,0)</f>
        <v>2</v>
      </c>
      <c r="J74" s="60">
        <f>IF(J24=3,I71,0)</f>
        <v>0</v>
      </c>
      <c r="K74" s="55">
        <f>IF(K24=3,L71,0)</f>
        <v>0</v>
      </c>
      <c r="M74" s="60">
        <f>IF(M24=3,L71,0)</f>
        <v>0</v>
      </c>
      <c r="N74" s="55">
        <f>IF(N24=3,O71,0)</f>
        <v>0</v>
      </c>
      <c r="P74" s="60">
        <f>IF(P24=3,O71,0)</f>
        <v>2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2</v>
      </c>
      <c r="W74" s="55">
        <f>IF(W24=3,X71,0)</f>
        <v>0</v>
      </c>
      <c r="Y74" s="60">
        <f>IF(Y24=3,X71,0)</f>
        <v>0</v>
      </c>
      <c r="Z74" s="55">
        <f>IF(Z24=3,AA71,0)</f>
        <v>2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  <c r="AW74" s="58"/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0</v>
      </c>
      <c r="K75" s="55">
        <f>IF(K24=4,L71,0)</f>
        <v>0</v>
      </c>
      <c r="M75" s="60">
        <f>IF(M24=4,L71,0)</f>
        <v>2</v>
      </c>
      <c r="N75" s="55">
        <f>IF(N24=4,O71,0)</f>
        <v>0</v>
      </c>
      <c r="P75" s="60">
        <f>IF(P24=4,O71,0)</f>
        <v>0</v>
      </c>
      <c r="Q75" s="55">
        <f>IF(Q24=4,R71,0)</f>
        <v>2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2</v>
      </c>
      <c r="AC75" s="55">
        <f>IF(AC24=4,AD71,0)</f>
        <v>0</v>
      </c>
      <c r="AE75" s="60">
        <f>IF(AE24=4,AD71,0)</f>
        <v>0</v>
      </c>
      <c r="AF75" s="55">
        <f>SUM(B75:AE75)</f>
        <v>8</v>
      </c>
      <c r="AW75" s="58"/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2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2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2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2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8</v>
      </c>
      <c r="AW76" s="58"/>
    </row>
    <row r="77" spans="1:54" hidden="1" x14ac:dyDescent="0.2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2"/>
      <c r="AO77" s="62"/>
      <c r="AP77" s="62"/>
      <c r="AQ77" s="62"/>
      <c r="AR77" s="63"/>
      <c r="AS77" s="63"/>
      <c r="AT77" s="63"/>
      <c r="AU77" s="63"/>
      <c r="AV77" s="63"/>
      <c r="BB77" s="54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Kershaw 12 White</v>
      </c>
      <c r="C79" s="67">
        <f>VLOOKUP(B79,AU$3:AY$12,3,FALSE)</f>
        <v>1400</v>
      </c>
      <c r="D79" s="67">
        <f>IF(B72,B87,IF(D72,D87,C79))</f>
        <v>1400</v>
      </c>
      <c r="E79" s="67"/>
      <c r="F79" s="67"/>
      <c r="G79" s="67">
        <f>IF(E72,E87,IF(G72,G87,D79))</f>
        <v>1362.9877231044691</v>
      </c>
      <c r="H79" s="67"/>
      <c r="I79" s="67"/>
      <c r="J79" s="67">
        <f>IF(H72,H87,IF(J72,J87,G79))</f>
        <v>1362.9877231044691</v>
      </c>
      <c r="K79" s="67"/>
      <c r="L79" s="67"/>
      <c r="M79" s="67">
        <f>IF(K72,K87,IF(M72,M87,J79))</f>
        <v>1362.9877231044691</v>
      </c>
      <c r="N79" s="67"/>
      <c r="O79" s="67"/>
      <c r="P79" s="67">
        <f>IF(N72,N87,IF(P72,P87,M79))</f>
        <v>1333.6944330994625</v>
      </c>
      <c r="Q79" s="67"/>
      <c r="R79" s="67"/>
      <c r="S79" s="67">
        <f>IF(Q72,Q87,IF(S72,S87,P79))</f>
        <v>1333.6944330994625</v>
      </c>
      <c r="T79" s="67"/>
      <c r="U79" s="67"/>
      <c r="V79" s="67">
        <f>IF(T72,T87,IF(V72,V87,S79))</f>
        <v>1333.6944330994625</v>
      </c>
      <c r="W79" s="67"/>
      <c r="X79" s="67"/>
      <c r="Y79" s="67">
        <f>IF(W72,W87,IF(Y72,Y87,V79))</f>
        <v>1319.2113188788171</v>
      </c>
      <c r="Z79" s="67"/>
      <c r="AA79" s="67"/>
      <c r="AB79" s="67">
        <f>IF(Z72,Z87,IF(AB72,AB87,Y79))</f>
        <v>1319.2113188788171</v>
      </c>
      <c r="AC79" s="67"/>
      <c r="AD79" s="67"/>
      <c r="AE79" s="67">
        <f>IF(AC72,AC87,IF(AE72,AE87,AB79))</f>
        <v>1295.295172435071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Kershaw 12 White</v>
      </c>
      <c r="AU79" s="63">
        <f>AE79</f>
        <v>1295.295172435071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SC Midlands 12 Black</v>
      </c>
      <c r="C80" s="67">
        <f>VLOOKUP(B80,AU$3:AY$12,3,FALSE)</f>
        <v>1393.502057373001</v>
      </c>
      <c r="D80" s="67">
        <f>IF(B73,B87,IF(D73,D87,C80))</f>
        <v>1410.2021908539889</v>
      </c>
      <c r="E80" s="67"/>
      <c r="F80" s="67"/>
      <c r="G80" s="67">
        <f>IF(E73,E87,IF(G73,G87,D80))</f>
        <v>1410.2021908539889</v>
      </c>
      <c r="H80" s="67"/>
      <c r="I80" s="67"/>
      <c r="J80" s="67">
        <f>IF(H73,H87,IF(J73,J87,G80))</f>
        <v>1410.2021908539889</v>
      </c>
      <c r="K80" s="67"/>
      <c r="L80" s="67"/>
      <c r="M80" s="67">
        <f>IF(K73,K87,IF(M73,M87,J80))</f>
        <v>1407.6232149306404</v>
      </c>
      <c r="N80" s="67"/>
      <c r="O80" s="67"/>
      <c r="P80" s="67">
        <f>IF(N73,N87,IF(P73,P87,M80))</f>
        <v>1407.6232149306404</v>
      </c>
      <c r="Q80" s="67"/>
      <c r="R80" s="67"/>
      <c r="S80" s="67">
        <f>IF(Q73,Q87,IF(S73,S87,P80))</f>
        <v>1407.6232149306404</v>
      </c>
      <c r="T80" s="67"/>
      <c r="U80" s="67"/>
      <c r="V80" s="67">
        <f>IF(T73,T87,IF(V73,V87,S80))</f>
        <v>1408.9226239828363</v>
      </c>
      <c r="W80" s="67"/>
      <c r="X80" s="67"/>
      <c r="Y80" s="67">
        <f>IF(W73,W87,IF(Y73,Y87,V80))</f>
        <v>1408.9226239828363</v>
      </c>
      <c r="Z80" s="67"/>
      <c r="AA80" s="67"/>
      <c r="AB80" s="67">
        <f>IF(Z73,Z87,IF(AB73,AB87,Y80))</f>
        <v>1408.9226239828363</v>
      </c>
      <c r="AC80" s="67"/>
      <c r="AD80" s="67"/>
      <c r="AE80" s="67">
        <f>IF(AC73,AC87,IF(AE73,AE87,AB80))</f>
        <v>1432.8387704265824</v>
      </c>
      <c r="AF80" s="4"/>
      <c r="AG80" s="4"/>
      <c r="AJ80" s="4"/>
      <c r="AL80" s="4"/>
      <c r="AM80" s="4"/>
      <c r="AN80" s="4"/>
      <c r="AO80" s="4"/>
      <c r="AT80" s="63" t="str">
        <f>B80</f>
        <v>SC Midlands 12 Black</v>
      </c>
      <c r="AU80" s="63">
        <f>AE80</f>
        <v>1432.8387704265824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Emerald City 12-1</v>
      </c>
      <c r="C81" s="67">
        <f>VLOOKUP(B81,AU$3:AY$12,3,FALSE)</f>
        <v>1375.6647897871101</v>
      </c>
      <c r="D81" s="67">
        <f>IF(B74,B87,IF(D74,D87,C81))</f>
        <v>1375.6647897871101</v>
      </c>
      <c r="E81" s="67"/>
      <c r="F81" s="67"/>
      <c r="G81" s="67">
        <f>IF(E74,E87,IF(G74,G87,D81))</f>
        <v>1375.6647897871101</v>
      </c>
      <c r="H81" s="67"/>
      <c r="I81" s="67"/>
      <c r="J81" s="67">
        <f>IF(H74,H87,IF(J74,J87,G81))</f>
        <v>1392.4458414012215</v>
      </c>
      <c r="K81" s="67"/>
      <c r="L81" s="67"/>
      <c r="M81" s="67">
        <f>IF(K74,K87,IF(M74,M87,J81))</f>
        <v>1392.4458414012215</v>
      </c>
      <c r="N81" s="67"/>
      <c r="O81" s="67"/>
      <c r="P81" s="67">
        <f>IF(N74,N87,IF(P74,P87,M81))</f>
        <v>1421.7391314062281</v>
      </c>
      <c r="Q81" s="67"/>
      <c r="R81" s="67"/>
      <c r="S81" s="67">
        <f>IF(Q74,Q87,IF(S74,S87,P81))</f>
        <v>1421.7391314062281</v>
      </c>
      <c r="T81" s="67"/>
      <c r="U81" s="67"/>
      <c r="V81" s="67">
        <f>IF(T74,T87,IF(V74,V87,S81))</f>
        <v>1420.4397223540323</v>
      </c>
      <c r="W81" s="67"/>
      <c r="X81" s="67"/>
      <c r="Y81" s="67">
        <f>IF(W74,W87,IF(Y74,Y87,V81))</f>
        <v>1420.4397223540323</v>
      </c>
      <c r="Z81" s="67"/>
      <c r="AA81" s="67"/>
      <c r="AB81" s="67">
        <f>IF(Z74,Z87,IF(AB74,AB87,Y81))</f>
        <v>1418.5341024586221</v>
      </c>
      <c r="AC81" s="67"/>
      <c r="AD81" s="67"/>
      <c r="AE81" s="67">
        <f>IF(AC74,AC87,IF(AE74,AE87,AB81))</f>
        <v>1418.5341024586221</v>
      </c>
      <c r="AF81" s="4"/>
      <c r="AG81" s="4"/>
      <c r="AJ81" s="4"/>
      <c r="AL81" s="4"/>
      <c r="AM81" s="4"/>
      <c r="AN81" s="4"/>
      <c r="AO81" s="4"/>
      <c r="AT81" s="63" t="str">
        <f>B81</f>
        <v>Emerald City 12-1</v>
      </c>
      <c r="AU81" s="63">
        <f>AE81</f>
        <v>1418.5341024586221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Intense 12 Lexington</v>
      </c>
      <c r="C82" s="67">
        <f>VLOOKUP(B82,AU$3:AY$12,3,FALSE)</f>
        <v>1345.1281772310635</v>
      </c>
      <c r="D82" s="67">
        <f>IF(B75,B87,IF(D75,D87,C82))</f>
        <v>1345.1281772310635</v>
      </c>
      <c r="E82" s="67"/>
      <c r="F82" s="67"/>
      <c r="G82" s="67">
        <f>IF(E75,E87,IF(G75,G87,D82))</f>
        <v>1382.1404541265945</v>
      </c>
      <c r="H82" s="67"/>
      <c r="I82" s="67"/>
      <c r="J82" s="67">
        <f>IF(H75,H87,IF(J75,J87,G82))</f>
        <v>1382.1404541265945</v>
      </c>
      <c r="K82" s="67"/>
      <c r="L82" s="67"/>
      <c r="M82" s="67">
        <f>IF(K75,K87,IF(M75,M87,J82))</f>
        <v>1384.719430049943</v>
      </c>
      <c r="N82" s="67"/>
      <c r="O82" s="67"/>
      <c r="P82" s="67">
        <f>IF(N75,N87,IF(P75,P87,M82))</f>
        <v>1384.719430049943</v>
      </c>
      <c r="Q82" s="67"/>
      <c r="R82" s="67"/>
      <c r="S82" s="67">
        <f>IF(Q75,Q87,IF(S75,S87,P82))</f>
        <v>1399.7252075591573</v>
      </c>
      <c r="T82" s="67"/>
      <c r="U82" s="67"/>
      <c r="V82" s="67">
        <f>IF(T75,T87,IF(V75,V87,S82))</f>
        <v>1399.7252075591573</v>
      </c>
      <c r="W82" s="67"/>
      <c r="X82" s="67"/>
      <c r="Y82" s="67">
        <f>IF(W75,W87,IF(Y75,Y87,V82))</f>
        <v>1399.7252075591573</v>
      </c>
      <c r="Z82" s="67"/>
      <c r="AA82" s="67"/>
      <c r="AB82" s="67">
        <f>IF(Z75,Z87,IF(AB75,AB87,Y82))</f>
        <v>1401.6308274545675</v>
      </c>
      <c r="AC82" s="67"/>
      <c r="AD82" s="67"/>
      <c r="AE82" s="67">
        <f>IF(AC75,AC87,IF(AE75,AE87,AB82))</f>
        <v>1401.6308274545675</v>
      </c>
      <c r="AF82" s="4"/>
      <c r="AG82" s="4"/>
      <c r="AJ82" s="4"/>
      <c r="AL82" s="4"/>
      <c r="AM82" s="4"/>
      <c r="AN82" s="4"/>
      <c r="AO82" s="4"/>
      <c r="AT82" s="63" t="str">
        <f>B82</f>
        <v>Intense 12 Lexington</v>
      </c>
      <c r="AU82" s="63">
        <f>AE82</f>
        <v>1401.6308274545675</v>
      </c>
      <c r="AW82" s="66"/>
      <c r="BB82" s="66"/>
    </row>
    <row r="83" spans="1:54" s="63" customFormat="1" hidden="1" x14ac:dyDescent="0.2">
      <c r="A83" s="67">
        <v>5</v>
      </c>
      <c r="B83" s="67" t="str">
        <f>E16</f>
        <v>Club Coastal 12 Gray</v>
      </c>
      <c r="C83" s="67">
        <f>VLOOKUP(B83,AU$3:AY$12,3,FALSE)</f>
        <v>1212.6460682694362</v>
      </c>
      <c r="D83" s="67">
        <f>IF(B76,B87,IF(D76,D87,C83))</f>
        <v>1195.9459347884483</v>
      </c>
      <c r="E83" s="67"/>
      <c r="F83" s="67"/>
      <c r="G83" s="67">
        <f>IF(E76,E87,IF(G76,G87,D83))</f>
        <v>1195.9459347884483</v>
      </c>
      <c r="H83" s="67"/>
      <c r="I83" s="67"/>
      <c r="J83" s="67">
        <f>IF(H76,H87,IF(J76,J87,G83))</f>
        <v>1179.1648831743369</v>
      </c>
      <c r="K83" s="67"/>
      <c r="L83" s="67"/>
      <c r="M83" s="67">
        <f>IF(K76,K87,IF(M76,M87,J83))</f>
        <v>1179.1648831743369</v>
      </c>
      <c r="N83" s="67"/>
      <c r="O83" s="67"/>
      <c r="P83" s="67">
        <f>IF(N76,N87,IF(P76,P87,M83))</f>
        <v>1179.1648831743369</v>
      </c>
      <c r="Q83" s="67"/>
      <c r="R83" s="67"/>
      <c r="S83" s="67">
        <f>IF(Q76,Q87,IF(S76,S87,P83))</f>
        <v>1164.1591056651225</v>
      </c>
      <c r="T83" s="67"/>
      <c r="U83" s="67"/>
      <c r="V83" s="67">
        <f>IF(T76,T87,IF(V76,V87,S83))</f>
        <v>1164.1591056651225</v>
      </c>
      <c r="W83" s="67"/>
      <c r="X83" s="67"/>
      <c r="Y83" s="67">
        <f>IF(W76,W87,IF(Y76,Y87,V83))</f>
        <v>1178.6422198857679</v>
      </c>
      <c r="Z83" s="67"/>
      <c r="AA83" s="67"/>
      <c r="AB83" s="67">
        <f>IF(Z76,Z87,IF(AB76,AB87,Y83))</f>
        <v>1178.6422198857679</v>
      </c>
      <c r="AC83" s="67"/>
      <c r="AD83" s="67"/>
      <c r="AE83" s="67">
        <f>IF(AC76,AC87,IF(AE76,AE87,AB83))</f>
        <v>1178.6422198857679</v>
      </c>
      <c r="AF83" s="4"/>
      <c r="AG83" s="4"/>
      <c r="AJ83" s="4"/>
      <c r="AL83" s="4"/>
      <c r="AM83" s="4"/>
      <c r="AN83" s="4"/>
      <c r="AO83" s="4"/>
      <c r="AT83" s="63" t="str">
        <f>B83</f>
        <v>Club Coastal 12 Gray</v>
      </c>
      <c r="AU83" s="63">
        <f>AE83</f>
        <v>1178.6422198857679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1393.502057373001</v>
      </c>
      <c r="C85" s="67">
        <v>1</v>
      </c>
      <c r="D85" s="67">
        <f>VLOOKUP(D24,$A79:$AE83,3,FALSE)</f>
        <v>1212.6460682694362</v>
      </c>
      <c r="E85" s="67">
        <f>VLOOKUP(E24,$A79:$AE83,4,FALSE)</f>
        <v>1400</v>
      </c>
      <c r="F85" s="67">
        <v>2</v>
      </c>
      <c r="G85" s="67">
        <f>VLOOKUP(G24,$A79:$AE83,4,FALSE)</f>
        <v>1345.1281772310635</v>
      </c>
      <c r="H85" s="67">
        <f>VLOOKUP(H24,$A79:$AE83,7,FALSE)</f>
        <v>1375.6647897871101</v>
      </c>
      <c r="I85" s="67">
        <v>3</v>
      </c>
      <c r="J85" s="67">
        <f>VLOOKUP(J24,$A79:$AE83,7,FALSE)</f>
        <v>1195.9459347884483</v>
      </c>
      <c r="K85" s="67">
        <f>VLOOKUP(K24,$A79:$AE83,10,FALSE)</f>
        <v>1410.2021908539889</v>
      </c>
      <c r="L85" s="67">
        <v>4</v>
      </c>
      <c r="M85" s="67">
        <f>VLOOKUP(M24,$A79:$AE83,10,FALSE)</f>
        <v>1382.1404541265945</v>
      </c>
      <c r="N85" s="67">
        <f>VLOOKUP(N24,$A79:$AE83,13,FALSE)</f>
        <v>1362.9877231044691</v>
      </c>
      <c r="O85" s="67">
        <v>5</v>
      </c>
      <c r="P85" s="67">
        <f>VLOOKUP(P24,$A79:$AE83,13,FALSE)</f>
        <v>1392.4458414012215</v>
      </c>
      <c r="Q85" s="67">
        <f>VLOOKUP(Q24,$A79:$AE83,16,FALSE)</f>
        <v>1384.719430049943</v>
      </c>
      <c r="R85" s="67">
        <v>6</v>
      </c>
      <c r="S85" s="67">
        <f>VLOOKUP(S24,$A79:$AE83,16,FALSE)</f>
        <v>1179.1648831743369</v>
      </c>
      <c r="T85" s="67">
        <f>VLOOKUP(T24,$A79:$AE83,19,FALSE)</f>
        <v>1407.6232149306404</v>
      </c>
      <c r="U85" s="67">
        <v>7</v>
      </c>
      <c r="V85" s="67">
        <f>VLOOKUP(V24,$A79:$AE83,19,FALSE)</f>
        <v>1421.7391314062281</v>
      </c>
      <c r="W85" s="67">
        <f>VLOOKUP(W24,$A79:$AE83,22,FALSE)</f>
        <v>1333.6944330994625</v>
      </c>
      <c r="X85" s="67">
        <v>8</v>
      </c>
      <c r="Y85" s="67">
        <f>VLOOKUP(Y24,$A79:$AE83,22,FALSE)</f>
        <v>1164.1591056651225</v>
      </c>
      <c r="Z85" s="67">
        <f>VLOOKUP(Z24,$A79:$AE83,25,FALSE)</f>
        <v>1420.4397223540323</v>
      </c>
      <c r="AA85" s="67">
        <v>9</v>
      </c>
      <c r="AB85" s="67">
        <f>VLOOKUP(AB24,$A79:$AE83,25,FALSE)</f>
        <v>1399.7252075591573</v>
      </c>
      <c r="AC85" s="67">
        <f>VLOOKUP(AC24,$A79:$AE83,28,FALSE)</f>
        <v>1319.2113188788171</v>
      </c>
      <c r="AD85" s="67">
        <v>10</v>
      </c>
      <c r="AE85" s="67">
        <f>VLOOKUP(AE24,$A79:$AE83,28,FALSE)</f>
        <v>1408.9226239828363</v>
      </c>
      <c r="AF85" s="4"/>
      <c r="AG85" s="61"/>
      <c r="AH85" s="61"/>
      <c r="AI85" s="61"/>
      <c r="AJ85" s="61"/>
      <c r="AK85" s="61"/>
      <c r="AL85" s="61"/>
      <c r="AM85" s="61"/>
      <c r="AN85" s="62"/>
      <c r="AO85" s="62"/>
      <c r="AP85" s="62"/>
      <c r="AQ85" s="62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1.4781208287191256</v>
      </c>
      <c r="C86" s="68"/>
      <c r="D86" s="68">
        <f>1/(1+(10^-((D85-B85)/400)))*(B36+D36)</f>
        <v>0.52187917128087447</v>
      </c>
      <c r="E86" s="68">
        <f>1/(1+(10^-((E85-G85)/400)))*(E36+G36)</f>
        <v>1.1566336529853383</v>
      </c>
      <c r="F86" s="68"/>
      <c r="G86" s="68">
        <f>1/(1+(10^-((G85-E85)/400)))*(E36+G36)</f>
        <v>0.84336634701466173</v>
      </c>
      <c r="H86" s="68">
        <f>1/(1+(10^-((H85-J85)/400)))*(H36+J36)</f>
        <v>1.4755921370590175</v>
      </c>
      <c r="I86" s="68"/>
      <c r="J86" s="68">
        <f>1/(1+(10^-((J85-H85)/400)))*(H36+J36)</f>
        <v>0.52440786294098274</v>
      </c>
      <c r="K86" s="68">
        <f>1/(1+(10^-((K85-M85)/400)))*(K36+M36)</f>
        <v>1.080592997604638</v>
      </c>
      <c r="L86" s="68"/>
      <c r="M86" s="68">
        <f>1/(1+(10^-((M85-K85)/400)))*(K36+M36)</f>
        <v>0.91940700239536188</v>
      </c>
      <c r="N86" s="68">
        <f>1/(1+(10^-((N85-P85)/400)))*(N36+P36)</f>
        <v>0.91541531265645848</v>
      </c>
      <c r="O86" s="68"/>
      <c r="P86" s="68">
        <f>1/(1+(10^-((P85-N85)/400)))*(N36+P36)</f>
        <v>1.0845846873435416</v>
      </c>
      <c r="Q86" s="68">
        <f>1/(1+(10^-((Q85-S85)/400)))*(Q36+S36)</f>
        <v>1.5310694528370534</v>
      </c>
      <c r="R86" s="68"/>
      <c r="S86" s="68">
        <f>1/(1+(10^-((S85-Q85)/400)))*(Q36+S36)</f>
        <v>0.46893054716294658</v>
      </c>
      <c r="T86" s="68">
        <f>1/(1+(10^-((T85-V85)/400)))*(T36+V36)</f>
        <v>0.95939346711888129</v>
      </c>
      <c r="U86" s="68"/>
      <c r="V86" s="68">
        <f>1/(1+(10^-((V85-T85)/400)))*(T36+V36)</f>
        <v>1.0406065328811185</v>
      </c>
      <c r="W86" s="68">
        <f>1/(1+(10^-((W85-Y85)/400)))*(W36+Y36)</f>
        <v>1.4525973193951662</v>
      </c>
      <c r="X86" s="68"/>
      <c r="Y86" s="68">
        <f>1/(1+(10^-((Y85-W85)/400)))*(W36+Y36)</f>
        <v>0.54740268060483377</v>
      </c>
      <c r="Z86" s="68">
        <f>1/(1+(10^-((Z85-AB85)/400)))*(Z36+AB36)</f>
        <v>1.0595506217315682</v>
      </c>
      <c r="AA86" s="68"/>
      <c r="AB86" s="68">
        <f>1/(1+(10^-((AB85-Z85)/400)))*(Z36+AB36)</f>
        <v>0.94044937826843156</v>
      </c>
      <c r="AC86" s="68">
        <f>1/(1+(10^-((AC85-AE85)/400)))*(AC36+AE36)</f>
        <v>0.74737957636706498</v>
      </c>
      <c r="AD86" s="68"/>
      <c r="AE86" s="68">
        <f>1/(1+(10^-((AE85-AC85)/400)))*(AC36+AE36)</f>
        <v>1.252620423632935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1410.2021908539889</v>
      </c>
      <c r="C87" s="74"/>
      <c r="D87" s="74">
        <f>D85+(D36-D86)*$BA$1</f>
        <v>1195.9459347884483</v>
      </c>
      <c r="E87" s="74">
        <f>E85+(E36-E86)*$BA$1</f>
        <v>1362.9877231044691</v>
      </c>
      <c r="F87" s="74"/>
      <c r="G87" s="74">
        <f>G85+(G36-G86)*$BA$1</f>
        <v>1382.1404541265945</v>
      </c>
      <c r="H87" s="74">
        <f>H85+(H36-H86)*$BA$1</f>
        <v>1392.4458414012215</v>
      </c>
      <c r="I87" s="74"/>
      <c r="J87" s="74">
        <f>J85+(J36-J86)*$BA$1</f>
        <v>1179.1648831743369</v>
      </c>
      <c r="K87" s="74">
        <f>K85+(K36-K86)*$BA$1</f>
        <v>1407.6232149306404</v>
      </c>
      <c r="L87" s="74"/>
      <c r="M87" s="74">
        <f>M85+(M36-M86)*$BA$1</f>
        <v>1384.719430049943</v>
      </c>
      <c r="N87" s="74">
        <f>N85+(N36-N86)*$BA$1</f>
        <v>1333.6944330994625</v>
      </c>
      <c r="O87" s="74"/>
      <c r="P87" s="74">
        <f>P85+(P36-P86)*$BA$1</f>
        <v>1421.7391314062281</v>
      </c>
      <c r="Q87" s="74">
        <f>Q85+(Q36-Q86)*$BA$1</f>
        <v>1399.7252075591573</v>
      </c>
      <c r="R87" s="74"/>
      <c r="S87" s="74">
        <f>S85+(S36-S86)*$BA$1</f>
        <v>1164.1591056651225</v>
      </c>
      <c r="T87" s="74">
        <f>T85+(T36-T86)*$BA$1</f>
        <v>1408.9226239828363</v>
      </c>
      <c r="U87" s="74"/>
      <c r="V87" s="74">
        <f>V85+(V36-V86)*$BA$1</f>
        <v>1420.4397223540323</v>
      </c>
      <c r="W87" s="74">
        <f>W85+(W36-W86)*$BA$1</f>
        <v>1319.2113188788171</v>
      </c>
      <c r="X87" s="74"/>
      <c r="Y87" s="74">
        <f>Y85+(Y36-Y86)*$BA$1</f>
        <v>1178.6422198857679</v>
      </c>
      <c r="Z87" s="74">
        <f>Z85+(Z36-Z86)*$BA$1</f>
        <v>1418.5341024586221</v>
      </c>
      <c r="AA87" s="74"/>
      <c r="AB87" s="74">
        <f>AB85+(AB36-AB86)*$BA$1</f>
        <v>1401.6308274545675</v>
      </c>
      <c r="AC87" s="74">
        <f>AC85+(AC36-AC86)*$BA$1</f>
        <v>1295.295172435071</v>
      </c>
      <c r="AD87" s="74"/>
      <c r="AE87" s="74">
        <f>AE85+(AE36-AE86)*$BA$1</f>
        <v>1432.8387704265824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  <c r="AW89" s="66"/>
    </row>
    <row r="90" spans="1:54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W90" s="66"/>
    </row>
    <row r="91" spans="1:54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4</v>
      </c>
      <c r="J91" s="250"/>
      <c r="K91" s="251" t="str">
        <f>"Pool "&amp;B91&amp;" - Round 1 - Court "&amp;I91</f>
        <v>Pool B - Round 1 - Court 4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Games Won</v>
      </c>
      <c r="M92" s="255"/>
      <c r="N92" s="255"/>
      <c r="O92" s="255"/>
      <c r="P92" s="255"/>
      <c r="Q92" s="256"/>
      <c r="R92" s="254" t="str">
        <f>IF($AK95=0,"Games Lost","Matches Lost")</f>
        <v>Games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TEV 12 Tori</v>
      </c>
      <c r="F93" s="233"/>
      <c r="G93" s="233"/>
      <c r="H93" s="233"/>
      <c r="I93" s="233"/>
      <c r="J93" s="233"/>
      <c r="K93" s="234"/>
      <c r="L93" s="235">
        <f>IF($AK95=0,AF149,AF131)</f>
        <v>4</v>
      </c>
      <c r="M93" s="236"/>
      <c r="N93" s="236"/>
      <c r="O93" s="236"/>
      <c r="P93" s="236"/>
      <c r="Q93" s="256"/>
      <c r="R93" s="235">
        <f>IF($AK95=0,AG149,AG131)</f>
        <v>4</v>
      </c>
      <c r="S93" s="236"/>
      <c r="T93" s="236"/>
      <c r="U93" s="236"/>
      <c r="V93" s="236"/>
      <c r="W93" s="235">
        <f>AQ109</f>
        <v>11</v>
      </c>
      <c r="X93" s="236"/>
      <c r="Y93" s="236"/>
      <c r="Z93" s="239">
        <f>IF(AF143&gt;0,(AQ109/AF143),0)</f>
        <v>5.5E-2</v>
      </c>
      <c r="AA93" s="240"/>
      <c r="AB93" s="240"/>
      <c r="AC93" s="262">
        <f>IF(AF157=0,0,(AF149/AF157))</f>
        <v>0.5</v>
      </c>
      <c r="AD93" s="263"/>
      <c r="AE93" s="264"/>
      <c r="AF93" s="268">
        <v>3</v>
      </c>
      <c r="AG93" s="268">
        <v>1</v>
      </c>
      <c r="AH93" s="270">
        <v>5</v>
      </c>
      <c r="AI93" s="271"/>
      <c r="AJ93" s="27"/>
      <c r="AK93" s="28">
        <v>10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228"/>
      <c r="B94" s="274" t="s">
        <v>11</v>
      </c>
      <c r="C94" s="275"/>
      <c r="D94" s="276"/>
      <c r="E94" s="277" t="str">
        <f>AV4</f>
        <v>fj2triex1so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5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Gaston Galaxy VBC 12</v>
      </c>
      <c r="F95" s="233"/>
      <c r="G95" s="233"/>
      <c r="H95" s="233"/>
      <c r="I95" s="233"/>
      <c r="J95" s="233"/>
      <c r="K95" s="234"/>
      <c r="L95" s="235">
        <f>IF($AK95=0,AF150,AF132)</f>
        <v>7</v>
      </c>
      <c r="M95" s="236"/>
      <c r="N95" s="236"/>
      <c r="O95" s="236"/>
      <c r="P95" s="236"/>
      <c r="Q95" s="256"/>
      <c r="R95" s="235">
        <f>IF($AK95=0,AG150,AG132)</f>
        <v>1</v>
      </c>
      <c r="S95" s="236"/>
      <c r="T95" s="236"/>
      <c r="U95" s="236"/>
      <c r="V95" s="236"/>
      <c r="W95" s="235">
        <f>AQ110</f>
        <v>49</v>
      </c>
      <c r="X95" s="236"/>
      <c r="Y95" s="236"/>
      <c r="Z95" s="239">
        <f>IF(AF144&gt;0,(AQ110/AF144),0)</f>
        <v>0.24378109452736318</v>
      </c>
      <c r="AA95" s="240"/>
      <c r="AB95" s="240"/>
      <c r="AC95" s="262">
        <f>IF(AF158=0,0,(AF150/AF158))</f>
        <v>0.875</v>
      </c>
      <c r="AD95" s="263"/>
      <c r="AE95" s="264"/>
      <c r="AF95" s="268">
        <v>1</v>
      </c>
      <c r="AG95" s="268">
        <v>1</v>
      </c>
      <c r="AH95" s="270">
        <v>1</v>
      </c>
      <c r="AI95" s="271"/>
      <c r="AJ95" s="27"/>
      <c r="AK95" s="28">
        <v>0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228"/>
      <c r="B96" s="284" t="s">
        <v>11</v>
      </c>
      <c r="C96" s="285"/>
      <c r="D96" s="285"/>
      <c r="E96" s="277" t="str">
        <f>AV5</f>
        <v>fj2galxy1cr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CSRA Heat 12 Black</v>
      </c>
      <c r="F97" s="233"/>
      <c r="G97" s="233"/>
      <c r="H97" s="233"/>
      <c r="I97" s="233"/>
      <c r="J97" s="233"/>
      <c r="K97" s="234"/>
      <c r="L97" s="235">
        <f>IF($AK95=0,AF151,AF133)</f>
        <v>1</v>
      </c>
      <c r="M97" s="236"/>
      <c r="N97" s="236"/>
      <c r="O97" s="236"/>
      <c r="P97" s="236"/>
      <c r="Q97" s="256"/>
      <c r="R97" s="235">
        <f>IF($AK95=0,AG151,AG133)</f>
        <v>7</v>
      </c>
      <c r="S97" s="236"/>
      <c r="T97" s="236"/>
      <c r="U97" s="236"/>
      <c r="V97" s="236"/>
      <c r="W97" s="235">
        <f>AQ111</f>
        <v>-35</v>
      </c>
      <c r="X97" s="236"/>
      <c r="Y97" s="236"/>
      <c r="Z97" s="239">
        <f>IF(AF145&gt;0,(AQ111/AF145),0)</f>
        <v>-0.17412935323383086</v>
      </c>
      <c r="AA97" s="240"/>
      <c r="AB97" s="240"/>
      <c r="AC97" s="262">
        <f>IF(AF159=0,0,(AF151/AF159))</f>
        <v>0.125</v>
      </c>
      <c r="AD97" s="263"/>
      <c r="AE97" s="264"/>
      <c r="AF97" s="268">
        <v>5</v>
      </c>
      <c r="AG97" s="268">
        <v>1</v>
      </c>
      <c r="AH97" s="270">
        <v>9</v>
      </c>
      <c r="AI97" s="271"/>
      <c r="AJ97" s="31"/>
      <c r="AK97" s="28">
        <v>8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fj2csrah2pm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Intense 12 Rock hill</v>
      </c>
      <c r="F99" s="233"/>
      <c r="G99" s="233"/>
      <c r="H99" s="233"/>
      <c r="I99" s="233"/>
      <c r="J99" s="233"/>
      <c r="K99" s="234"/>
      <c r="L99" s="235">
        <f>IF($AK95=0,AF152,AF134)</f>
        <v>5</v>
      </c>
      <c r="M99" s="236"/>
      <c r="N99" s="236"/>
      <c r="O99" s="236"/>
      <c r="P99" s="236"/>
      <c r="Q99" s="256"/>
      <c r="R99" s="235">
        <f>IF($AK95=0,AG152,AG134)</f>
        <v>3</v>
      </c>
      <c r="S99" s="236"/>
      <c r="T99" s="236"/>
      <c r="U99" s="236"/>
      <c r="V99" s="236"/>
      <c r="W99" s="235">
        <f>AQ112</f>
        <v>4</v>
      </c>
      <c r="X99" s="236"/>
      <c r="Y99" s="236"/>
      <c r="Z99" s="239">
        <f>IF(AF146&gt;0,(AQ112/AF146),0)</f>
        <v>1.9801980198019802E-2</v>
      </c>
      <c r="AA99" s="240"/>
      <c r="AB99" s="240"/>
      <c r="AC99" s="262">
        <f>IF(AF160=0,0,(AF152/AF160))</f>
        <v>0.625</v>
      </c>
      <c r="AD99" s="263"/>
      <c r="AE99" s="264"/>
      <c r="AF99" s="268">
        <v>2</v>
      </c>
      <c r="AG99" s="268">
        <v>1</v>
      </c>
      <c r="AH99" s="270">
        <v>3</v>
      </c>
      <c r="AI99" s="271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fj2inten3pm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227" t="str">
        <f>IF($AK94&gt;4,"5","")</f>
        <v>5</v>
      </c>
      <c r="B101" s="286" t="s">
        <v>10</v>
      </c>
      <c r="C101" s="287"/>
      <c r="D101" s="287"/>
      <c r="E101" s="232" t="str">
        <f>AU12</f>
        <v>SC Midlands 12 Garnet</v>
      </c>
      <c r="F101" s="233"/>
      <c r="G101" s="233"/>
      <c r="H101" s="233"/>
      <c r="I101" s="233"/>
      <c r="J101" s="233"/>
      <c r="K101" s="234"/>
      <c r="L101" s="235">
        <f>IF($AK95=0,AF153,AF135)</f>
        <v>3</v>
      </c>
      <c r="M101" s="236"/>
      <c r="N101" s="236"/>
      <c r="O101" s="236"/>
      <c r="P101" s="236"/>
      <c r="Q101" s="256"/>
      <c r="R101" s="235">
        <f>IF($AK95=0,AG153,AG135)</f>
        <v>5</v>
      </c>
      <c r="S101" s="236"/>
      <c r="T101" s="236"/>
      <c r="U101" s="236"/>
      <c r="V101" s="236"/>
      <c r="W101" s="235">
        <f>AQ113</f>
        <v>-29</v>
      </c>
      <c r="X101" s="236"/>
      <c r="Y101" s="236"/>
      <c r="Z101" s="239">
        <f>IF(AF147&gt;0,(AQ113/AF147),0)</f>
        <v>-0.14356435643564355</v>
      </c>
      <c r="AA101" s="240"/>
      <c r="AB101" s="240"/>
      <c r="AC101" s="262">
        <f>IF(AF161=0,0,(AF153/AF161))</f>
        <v>0.375</v>
      </c>
      <c r="AD101" s="263"/>
      <c r="AE101" s="264"/>
      <c r="AF101" s="268">
        <v>4</v>
      </c>
      <c r="AG101" s="268">
        <v>1</v>
      </c>
      <c r="AH101" s="270">
        <v>6</v>
      </c>
      <c r="AI101" s="271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410" t="str">
        <f>AV12</f>
        <v>fj2scmid2pm</v>
      </c>
      <c r="F102" s="411"/>
      <c r="G102" s="411"/>
      <c r="H102" s="411"/>
      <c r="I102" s="411"/>
      <c r="J102" s="411"/>
      <c r="K102" s="411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305" t="s">
        <v>65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thickTop="1" x14ac:dyDescent="0.2">
      <c r="A104" s="4" t="s">
        <v>66</v>
      </c>
      <c r="B104" s="308">
        <v>0.35416666666666669</v>
      </c>
      <c r="C104" s="309"/>
      <c r="D104" s="310"/>
      <c r="E104" s="308">
        <v>0.38541666666666669</v>
      </c>
      <c r="F104" s="309"/>
      <c r="G104" s="310"/>
      <c r="H104" s="308">
        <v>0.41666666666666669</v>
      </c>
      <c r="I104" s="309"/>
      <c r="J104" s="310"/>
      <c r="K104" s="308">
        <v>0.44791666666666669</v>
      </c>
      <c r="L104" s="309"/>
      <c r="M104" s="310"/>
      <c r="N104" s="308">
        <v>0.47916666666666669</v>
      </c>
      <c r="O104" s="309"/>
      <c r="P104" s="310"/>
      <c r="Q104" s="308">
        <v>0.51041666666666663</v>
      </c>
      <c r="R104" s="309"/>
      <c r="S104" s="310"/>
      <c r="T104" s="308">
        <v>4.1666666666666664E-2</v>
      </c>
      <c r="U104" s="309"/>
      <c r="V104" s="310"/>
      <c r="W104" s="308">
        <v>7.2916666666666671E-2</v>
      </c>
      <c r="X104" s="309"/>
      <c r="Y104" s="310"/>
      <c r="Z104" s="308">
        <v>0.10416666666666667</v>
      </c>
      <c r="AA104" s="309"/>
      <c r="AB104" s="310"/>
      <c r="AC104" s="308">
        <v>0.13541666666666666</v>
      </c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>
        <v>0.36388888888888887</v>
      </c>
      <c r="C105" s="320"/>
      <c r="D105" s="321"/>
      <c r="E105" s="319">
        <v>0.38750000000000001</v>
      </c>
      <c r="F105" s="320"/>
      <c r="G105" s="321"/>
      <c r="H105" s="319">
        <v>0.4236111111111111</v>
      </c>
      <c r="I105" s="320"/>
      <c r="J105" s="321"/>
      <c r="K105" s="319">
        <v>0.46527777777777773</v>
      </c>
      <c r="L105" s="320"/>
      <c r="M105" s="321"/>
      <c r="N105" s="319">
        <v>0.5</v>
      </c>
      <c r="O105" s="320"/>
      <c r="P105" s="321"/>
      <c r="Q105" s="319">
        <v>4.1666666666666664E-2</v>
      </c>
      <c r="R105" s="320"/>
      <c r="S105" s="321"/>
      <c r="T105" s="319">
        <v>7.6388888888888895E-2</v>
      </c>
      <c r="U105" s="320"/>
      <c r="V105" s="321"/>
      <c r="W105" s="319">
        <v>0.11458333333333333</v>
      </c>
      <c r="X105" s="320"/>
      <c r="Y105" s="321"/>
      <c r="Z105" s="319">
        <v>0.13194444444444445</v>
      </c>
      <c r="AA105" s="320"/>
      <c r="AB105" s="321"/>
      <c r="AC105" s="319">
        <v>0.18055555555555555</v>
      </c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>
        <v>0.38194444444444442</v>
      </c>
      <c r="C106" s="320"/>
      <c r="D106" s="321"/>
      <c r="E106" s="319">
        <v>0.41666666666666669</v>
      </c>
      <c r="F106" s="320"/>
      <c r="G106" s="321"/>
      <c r="H106" s="319">
        <v>0.44791666666666669</v>
      </c>
      <c r="I106" s="320"/>
      <c r="J106" s="321"/>
      <c r="K106" s="319">
        <v>0.48958333333333331</v>
      </c>
      <c r="L106" s="320"/>
      <c r="M106" s="321"/>
      <c r="N106" s="319">
        <v>0.53125</v>
      </c>
      <c r="O106" s="320"/>
      <c r="P106" s="321"/>
      <c r="Q106" s="319">
        <v>6.9444444444444434E-2</v>
      </c>
      <c r="R106" s="320"/>
      <c r="S106" s="321"/>
      <c r="T106" s="319">
        <v>0.1076388888888889</v>
      </c>
      <c r="U106" s="320"/>
      <c r="V106" s="321"/>
      <c r="W106" s="319">
        <v>0.125</v>
      </c>
      <c r="X106" s="320"/>
      <c r="Y106" s="321"/>
      <c r="Z106" s="319">
        <v>0.16666666666666666</v>
      </c>
      <c r="AA106" s="320"/>
      <c r="AB106" s="321"/>
      <c r="AC106" s="319">
        <v>0.19444444444444445</v>
      </c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7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>Match 7</v>
      </c>
      <c r="U107" s="323"/>
      <c r="V107" s="324"/>
      <c r="W107" s="322" t="str">
        <f>IF(AK93&gt;7,"Match 8","")</f>
        <v>Match 8</v>
      </c>
      <c r="X107" s="323"/>
      <c r="Y107" s="324"/>
      <c r="Z107" s="322" t="str">
        <f>IF(AK93&gt;8,"Match 9","")</f>
        <v>Match 9</v>
      </c>
      <c r="AA107" s="323"/>
      <c r="AB107" s="324"/>
      <c r="AC107" s="322" t="str">
        <f>IF(AK93&gt;9,"Match 10","")</f>
        <v>Match 10</v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7"/>
      <c r="B108" s="325" t="s">
        <v>71</v>
      </c>
      <c r="C108" s="326"/>
      <c r="D108" s="327"/>
      <c r="E108" s="325" t="s">
        <v>72</v>
      </c>
      <c r="F108" s="326"/>
      <c r="G108" s="327"/>
      <c r="H108" s="325" t="s">
        <v>73</v>
      </c>
      <c r="I108" s="326"/>
      <c r="J108" s="327"/>
      <c r="K108" s="325" t="s">
        <v>74</v>
      </c>
      <c r="L108" s="326"/>
      <c r="M108" s="327"/>
      <c r="N108" s="325" t="s">
        <v>75</v>
      </c>
      <c r="O108" s="326"/>
      <c r="P108" s="327"/>
      <c r="Q108" s="325" t="s">
        <v>73</v>
      </c>
      <c r="R108" s="326"/>
      <c r="S108" s="327"/>
      <c r="T108" s="325" t="s">
        <v>71</v>
      </c>
      <c r="U108" s="326"/>
      <c r="V108" s="327"/>
      <c r="W108" s="325" t="s">
        <v>75</v>
      </c>
      <c r="X108" s="326"/>
      <c r="Y108" s="327"/>
      <c r="Z108" s="325" t="s">
        <v>74</v>
      </c>
      <c r="AA108" s="326"/>
      <c r="AB108" s="327"/>
      <c r="AC108" s="325" t="s">
        <v>72</v>
      </c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-12</v>
      </c>
      <c r="AI109" s="48" t="str">
        <f>IF(AK94&lt;1,"",IF(AK93&lt;3,"",IF(H109=1,H115-J115,IF(J109=1,J115-H115,""))))</f>
        <v/>
      </c>
      <c r="AJ109" s="48" t="str">
        <f>IF(AK94&lt;1,"",IF(AK93&lt;4,"",IF(K109=1,K115-M115,IF(M109=1,M115-K115,""))))</f>
        <v/>
      </c>
      <c r="AK109" s="48">
        <f>IF(AK94&lt;1,"",IF(AK93&lt;5,"",IF(N109=1,N115-P115,IF(P109=1,P115-N115,""))))</f>
        <v>4</v>
      </c>
      <c r="AL109" s="48" t="str">
        <f>IF(AK94&lt;1,"",IF(AK93&lt;6,"",IF(Q109=1,Q115-S115,IF(S109=1,S115-Q115,""))))</f>
        <v/>
      </c>
      <c r="AM109" s="48" t="str">
        <f>IF(AK94&lt;1,"",IF(AK93&lt;7,"",IF(T109=1,T115-V115,IF(V109=1,V115-T115,""))))</f>
        <v/>
      </c>
      <c r="AN109" s="48">
        <f>IF(AK94&lt;1,"",IF(AK93&lt;8,"",IF(W109=1,W115-Y115,IF(Y109=1,Y115-W115,""))))</f>
        <v>19</v>
      </c>
      <c r="AO109" s="48" t="str">
        <f>IF(AK94&lt;1,"",IF(AK93&lt;9,"",IF(Z109=1,Z115-AB115,IF(AB109=1,AB115-Z115,""))))</f>
        <v/>
      </c>
      <c r="AP109" s="48">
        <f>IF(AK94&lt;1,"",IF(AK93&lt;10,"",IF(AC109=1,AC115-AE115,IF(AE109=1,AE115-AC115,""))))</f>
        <v>0</v>
      </c>
      <c r="AQ109" s="44">
        <f>SUM(AG109:AP109)</f>
        <v>11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20</v>
      </c>
      <c r="E110" s="49">
        <v>18</v>
      </c>
      <c r="F110" s="50" t="str">
        <f>IF(AK93&gt;1,"/","")</f>
        <v>/</v>
      </c>
      <c r="G110" s="51">
        <v>25</v>
      </c>
      <c r="H110" s="49">
        <v>17</v>
      </c>
      <c r="I110" s="50" t="str">
        <f>IF(AK93&gt;2,"/","")</f>
        <v>/</v>
      </c>
      <c r="J110" s="51">
        <v>25</v>
      </c>
      <c r="K110" s="49">
        <v>25</v>
      </c>
      <c r="L110" s="50" t="str">
        <f>IF(AK93&gt;3,"/","")</f>
        <v>/</v>
      </c>
      <c r="M110" s="51">
        <v>17</v>
      </c>
      <c r="N110" s="49">
        <v>25</v>
      </c>
      <c r="O110" s="50" t="str">
        <f>IF(AK93&gt;4,"/","")</f>
        <v>/</v>
      </c>
      <c r="P110" s="51">
        <v>19</v>
      </c>
      <c r="Q110" s="49">
        <v>25</v>
      </c>
      <c r="R110" s="50" t="str">
        <f>IF(AK93&gt;5,"/","")</f>
        <v>/</v>
      </c>
      <c r="S110" s="51">
        <v>27</v>
      </c>
      <c r="T110" s="49">
        <v>26</v>
      </c>
      <c r="U110" s="50" t="str">
        <f>IF(AK93&gt;6,"/","")</f>
        <v>/</v>
      </c>
      <c r="V110" s="51">
        <v>24</v>
      </c>
      <c r="W110" s="49">
        <v>25</v>
      </c>
      <c r="X110" s="50" t="str">
        <f>IF(AK93&gt;7,"/","")</f>
        <v>/</v>
      </c>
      <c r="Y110" s="51">
        <v>17</v>
      </c>
      <c r="Z110" s="49">
        <v>22</v>
      </c>
      <c r="AA110" s="50" t="str">
        <f>IF(AK93&gt;8,"/","")</f>
        <v>/</v>
      </c>
      <c r="AB110" s="51">
        <v>25</v>
      </c>
      <c r="AC110" s="49">
        <v>25</v>
      </c>
      <c r="AD110" s="50" t="str">
        <f>IF(AK93&gt;9,"/","")</f>
        <v>/</v>
      </c>
      <c r="AE110" s="51">
        <v>23</v>
      </c>
      <c r="AF110" s="42" t="str">
        <f>IF(AK94&gt;1,"Team 2","")</f>
        <v>Team 2</v>
      </c>
      <c r="AG110" s="48">
        <f>IF(AK94&lt;2,"",IF(AK93&lt;1,"",IF(B109=2,B115-D115,IF(D109=2,D115-B115,""))))</f>
        <v>21</v>
      </c>
      <c r="AH110" s="48" t="str">
        <f>IF(AK94&lt;2,"",IF(AK93&lt;2,"",IF(E109=2,E115-G115,IF(G109=2,G115-E115,""))))</f>
        <v/>
      </c>
      <c r="AI110" s="48" t="str">
        <f>IF(AK94&lt;2,"",IF(AK93&lt;3,"",IF(H109=2,H115-J115,IF(J109=2,J115-H115,""))))</f>
        <v/>
      </c>
      <c r="AJ110" s="48">
        <f>IF(AK94&lt;2,"",IF(AK93&lt;4,"",IF(K109=2,K115-M115,IF(M109=2,M115-K115,""))))</f>
        <v>16</v>
      </c>
      <c r="AK110" s="48" t="str">
        <f>IF(AK94&lt;2,"",IF(AK93&lt;5,"",IF(N109=2,N115-P115,IF(P109=2,P115-N115,""))))</f>
        <v/>
      </c>
      <c r="AL110" s="48" t="str">
        <f>IF(AK94&lt;2,"",IF(AK93&lt;6,"",IF(Q109=2,Q115-S115,IF(S109=2,S115-Q115,""))))</f>
        <v/>
      </c>
      <c r="AM110" s="48">
        <f>IF(AK94&lt;2,"",IF(AK93&lt;7,"",IF(T109=2,T115-V115,IF(V109=2,V115-T115,""))))</f>
        <v>12</v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>
        <f>IF(AK94&lt;2,"",IF(AK93&lt;10,"",IF(AC109=2,AC115-AE115,IF(AE109=2,AE115-AC115,""))))</f>
        <v>0</v>
      </c>
      <c r="AQ110" s="44">
        <f>SUM(AG110:AP110)</f>
        <v>49</v>
      </c>
    </row>
    <row r="111" spans="1:44" ht="15" x14ac:dyDescent="0.2">
      <c r="A111" s="3" t="str">
        <f>IF(AK92&gt;1,"Game 2","")</f>
        <v>Game 2</v>
      </c>
      <c r="B111" s="49">
        <v>25</v>
      </c>
      <c r="C111" s="50" t="s">
        <v>80</v>
      </c>
      <c r="D111" s="51">
        <v>9</v>
      </c>
      <c r="E111" s="49">
        <v>20</v>
      </c>
      <c r="F111" s="50" t="str">
        <f>IF(AK93&gt;1,IF(AK92&gt;1,"/",""),"")</f>
        <v>/</v>
      </c>
      <c r="G111" s="51">
        <v>25</v>
      </c>
      <c r="H111" s="49">
        <v>21</v>
      </c>
      <c r="I111" s="50" t="str">
        <f>IF(AK93&gt;2,IF(AK92&gt;1,"/",""),"")</f>
        <v>/</v>
      </c>
      <c r="J111" s="51">
        <v>25</v>
      </c>
      <c r="K111" s="49">
        <v>25</v>
      </c>
      <c r="L111" s="50" t="str">
        <f>IF(AK93&gt;3,IF(AK92&gt;1,"/",""),"")</f>
        <v>/</v>
      </c>
      <c r="M111" s="51">
        <v>17</v>
      </c>
      <c r="N111" s="49">
        <v>23</v>
      </c>
      <c r="O111" s="50" t="str">
        <f>IF(AK93&gt;4,IF(AK92&gt;1,"/",""),"")</f>
        <v>/</v>
      </c>
      <c r="P111" s="51">
        <v>25</v>
      </c>
      <c r="Q111" s="49">
        <v>25</v>
      </c>
      <c r="R111" s="50" t="str">
        <f>IF(AK93&gt;5,IF(AK92&gt;1,"/",""),"")</f>
        <v>/</v>
      </c>
      <c r="S111" s="51">
        <v>22</v>
      </c>
      <c r="T111" s="49">
        <v>25</v>
      </c>
      <c r="U111" s="50" t="str">
        <f>IF(AK93&gt;6,IF(AK92&gt;1,"/",""),"")</f>
        <v>/</v>
      </c>
      <c r="V111" s="51">
        <v>15</v>
      </c>
      <c r="W111" s="49">
        <v>25</v>
      </c>
      <c r="X111" s="50" t="str">
        <f>IF(AK93&gt;7,IF(AK92&gt;1,"/",""),"")</f>
        <v>/</v>
      </c>
      <c r="Y111" s="51">
        <v>14</v>
      </c>
      <c r="Z111" s="49">
        <v>21</v>
      </c>
      <c r="AA111" s="50" t="str">
        <f>IF(AK93&gt;8,IF(AK92&gt;1,"/",""),"")</f>
        <v>/</v>
      </c>
      <c r="AB111" s="51">
        <v>25</v>
      </c>
      <c r="AC111" s="49">
        <v>23</v>
      </c>
      <c r="AD111" s="50" t="str">
        <f>IF(AK93&gt;9,IF(AK92&gt;1,"/",""),"")</f>
        <v>/</v>
      </c>
      <c r="AE111" s="51">
        <v>25</v>
      </c>
      <c r="AF111" s="42" t="str">
        <f>IF(AK94&gt;2,"Team 3","")</f>
        <v>Team 3</v>
      </c>
      <c r="AG111" s="48" t="str">
        <f>IF(AK94&lt;3,"",IF(AK93&lt;1,"",IF(B109=3,B115-D115,IF(D109=3,D115-B115,""))))</f>
        <v/>
      </c>
      <c r="AH111" s="48" t="str">
        <f>IF(AK94&lt;3,"",IF(AK93&lt;2,"",IF(E109=3,E115-G115,IF(G109=3,G115-E115,""))))</f>
        <v/>
      </c>
      <c r="AI111" s="48">
        <f>IF(AK94&lt;3,"",IF(AK93&lt;3,"",IF(H109=3,H115-J115,IF(J109=3,J115-H115,""))))</f>
        <v>-12</v>
      </c>
      <c r="AJ111" s="48" t="str">
        <f>IF(AK94&lt;3,"",IF(AK93&lt;4,"",IF(K109=3,K115-M115,IF(M109=3,M115-K115,""))))</f>
        <v/>
      </c>
      <c r="AK111" s="48">
        <f>IF(AK94&lt;3,"",IF(AK93&lt;5,"",IF(N109=3,N115-P115,IF(P109=3,P115-N115,""))))</f>
        <v>-4</v>
      </c>
      <c r="AL111" s="48" t="str">
        <f>IF(AK94&lt;3,"",IF(AK93&lt;6,"",IF(Q109=3,Q115-S115,IF(S109=3,S115-Q115,""))))</f>
        <v/>
      </c>
      <c r="AM111" s="48">
        <f>IF(AK94&lt;3,"",IF(AK93&lt;7,"",IF(T109=3,T115-V115,IF(V109=3,V115-T115,""))))</f>
        <v>-12</v>
      </c>
      <c r="AN111" s="48" t="str">
        <f>IF(AK94&lt;3,"",IF(AK93&lt;8,"",IF(W109=3,W115-Y115,IF(Y109=3,Y115-W115,""))))</f>
        <v/>
      </c>
      <c r="AO111" s="48">
        <f>IF(AK94&lt;3,"",IF(AK93&lt;9,"",IF(Z109=3,Z115-AB115,IF(AB109=3,AB115-Z115,""))))</f>
        <v>-7</v>
      </c>
      <c r="AP111" s="48" t="str">
        <f>IF(AK94&lt;3,"",IF(AK93&lt;9,"",IF(AC109=3,AC115-AE115,IF(AE109=3,AE115-AC115,""))))</f>
        <v/>
      </c>
      <c r="AQ111" s="44">
        <f>SUM(AG111:AP111)</f>
        <v>-35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12</v>
      </c>
      <c r="AI112" s="48" t="str">
        <f>IF(AK94&lt;4,"",IF(AK93&lt;3,"",IF(H109=4,H115-J115,IF(J109=4,J115-H115,""))))</f>
        <v/>
      </c>
      <c r="AJ112" s="48">
        <f>IF(AK94&lt;4,"",IF(AK93&lt;4,"",IF(K109=4,K115-M115,IF(M109=4,M115-K115,""))))</f>
        <v>-16</v>
      </c>
      <c r="AK112" s="48" t="str">
        <f>IF(AK94&lt;4,"",IF(AK93&lt;5,"",IF(N109=4,N115-P115,IF(P109=4,P115-N115,""))))</f>
        <v/>
      </c>
      <c r="AL112" s="48">
        <f>IF(AK94&lt;4,"",IF(AK93&lt;6,"",IF(Q109=4,Q115-S115,IF(S109=4,S115-Q115,""))))</f>
        <v>1</v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>
        <f>IF(AK94&lt;4,"",IF(AK93&lt;9,"",IF(Z109=4,Z115-AB115,IF(AB109=4,AB115-Z115,""))))</f>
        <v>7</v>
      </c>
      <c r="AP112" s="48" t="str">
        <f>IF(AK94&lt;4,"",IF(AK93&lt;10,"",IF(AC109=4,AC115-AE115,IF(AE109=4,AE115-AC115,""))))</f>
        <v/>
      </c>
      <c r="AQ112" s="44">
        <f>SUM(AG112:AP112)</f>
        <v>4</v>
      </c>
    </row>
    <row r="113" spans="1:49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>Team 5</v>
      </c>
      <c r="AG113" s="52">
        <f>IF(AK94&lt;5,"",IF(AK93&lt;1,"",IF(B109=5,B115-D115,IF(D109=5,D115-B115,""))))</f>
        <v>-21</v>
      </c>
      <c r="AH113" s="48" t="str">
        <f>IF(AK94&lt;5,"",IF(AK93&lt;2,"",IF(E109=5,E115-G115,IF(G109=5,G115-E115,""))))</f>
        <v/>
      </c>
      <c r="AI113" s="48">
        <f>IF(AK94&lt;5,"",IF(AK93&lt;3,"",IF(H109=5,H115-J115,IF(J109=5,J115-H115,""))))</f>
        <v>12</v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>
        <f>IF(AK94&lt;5,"",IF(AK93&lt;6,"",IF(Q109=5,Q115-S115,IF(S109=5,S115-Q115,""))))</f>
        <v>-1</v>
      </c>
      <c r="AM113" s="48" t="str">
        <f>IF(AK94&lt;5,"",IF(AK93&lt;7,"",IF(T109=5,T115-V115,IF(V109=5,V115-T115,""))))</f>
        <v/>
      </c>
      <c r="AN113" s="48">
        <f>IF(AK94&lt;5,"",IF(AK93&lt;8,"",IF(W109=5,W115-Y115,IF(Y109=5,Y115-W115,""))))</f>
        <v>-19</v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-29</v>
      </c>
    </row>
    <row r="114" spans="1:49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3"/>
      <c r="B115" s="53">
        <f>IF($AK92=5,SUM(B110:B114),IF($AK92=4,SUM(B110:B113),IF($AK92=3,SUM(B110:B112),IF($AK92=2,SUM(B110:B111),B110))))</f>
        <v>50</v>
      </c>
      <c r="C115" s="53"/>
      <c r="D115" s="53">
        <f>IF($AK92=5,SUM(D110:D114),IF($AK92=4,SUM(D110:D113),IF($AK92=3,SUM(D110:D112),IF($AK92=2,SUM(D110:D111),D110))))</f>
        <v>29</v>
      </c>
      <c r="E115" s="53">
        <f>IF($AK92=5,SUM(E110:E114),IF($AK92=4,SUM(E110:E113),IF($AK92=3,SUM(E110:E112),IF($AK92=2,SUM(E110:E111),E110))))</f>
        <v>38</v>
      </c>
      <c r="F115" s="53"/>
      <c r="G115" s="53">
        <f>IF($AK92=5,SUM(G110:G114),IF($AK92=4,SUM(G110:G113),IF($AK92=3,SUM(G110:G112),IF($AK92=2,SUM(G110:G111),G110))))</f>
        <v>50</v>
      </c>
      <c r="H115" s="53">
        <f>IF($AK92=5,SUM(H110:H114),IF($AK92=4,SUM(H110:H113),IF($AK92=3,SUM(H110:H112),IF($AK92=2,SUM(H110:H111),H110))))</f>
        <v>38</v>
      </c>
      <c r="I115" s="53"/>
      <c r="J115" s="53">
        <f>IF($AK92=5,SUM(J110:J114),IF($AK92=4,SUM(J110:J113),IF($AK92=3,SUM(J110:J112),IF($AK92=2,SUM(J110:J111),J110))))</f>
        <v>50</v>
      </c>
      <c r="K115" s="53">
        <f>IF($AK92=5,SUM(K110:K114),IF($AK92=4,SUM(K110:K113),IF($AK92=3,SUM(K110:K112),IF($AK92=2,SUM(K110:K111),K110))))</f>
        <v>50</v>
      </c>
      <c r="L115" s="53"/>
      <c r="M115" s="53">
        <f>IF($AK92=5,SUM(M110:M114),IF($AK92=4,SUM(M110:M113),IF($AK92=3,SUM(M110:M112),IF($AK92=2,SUM(M110:M111),M110))))</f>
        <v>34</v>
      </c>
      <c r="N115" s="53">
        <f>IF($AK92=5,SUM(N110:N114),IF($AK92=4,SUM(N110:N113),IF($AK92=3,SUM(N110:N112),IF($AK92=2,SUM(N110:N111),N110))))</f>
        <v>48</v>
      </c>
      <c r="O115" s="53"/>
      <c r="P115" s="53">
        <f>IF($AK92=5,SUM(P110:P114),IF($AK92=4,SUM(P110:P113),IF($AK92=3,SUM(P110:P112),IF($AK92=2,SUM(P110:P111),P110))))</f>
        <v>44</v>
      </c>
      <c r="Q115" s="53">
        <f>IF($AK92=5,SUM(Q110:Q114),IF($AK92=4,SUM(Q110:Q113),IF($AK92=3,SUM(Q110:Q112),IF($AK92=2,SUM(Q110:Q111),Q110))))</f>
        <v>50</v>
      </c>
      <c r="R115" s="53"/>
      <c r="S115" s="53">
        <f>IF($AK92=5,SUM(S110:S114),IF($AK92=4,SUM(S110:S113),IF($AK92=3,SUM(S110:S112),IF($AK92=2,SUM(S110:S111),S110))))</f>
        <v>49</v>
      </c>
      <c r="T115" s="53">
        <f>IF($AK92=5,SUM(T110:T114),IF($AK92=4,SUM(T110:T113),IF($AK92=3,SUM(T110:T112),IF($AK92=2,SUM(T110:T111),T110))))</f>
        <v>51</v>
      </c>
      <c r="U115" s="53"/>
      <c r="V115" s="53">
        <f>IF($AK92=5,SUM(V110:V114),IF($AK92=4,SUM(V110:V113),IF($AK92=3,SUM(V110:V112),IF($AK92=2,SUM(V110:V111),V110))))</f>
        <v>39</v>
      </c>
      <c r="W115" s="53">
        <f>IF($AK92=5,SUM(W110:W114),IF($AK92=4,SUM(W110:W113),IF($AK92=3,SUM(W110:W112),IF($AK92=2,SUM(W110:W111),W110))))</f>
        <v>50</v>
      </c>
      <c r="X115" s="53"/>
      <c r="Y115" s="53">
        <f>IF($AK92=5,SUM(Y110:Y114),IF($AK92=4,SUM(Y110:Y113),IF($AK92=3,SUM(Y110:Y112),IF($AK92=2,SUM(Y110:Y111),Y110))))</f>
        <v>31</v>
      </c>
      <c r="Z115" s="53">
        <f>IF($AK92=5,SUM(Z110:Z114),IF($AK92=4,SUM(Z110:Z113),IF($AK92=3,SUM(Z110:Z112),IF($AK92=2,SUM(Z110:Z111),Z110))))</f>
        <v>43</v>
      </c>
      <c r="AA115" s="53"/>
      <c r="AB115" s="53">
        <f>IF($AK92=5,SUM(AB110:AB114),IF($AK92=4,SUM(AB110:AB113),IF($AK92=3,SUM(AB110:AB112),IF($AK92=2,SUM(AB110:AB111),AB110))))</f>
        <v>50</v>
      </c>
      <c r="AC115" s="53">
        <f>IF($AK92=5,SUM(AC110:AC114),IF($AK92=4,SUM(AC110:AC113),IF($AK92=3,SUM(AC110:AC112),IF($AK92=2,SUM(AC110:AC111),AC110))))</f>
        <v>48</v>
      </c>
      <c r="AD115" s="53"/>
      <c r="AE115" s="53">
        <f>IF($AK92=5,SUM(AE110:AE114),IF($AK92=4,SUM(AE110:AE113),IF($AK92=3,SUM(AE110:AE112),IF($AK92=2,SUM(AE110:AE111),AE110))))</f>
        <v>48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0</v>
      </c>
      <c r="F116" s="56"/>
      <c r="G116" s="57">
        <f>IF(AND(G110&gt;E110,$AK93&gt;1,ISNUMBER(E110),ISNUMBER(G110)),1,0)</f>
        <v>1</v>
      </c>
      <c r="H116" s="56">
        <f>IF(AND(H110&gt;J110,$AK93&gt;2,ISNUMBER(H110),ISNUMBER(J110)),1,0)</f>
        <v>0</v>
      </c>
      <c r="I116" s="56"/>
      <c r="J116" s="57">
        <f>IF(AND(J110&gt;H110,$AK93&gt;2,ISNUMBER(H110),ISNUMBER(J110)),1,0)</f>
        <v>1</v>
      </c>
      <c r="K116" s="56">
        <f>IF(AND(K110&gt;M110,$AK93&gt;3,ISNUMBER(K110),ISNUMBER(M110)),1,0)</f>
        <v>1</v>
      </c>
      <c r="L116" s="56"/>
      <c r="M116" s="57">
        <f>IF(AND(M110&gt;K110,$AK93&gt;3,ISNUMBER(K110),ISNUMBER(M110)),1,0)</f>
        <v>0</v>
      </c>
      <c r="N116" s="56">
        <f>IF(AND(N110&gt;P110,$AK93&gt;4,ISNUMBER(N110),ISNUMBER(P110)),1,0)</f>
        <v>1</v>
      </c>
      <c r="O116" s="56"/>
      <c r="P116" s="57">
        <f>IF(AND(P110&gt;N110,$AK93&gt;4,ISNUMBER(N110),ISNUMBER(P110)),1,0)</f>
        <v>0</v>
      </c>
      <c r="Q116" s="56">
        <f>IF(AND(Q110&gt;S110,$AK93&gt;5,ISNUMBER(Q110),ISNUMBER(S110)),1,0)</f>
        <v>0</v>
      </c>
      <c r="R116" s="56"/>
      <c r="S116" s="57">
        <f>IF(AND(S110&gt;Q110,$AK93&gt;5,ISNUMBER(Q110),ISNUMBER(S110)),1,0)</f>
        <v>1</v>
      </c>
      <c r="T116" s="56">
        <f>IF(AND(T110&gt;V110,$AK93&gt;6,ISNUMBER(T110),ISNUMBER(V110)),1,0)</f>
        <v>1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1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1</v>
      </c>
      <c r="AC116" s="56">
        <f>IF(AND(AC110&gt;AE110,$AK93&gt;9,ISNUMBER(AC110),ISNUMBER(AE110)),1,0)</f>
        <v>1</v>
      </c>
      <c r="AD116" s="56"/>
      <c r="AE116" s="57">
        <f>IF(AND(AE110&gt;AC110,$AK93&gt;9,ISNUMBER(AC110),ISNUMBER(AE110)),1,0)</f>
        <v>0</v>
      </c>
      <c r="AW116" s="58"/>
    </row>
    <row r="117" spans="1:49" s="55" customFormat="1" ht="12.75" hidden="1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0</v>
      </c>
      <c r="F117" s="56"/>
      <c r="G117" s="57">
        <f>IF(AND(G111&gt;E111,$AK93&gt;1,$AK92&gt;1,ISNUMBER(E111),ISNUMBER(G111)),1,0)</f>
        <v>1</v>
      </c>
      <c r="H117" s="56">
        <f>IF(AND(H111&gt;J111,$AK93&gt;2,$AK92&gt;1,ISNUMBER(H111),ISNUMBER(J111)),1,0)</f>
        <v>0</v>
      </c>
      <c r="I117" s="56"/>
      <c r="J117" s="57">
        <f>IF(AND(J111&gt;H111,$AK93&gt;2,$AK92&gt;1,ISNUMBER(H111),ISNUMBER(J111)),1,0)</f>
        <v>1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0</v>
      </c>
      <c r="O117" s="56"/>
      <c r="P117" s="57">
        <f>IF(AND(P111&gt;N111,$AK93&gt;4,$AK92&gt;1,ISNUMBER(N111),ISNUMBER(P111)),1,0)</f>
        <v>1</v>
      </c>
      <c r="Q117" s="56">
        <f>IF(AND(Q111&gt;S111,$AK93&gt;5,$AK92&gt;1,ISNUMBER(Q111),ISNUMBER(S111)),1,0)</f>
        <v>1</v>
      </c>
      <c r="R117" s="56"/>
      <c r="S117" s="57">
        <f>IF(AND(S111&gt;Q111,$AK93&gt;5,$AK92&gt;1,ISNUMBER(Q111),ISNUMBER(S111)),1,0)</f>
        <v>0</v>
      </c>
      <c r="T117" s="56">
        <f>IF(AND(T111&gt;V111,$AK93&gt;6,$AK92&gt;1,ISNUMBER(T111),ISNUMBER(V111)),1,0)</f>
        <v>1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1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1</v>
      </c>
      <c r="AC117" s="56">
        <f>IF(AND(AC111&gt;AE111,$AK93&gt;9,$AK92&gt;1,ISNUMBER(AC111),ISNUMBER(AE111)),1,0)</f>
        <v>0</v>
      </c>
      <c r="AD117" s="56"/>
      <c r="AE117" s="57">
        <f>IF(AND(AE111&gt;AC111,$AK93&gt;9,$AK92&gt;1,ISNUMBER(AC111),ISNUMBER(AE111)),1,0)</f>
        <v>1</v>
      </c>
      <c r="AW117" s="58"/>
    </row>
    <row r="118" spans="1:49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  <c r="AW118" s="58"/>
    </row>
    <row r="119" spans="1:49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  <c r="AW119" s="58"/>
    </row>
    <row r="120" spans="1:49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  <c r="AW120" s="58"/>
    </row>
    <row r="121" spans="1:49" s="55" customFormat="1" ht="38.25" hidden="1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0</v>
      </c>
      <c r="G121" s="60">
        <f>SUM(G116:G120)</f>
        <v>2</v>
      </c>
      <c r="H121" s="55">
        <f>SUM(H116:H120)</f>
        <v>0</v>
      </c>
      <c r="J121" s="60">
        <f>SUM(J116:J120)</f>
        <v>2</v>
      </c>
      <c r="K121" s="55">
        <f>SUM(K116:K120)</f>
        <v>2</v>
      </c>
      <c r="M121" s="60">
        <f>SUM(M116:M120)</f>
        <v>0</v>
      </c>
      <c r="N121" s="55">
        <f>SUM(N116:N120)</f>
        <v>1</v>
      </c>
      <c r="P121" s="60">
        <f>SUM(P116:P120)</f>
        <v>1</v>
      </c>
      <c r="Q121" s="55">
        <f>SUM(Q116:Q120)</f>
        <v>1</v>
      </c>
      <c r="S121" s="60">
        <f>SUM(S116:S120)</f>
        <v>1</v>
      </c>
      <c r="T121" s="55">
        <f>SUM(T116:T120)</f>
        <v>2</v>
      </c>
      <c r="V121" s="60">
        <f>SUM(V116:V120)</f>
        <v>0</v>
      </c>
      <c r="W121" s="55">
        <f>SUM(W116:W120)</f>
        <v>2</v>
      </c>
      <c r="Y121" s="60">
        <f>SUM(Y116:Y120)</f>
        <v>0</v>
      </c>
      <c r="Z121" s="55">
        <f>SUM(Z116:Z120)</f>
        <v>0</v>
      </c>
      <c r="AB121" s="60">
        <f>SUM(AB116:AB120)</f>
        <v>2</v>
      </c>
      <c r="AC121" s="55">
        <f>SUM(AC116:AC120)</f>
        <v>1</v>
      </c>
      <c r="AE121" s="60">
        <f>SUM(AE116:AE120)</f>
        <v>1</v>
      </c>
      <c r="AW121" s="58"/>
    </row>
    <row r="122" spans="1:49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0</v>
      </c>
      <c r="F122" s="55">
        <f>E122+G122</f>
        <v>1</v>
      </c>
      <c r="G122" s="60">
        <f>IF(G121&gt;E121,IF(F156=AK92,1,IF(F156=AK92-1,1,0)),0)</f>
        <v>1</v>
      </c>
      <c r="H122" s="55">
        <f>IF(H121&gt;J121,IF(I156=AK92,1,IF(I156=AK92-1,1,0)),0)</f>
        <v>0</v>
      </c>
      <c r="I122" s="55">
        <f>H122+J122</f>
        <v>1</v>
      </c>
      <c r="J122" s="60">
        <f>IF(J121&gt;H121,IF(I156=AK92,1,IF(I156=AK92-1,1,0)),0)</f>
        <v>1</v>
      </c>
      <c r="K122" s="55">
        <f>IF(K121&gt;M121,IF(L156=AK92,1,IF(L156=AK92-1,1,0)),0)</f>
        <v>1</v>
      </c>
      <c r="L122" s="55">
        <f>K122+M122</f>
        <v>1</v>
      </c>
      <c r="M122" s="60">
        <f>IF(M121&gt;K121,IF(L156=AK92,1,IF(L156=AK92-1,1,0)),0)</f>
        <v>0</v>
      </c>
      <c r="N122" s="55">
        <f>IF(N121&gt;P121,IF(O156=AK92,1,IF(O156=AK92-1,1,0)),0)</f>
        <v>0</v>
      </c>
      <c r="O122" s="55">
        <f>N122+P122</f>
        <v>0</v>
      </c>
      <c r="P122" s="60">
        <f>IF(P121&gt;N121,IF(O156=AK92,1,IF(O156=AK92-1,1,0)),0)</f>
        <v>0</v>
      </c>
      <c r="Q122" s="55">
        <f>IF(Q121&gt;S121,IF(R156=AK92,1,IF(R156=AK92-1,1,0)),0)</f>
        <v>0</v>
      </c>
      <c r="R122" s="55">
        <f>Q122+S122</f>
        <v>0</v>
      </c>
      <c r="S122" s="60">
        <f>IF(S121&gt;Q121,IF(R156=AK92,1,IF(R156=AK92-1,1,0)),0)</f>
        <v>0</v>
      </c>
      <c r="T122" s="55">
        <f>IF(T121&gt;V121,IF(U156=AK92,1,IF(U156=AK92-1,1,0)),0)</f>
        <v>1</v>
      </c>
      <c r="U122" s="55">
        <f>T122+V122</f>
        <v>1</v>
      </c>
      <c r="V122" s="60">
        <f>IF(V121&gt;T121,IF(U156=AK92,1,IF(U156=AK92-1,1,0)),0)</f>
        <v>0</v>
      </c>
      <c r="W122" s="55">
        <f>IF(W121&gt;Y121,IF(X156=AK92,1,IF(X156=AK92-1,1,0)),0)</f>
        <v>1</v>
      </c>
      <c r="X122" s="55">
        <f>W122+Y122</f>
        <v>1</v>
      </c>
      <c r="Y122" s="60">
        <f>IF(Y121&gt;W121,IF(X156=AK92,1,IF(X156=AK92-1,1,0)),0)</f>
        <v>0</v>
      </c>
      <c r="Z122" s="55">
        <f>IF(Z121&gt;AB121,IF(AA156=AK92,1,IF(AA156=AK92-1,1,0)),0)</f>
        <v>0</v>
      </c>
      <c r="AA122" s="55">
        <f>Z122+AB122</f>
        <v>1</v>
      </c>
      <c r="AB122" s="60">
        <f>IF(AB121&gt;Z121,IF(AA156=AK92,1,IF(AA156=AK92-1,1,0)),0)</f>
        <v>1</v>
      </c>
      <c r="AC122" s="55">
        <f>IF(AC121&gt;AE121,IF(AD156=AK92,1,IF(AD156=AK92-1,1,0)),0)</f>
        <v>0</v>
      </c>
      <c r="AD122" s="55">
        <f>AC122+AE122</f>
        <v>0</v>
      </c>
      <c r="AE122" s="60">
        <f>IF(AE121&gt;AC121,IF(AD156=AK92,1,IF(AD156=AK92-1,1,0)),0)</f>
        <v>0</v>
      </c>
      <c r="AW122" s="58"/>
    </row>
    <row r="123" spans="1:49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  <c r="AW123" s="58"/>
    </row>
    <row r="124" spans="1:49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0</v>
      </c>
      <c r="G124" s="60">
        <f t="shared" ref="G124:H128" si="12">IF(G116=1,G110,0)</f>
        <v>25</v>
      </c>
      <c r="H124" s="55">
        <f t="shared" si="12"/>
        <v>0</v>
      </c>
      <c r="J124" s="60">
        <f t="shared" ref="J124:K128" si="13">IF(J116=1,J110,0)</f>
        <v>25</v>
      </c>
      <c r="K124" s="55">
        <f t="shared" si="13"/>
        <v>25</v>
      </c>
      <c r="M124" s="60">
        <f t="shared" ref="M124:N128" si="14">IF(M116=1,M110,0)</f>
        <v>0</v>
      </c>
      <c r="N124" s="55">
        <f t="shared" si="14"/>
        <v>25</v>
      </c>
      <c r="P124" s="60">
        <f t="shared" ref="P124:Q128" si="15">IF(P116=1,P110,0)</f>
        <v>0</v>
      </c>
      <c r="Q124" s="55">
        <f t="shared" si="15"/>
        <v>0</v>
      </c>
      <c r="S124" s="60">
        <f t="shared" ref="S124:T128" si="16">IF(S116=1,S110,0)</f>
        <v>27</v>
      </c>
      <c r="T124" s="55">
        <f t="shared" si="16"/>
        <v>26</v>
      </c>
      <c r="V124" s="60">
        <f t="shared" ref="V124:W128" si="17">IF(V116=1,V110,0)</f>
        <v>0</v>
      </c>
      <c r="W124" s="55">
        <f t="shared" si="17"/>
        <v>25</v>
      </c>
      <c r="Y124" s="60">
        <f t="shared" ref="Y124:Z128" si="18">IF(Y116=1,Y110,0)</f>
        <v>0</v>
      </c>
      <c r="Z124" s="55">
        <f t="shared" si="18"/>
        <v>0</v>
      </c>
      <c r="AB124" s="60">
        <f t="shared" ref="AB124:AC128" si="19">IF(AB116=1,AB110,0)</f>
        <v>25</v>
      </c>
      <c r="AC124" s="55">
        <f t="shared" si="19"/>
        <v>25</v>
      </c>
      <c r="AE124" s="60">
        <f>IF(AE116=1,AE110,0)</f>
        <v>0</v>
      </c>
      <c r="AW124" s="58"/>
    </row>
    <row r="125" spans="1:49" s="55" customFormat="1" ht="12.75" hidden="1" customHeight="1" x14ac:dyDescent="0.2">
      <c r="A125" s="55" t="s">
        <v>89</v>
      </c>
      <c r="B125" s="55">
        <f>IF(B117=1,B111,0)</f>
        <v>25</v>
      </c>
      <c r="D125" s="60">
        <f t="shared" si="11"/>
        <v>0</v>
      </c>
      <c r="E125" s="55">
        <f t="shared" si="11"/>
        <v>0</v>
      </c>
      <c r="G125" s="60">
        <f t="shared" si="12"/>
        <v>25</v>
      </c>
      <c r="H125" s="55">
        <f t="shared" si="12"/>
        <v>0</v>
      </c>
      <c r="J125" s="60">
        <f t="shared" si="13"/>
        <v>25</v>
      </c>
      <c r="K125" s="55">
        <f t="shared" si="13"/>
        <v>25</v>
      </c>
      <c r="M125" s="60">
        <f t="shared" si="14"/>
        <v>0</v>
      </c>
      <c r="N125" s="55">
        <f t="shared" si="14"/>
        <v>0</v>
      </c>
      <c r="P125" s="60">
        <f t="shared" si="15"/>
        <v>25</v>
      </c>
      <c r="Q125" s="55">
        <f t="shared" si="15"/>
        <v>25</v>
      </c>
      <c r="S125" s="60">
        <f t="shared" si="16"/>
        <v>0</v>
      </c>
      <c r="T125" s="55">
        <f t="shared" si="16"/>
        <v>25</v>
      </c>
      <c r="V125" s="60">
        <f t="shared" si="17"/>
        <v>0</v>
      </c>
      <c r="W125" s="55">
        <f t="shared" si="17"/>
        <v>25</v>
      </c>
      <c r="Y125" s="60">
        <f t="shared" si="18"/>
        <v>0</v>
      </c>
      <c r="Z125" s="55">
        <f t="shared" si="18"/>
        <v>0</v>
      </c>
      <c r="AB125" s="60">
        <f t="shared" si="19"/>
        <v>25</v>
      </c>
      <c r="AC125" s="55">
        <f t="shared" si="19"/>
        <v>0</v>
      </c>
      <c r="AE125" s="60">
        <f>IF(AE117=1,AE111,0)</f>
        <v>25</v>
      </c>
      <c r="AW125" s="58"/>
    </row>
    <row r="126" spans="1:49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  <c r="AW126" s="58"/>
    </row>
    <row r="127" spans="1:49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  <c r="AW127" s="58"/>
    </row>
    <row r="128" spans="1:49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  <c r="AW128" s="58"/>
    </row>
    <row r="129" spans="1:49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50</v>
      </c>
      <c r="G129" s="60"/>
      <c r="H129" s="55">
        <f>SUM(H124:J128)</f>
        <v>50</v>
      </c>
      <c r="J129" s="60"/>
      <c r="K129" s="55">
        <f>SUM(K124:M128)</f>
        <v>50</v>
      </c>
      <c r="M129" s="60"/>
      <c r="N129" s="55">
        <f>SUM(N124:P128)</f>
        <v>50</v>
      </c>
      <c r="P129" s="60"/>
      <c r="Q129" s="55">
        <f>SUM(Q124:S128)</f>
        <v>52</v>
      </c>
      <c r="S129" s="60"/>
      <c r="T129" s="55">
        <f>SUM(T124:V128)</f>
        <v>51</v>
      </c>
      <c r="V129" s="60"/>
      <c r="W129" s="55">
        <f>SUM(W124:Y128)</f>
        <v>50</v>
      </c>
      <c r="Y129" s="60"/>
      <c r="Z129" s="55">
        <f>SUM(Z124:AB128)</f>
        <v>50</v>
      </c>
      <c r="AB129" s="60"/>
      <c r="AC129" s="55">
        <f>SUM(AC124:AE128)</f>
        <v>50</v>
      </c>
      <c r="AE129" s="60"/>
      <c r="AW129" s="58"/>
    </row>
    <row r="130" spans="1:49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  <c r="AW130" s="58"/>
    </row>
    <row r="131" spans="1:49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0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0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1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1</v>
      </c>
      <c r="AG131" s="55">
        <f>AF137-AF131</f>
        <v>1</v>
      </c>
      <c r="AW131" s="58"/>
    </row>
    <row r="132" spans="1:49" s="55" customFormat="1" ht="12.75" hidden="1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1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1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3</v>
      </c>
      <c r="AG132" s="55">
        <f>AF138-AF132</f>
        <v>0</v>
      </c>
      <c r="AW132" s="58"/>
    </row>
    <row r="133" spans="1:49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0</v>
      </c>
      <c r="AG133" s="55">
        <f>AF139-AF133</f>
        <v>3</v>
      </c>
      <c r="AW133" s="58"/>
    </row>
    <row r="134" spans="1:49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1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1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2</v>
      </c>
      <c r="AG134" s="55">
        <f>AF140-AF134</f>
        <v>1</v>
      </c>
      <c r="AW134" s="58"/>
    </row>
    <row r="135" spans="1:49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1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1</v>
      </c>
      <c r="AG135" s="55">
        <f>AF141-AF135</f>
        <v>2</v>
      </c>
      <c r="AW135" s="58"/>
    </row>
    <row r="136" spans="1:49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  <c r="AW136" s="58"/>
    </row>
    <row r="137" spans="1:49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0</v>
      </c>
      <c r="M137" s="60">
        <f>IF(M109=1,IF(L122=1,1,0),0)</f>
        <v>0</v>
      </c>
      <c r="N137" s="55">
        <f>IF(N109=1,IF(O122=1,1,0),0)</f>
        <v>0</v>
      </c>
      <c r="P137" s="60">
        <f>IF(P109=1,IF(O122=1,1,0),0)</f>
        <v>0</v>
      </c>
      <c r="Q137" s="55">
        <f>IF(Q109=1,IF(R122=1,1,0),0)</f>
        <v>0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1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0</v>
      </c>
      <c r="AE137" s="60">
        <f>IF(AE109=1,IF(AD122=1,1,0),0)</f>
        <v>0</v>
      </c>
      <c r="AF137" s="55">
        <f>SUM(B137:AE137)</f>
        <v>2</v>
      </c>
      <c r="AW137" s="58"/>
    </row>
    <row r="138" spans="1:49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0</v>
      </c>
      <c r="K138" s="55">
        <f>IF(K109=2,IF(L122=1,1,0),0)</f>
        <v>1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0</v>
      </c>
      <c r="T138" s="55">
        <f>IF(T109=2,IF(U122=1,1,0),0)</f>
        <v>1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0</v>
      </c>
      <c r="AF138" s="55">
        <f>SUM(B138:AE138)</f>
        <v>3</v>
      </c>
      <c r="AW138" s="58"/>
    </row>
    <row r="139" spans="1:49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0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1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0</v>
      </c>
      <c r="N139" s="55">
        <f>IF(N109=3,IF(O122=1,1,0),0)</f>
        <v>0</v>
      </c>
      <c r="P139" s="60">
        <f>IF(P109=3,IF(O122=1,1,0),0)</f>
        <v>0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1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1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3</v>
      </c>
      <c r="AW139" s="58"/>
    </row>
    <row r="140" spans="1:49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1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0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1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3</v>
      </c>
      <c r="AW140" s="58"/>
    </row>
    <row r="141" spans="1:49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1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1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0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1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3</v>
      </c>
      <c r="AW141" s="58"/>
    </row>
    <row r="142" spans="1:49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  <c r="AW142" s="58"/>
    </row>
    <row r="143" spans="1:49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0</v>
      </c>
      <c r="M143" s="60">
        <f>IF(M109=1,K129,0)</f>
        <v>0</v>
      </c>
      <c r="N143" s="55">
        <f>IF(N109=1,N129,0)</f>
        <v>50</v>
      </c>
      <c r="P143" s="60">
        <f>IF(P109=1,N129,0)</f>
        <v>0</v>
      </c>
      <c r="Q143" s="55">
        <f>IF(Q109=1,Q129,0)</f>
        <v>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50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50</v>
      </c>
      <c r="AE143" s="60">
        <f>IF(AE109=1,AC129,0)</f>
        <v>0</v>
      </c>
      <c r="AF143" s="55">
        <f>SUM(B143:AE143)</f>
        <v>200</v>
      </c>
      <c r="AW143" s="58"/>
    </row>
    <row r="144" spans="1:49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0</v>
      </c>
      <c r="J144" s="60">
        <f>IF(J109=2,H129,0)</f>
        <v>0</v>
      </c>
      <c r="K144" s="55">
        <f>IF(K109=2,K129,0)</f>
        <v>50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0</v>
      </c>
      <c r="T144" s="55">
        <f>IF(T109=2,T129,0)</f>
        <v>51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50</v>
      </c>
      <c r="AF144" s="55">
        <f>SUM(B144:AE144)</f>
        <v>201</v>
      </c>
      <c r="AW144" s="58"/>
    </row>
    <row r="145" spans="1:49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0</v>
      </c>
      <c r="E145" s="55">
        <f>IF(E109=3,E129,0)</f>
        <v>0</v>
      </c>
      <c r="G145" s="60">
        <f>IF(G109=3,E129,0)</f>
        <v>0</v>
      </c>
      <c r="H145" s="55">
        <f>IF(H109=3,H129,0)</f>
        <v>50</v>
      </c>
      <c r="J145" s="60">
        <f>IF(J109=3,H129,0)</f>
        <v>0</v>
      </c>
      <c r="K145" s="55">
        <f>IF(K109=3,K129,0)</f>
        <v>0</v>
      </c>
      <c r="M145" s="60">
        <f>IF(M109=3,K129,0)</f>
        <v>0</v>
      </c>
      <c r="N145" s="55">
        <f>IF(N109=3,N129,0)</f>
        <v>0</v>
      </c>
      <c r="P145" s="60">
        <f>IF(P109=3,N129,0)</f>
        <v>50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51</v>
      </c>
      <c r="W145" s="55">
        <f>IF(W109=3,W129,0)</f>
        <v>0</v>
      </c>
      <c r="Y145" s="60">
        <f>IF(Y109=3,W129,0)</f>
        <v>0</v>
      </c>
      <c r="Z145" s="55">
        <f>IF(Z109=3,Z129,0)</f>
        <v>50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201</v>
      </c>
      <c r="AW145" s="58"/>
    </row>
    <row r="146" spans="1:49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50</v>
      </c>
      <c r="N146" s="55">
        <f>IF(N109=4,N129,0)</f>
        <v>0</v>
      </c>
      <c r="P146" s="60">
        <f>IF(P109=4,N129,0)</f>
        <v>0</v>
      </c>
      <c r="Q146" s="55">
        <f>IF(Q109=4,Q129,0)</f>
        <v>52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50</v>
      </c>
      <c r="AC146" s="55">
        <f>IF(AC109=4,AC129,0)</f>
        <v>0</v>
      </c>
      <c r="AE146" s="60">
        <f>IF(AE109=4,AC129,0)</f>
        <v>0</v>
      </c>
      <c r="AF146" s="55">
        <f>SUM(B146:AE146)</f>
        <v>202</v>
      </c>
      <c r="AW146" s="58"/>
    </row>
    <row r="147" spans="1:49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50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50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52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50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202</v>
      </c>
      <c r="AW147" s="58"/>
    </row>
    <row r="148" spans="1:49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  <c r="AW148" s="58"/>
    </row>
    <row r="149" spans="1:49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0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1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2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1</v>
      </c>
      <c r="AE149" s="60">
        <f>IF(AE109=1,SUMIF(AE116:AE120,"&gt;0"),0)</f>
        <v>0</v>
      </c>
      <c r="AF149" s="55">
        <f>SUM(B149:AE149)</f>
        <v>4</v>
      </c>
      <c r="AG149" s="55">
        <f>AF157-AF149</f>
        <v>4</v>
      </c>
      <c r="AW149" s="58"/>
    </row>
    <row r="150" spans="1:49" s="55" customFormat="1" ht="12.75" hidden="1" customHeight="1" x14ac:dyDescent="0.2">
      <c r="A150" s="55" t="s">
        <v>98</v>
      </c>
      <c r="B150" s="55">
        <f>IF(B109=2,SUMIF(B116:B120,"&gt;0"),0)</f>
        <v>2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2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2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1</v>
      </c>
      <c r="AF150" s="55">
        <f>SUM(B150:AE150)</f>
        <v>7</v>
      </c>
      <c r="AG150" s="55">
        <f>AF158-AF150</f>
        <v>1</v>
      </c>
      <c r="AW150" s="58"/>
    </row>
    <row r="151" spans="1:49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0</v>
      </c>
      <c r="P151" s="60">
        <f>IF(P109=3,SUMIF(P116:P120,"&gt;0"),0)</f>
        <v>1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0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1</v>
      </c>
      <c r="AG151" s="55">
        <f>AF159-AF151</f>
        <v>7</v>
      </c>
      <c r="AW151" s="58"/>
    </row>
    <row r="152" spans="1:49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2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1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2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5</v>
      </c>
      <c r="AG152" s="55">
        <f>AF160-AF152</f>
        <v>3</v>
      </c>
      <c r="AW152" s="58"/>
    </row>
    <row r="153" spans="1:49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2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1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3</v>
      </c>
      <c r="AG153" s="55">
        <f>AF161-AF153</f>
        <v>5</v>
      </c>
      <c r="AW153" s="58"/>
    </row>
    <row r="154" spans="1:49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  <c r="AW154" s="58"/>
    </row>
    <row r="155" spans="1:49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  <c r="AW155" s="58"/>
    </row>
    <row r="156" spans="1:49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2</v>
      </c>
      <c r="V156" s="60"/>
      <c r="X156" s="55">
        <f>SUMIF(W149:Y153,"&gt;0")</f>
        <v>2</v>
      </c>
      <c r="Y156" s="60"/>
      <c r="AA156" s="55">
        <f>SUMIF(Z149:AB153,"&gt;0")</f>
        <v>2</v>
      </c>
      <c r="AB156" s="60"/>
      <c r="AD156" s="55">
        <f>SUMIF(AC149:AE153,"&gt;0")</f>
        <v>2</v>
      </c>
      <c r="AE156" s="60"/>
      <c r="AF156" s="59" t="s">
        <v>113</v>
      </c>
      <c r="AW156" s="58"/>
    </row>
    <row r="157" spans="1:49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0</v>
      </c>
      <c r="M157" s="60">
        <f>IF(M109=1,L156,0)</f>
        <v>0</v>
      </c>
      <c r="N157" s="55">
        <f>IF(N109=1,O156,0)</f>
        <v>2</v>
      </c>
      <c r="P157" s="60">
        <f>IF(P109=1,O156,0)</f>
        <v>0</v>
      </c>
      <c r="Q157" s="55">
        <f>IF(Q109=1,R156,0)</f>
        <v>0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2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2</v>
      </c>
      <c r="AE157" s="60">
        <f>IF(AE109=1,AD156,0)</f>
        <v>0</v>
      </c>
      <c r="AF157" s="55">
        <f>SUM(B157:AE157)</f>
        <v>8</v>
      </c>
      <c r="AW157" s="58"/>
    </row>
    <row r="158" spans="1:49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0</v>
      </c>
      <c r="J158" s="60">
        <f>IF(J109=2,I156,0)</f>
        <v>0</v>
      </c>
      <c r="K158" s="55">
        <f>IF(K109=2,L156,0)</f>
        <v>2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0</v>
      </c>
      <c r="T158" s="55">
        <f>IF(T109=2,U156,0)</f>
        <v>2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2</v>
      </c>
      <c r="AF158" s="55">
        <f>SUM(B158:AE158)</f>
        <v>8</v>
      </c>
      <c r="AW158" s="58"/>
    </row>
    <row r="159" spans="1:49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0</v>
      </c>
      <c r="E159" s="55">
        <f>IF(E109=3,F156,0)</f>
        <v>0</v>
      </c>
      <c r="G159" s="60">
        <f>IF(G109=3,F156,0)</f>
        <v>0</v>
      </c>
      <c r="H159" s="55">
        <f>IF(H109=3,I156,0)</f>
        <v>2</v>
      </c>
      <c r="J159" s="60">
        <f>IF(J109=3,I156,0)</f>
        <v>0</v>
      </c>
      <c r="K159" s="55">
        <f>IF(K109=3,L156,0)</f>
        <v>0</v>
      </c>
      <c r="M159" s="60">
        <f>IF(M109=3,L156,0)</f>
        <v>0</v>
      </c>
      <c r="N159" s="55">
        <f>IF(N109=3,O156,0)</f>
        <v>0</v>
      </c>
      <c r="P159" s="60">
        <f>IF(P109=3,O156,0)</f>
        <v>2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2</v>
      </c>
      <c r="W159" s="55">
        <f>IF(W109=3,X156,0)</f>
        <v>0</v>
      </c>
      <c r="Y159" s="60">
        <f>IF(Y109=3,X156,0)</f>
        <v>0</v>
      </c>
      <c r="Z159" s="55">
        <f>IF(Z109=3,AA156,0)</f>
        <v>2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8</v>
      </c>
      <c r="AW159" s="58"/>
    </row>
    <row r="160" spans="1:49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2</v>
      </c>
      <c r="N160" s="55">
        <f>IF(N109=4,O156,0)</f>
        <v>0</v>
      </c>
      <c r="P160" s="60">
        <f>IF(P109=4,O156,0)</f>
        <v>0</v>
      </c>
      <c r="Q160" s="55">
        <f>IF(Q109=4,R156,0)</f>
        <v>2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2</v>
      </c>
      <c r="AC160" s="55">
        <f>IF(AC109=4,AD156,0)</f>
        <v>0</v>
      </c>
      <c r="AE160" s="60">
        <f>IF(AE109=4,AD156,0)</f>
        <v>0</v>
      </c>
      <c r="AF160" s="55">
        <f>SUM(B160:AE160)</f>
        <v>8</v>
      </c>
      <c r="AW160" s="58"/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2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2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2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2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8</v>
      </c>
      <c r="AW161" s="58"/>
    </row>
    <row r="162" spans="1:54" hidden="1" x14ac:dyDescent="0.2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2"/>
      <c r="AO162" s="62"/>
      <c r="AP162" s="62"/>
      <c r="AQ162" s="62"/>
      <c r="AR162" s="63"/>
      <c r="AS162" s="63"/>
      <c r="AT162" s="63"/>
      <c r="AU162" s="63"/>
      <c r="AV162" s="63"/>
      <c r="BB162" s="54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TEV 12 Tori</v>
      </c>
      <c r="C164" s="67">
        <f>VLOOKUP(B164,AU$3:AY$12,3,FALSE)</f>
        <v>1400</v>
      </c>
      <c r="D164" s="67">
        <f>IF(B157,B172,IF(D157,D172,C164))</f>
        <v>1400</v>
      </c>
      <c r="E164" s="67"/>
      <c r="F164" s="67"/>
      <c r="G164" s="67">
        <f>IF(E157,E172,IF(G157,G172,D164))</f>
        <v>1365.0887718320409</v>
      </c>
      <c r="H164" s="67"/>
      <c r="I164" s="67"/>
      <c r="J164" s="67">
        <f>IF(H157,H172,IF(J157,J172,G164))</f>
        <v>1365.0887718320409</v>
      </c>
      <c r="K164" s="67"/>
      <c r="L164" s="67"/>
      <c r="M164" s="67">
        <f>IF(K157,K172,IF(M157,M172,J164))</f>
        <v>1365.0887718320409</v>
      </c>
      <c r="N164" s="67"/>
      <c r="O164" s="67"/>
      <c r="P164" s="67">
        <f>IF(N157,N172,IF(P157,P172,M164))</f>
        <v>1362.3027985062074</v>
      </c>
      <c r="Q164" s="67"/>
      <c r="R164" s="67"/>
      <c r="S164" s="67">
        <f>IF(Q157,Q172,IF(S157,S172,P164))</f>
        <v>1362.3027985062074</v>
      </c>
      <c r="T164" s="67"/>
      <c r="U164" s="67"/>
      <c r="V164" s="67">
        <f>IF(T157,T172,IF(V157,V172,S164))</f>
        <v>1362.3027985062074</v>
      </c>
      <c r="W164" s="67"/>
      <c r="X164" s="67"/>
      <c r="Y164" s="67">
        <f>IF(W157,W172,IF(Y157,Y172,V164))</f>
        <v>1392.1488419160753</v>
      </c>
      <c r="Z164" s="67"/>
      <c r="AA164" s="67"/>
      <c r="AB164" s="67">
        <f>IF(Z157,Z172,IF(AB157,AB172,Y164))</f>
        <v>1392.1488419160753</v>
      </c>
      <c r="AC164" s="67"/>
      <c r="AD164" s="67"/>
      <c r="AE164" s="67">
        <f>IF(AC157,AC172,IF(AE157,AE172,AB164))</f>
        <v>1399.7657168979335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TEV 12 Tori</v>
      </c>
      <c r="AU164" s="63">
        <f>AE164</f>
        <v>1399.7657168979335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Gaston Galaxy VBC 12</v>
      </c>
      <c r="C165" s="67">
        <f>VLOOKUP(B165,AU$3:AY$12,3,FALSE)</f>
        <v>1400</v>
      </c>
      <c r="D165" s="67">
        <f>IF(B158,B172,IF(D158,D172,C165))</f>
        <v>1424.8706572443068</v>
      </c>
      <c r="E165" s="67"/>
      <c r="F165" s="67"/>
      <c r="G165" s="67">
        <f>IF(E158,E172,IF(G158,G172,D165))</f>
        <v>1424.8706572443068</v>
      </c>
      <c r="H165" s="67"/>
      <c r="I165" s="67"/>
      <c r="J165" s="67">
        <f>IF(H158,H172,IF(J158,J172,G165))</f>
        <v>1424.8706572443068</v>
      </c>
      <c r="K165" s="67"/>
      <c r="L165" s="67"/>
      <c r="M165" s="67">
        <f>IF(K158,K172,IF(M158,M172,J165))</f>
        <v>1454.8787068579334</v>
      </c>
      <c r="N165" s="67"/>
      <c r="O165" s="67"/>
      <c r="P165" s="67">
        <f>IF(N158,N172,IF(P158,P172,M165))</f>
        <v>1454.8787068579334</v>
      </c>
      <c r="Q165" s="67"/>
      <c r="R165" s="67"/>
      <c r="S165" s="67">
        <f>IF(Q158,Q172,IF(S158,S172,P165))</f>
        <v>1454.8787068579334</v>
      </c>
      <c r="T165" s="67"/>
      <c r="U165" s="67"/>
      <c r="V165" s="67">
        <f>IF(T158,T172,IF(V158,V172,S165))</f>
        <v>1476.4651817472609</v>
      </c>
      <c r="W165" s="67"/>
      <c r="X165" s="67"/>
      <c r="Y165" s="67">
        <f>IF(W158,W172,IF(Y158,Y172,V165))</f>
        <v>1476.4651817472609</v>
      </c>
      <c r="Z165" s="67"/>
      <c r="AA165" s="67"/>
      <c r="AB165" s="67">
        <f>IF(Z158,Z172,IF(AB158,AB172,Y165))</f>
        <v>1476.4651817472609</v>
      </c>
      <c r="AC165" s="67"/>
      <c r="AD165" s="67"/>
      <c r="AE165" s="67">
        <f>IF(AC158,AC172,IF(AE158,AE172,AB165))</f>
        <v>1468.8483067654026</v>
      </c>
      <c r="AF165" s="4"/>
      <c r="AG165" s="4"/>
      <c r="AJ165" s="4"/>
      <c r="AL165" s="4"/>
      <c r="AM165" s="4"/>
      <c r="AN165" s="4"/>
      <c r="AO165" s="4"/>
      <c r="AT165" s="63" t="str">
        <f>B165</f>
        <v>Gaston Galaxy VBC 12</v>
      </c>
      <c r="AU165" s="63">
        <f>AE165</f>
        <v>1468.8483067654026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CSRA Heat 12 Black</v>
      </c>
      <c r="C166" s="67">
        <f>VLOOKUP(B166,AU$3:AY$12,3,FALSE)</f>
        <v>1373.7743082657332</v>
      </c>
      <c r="D166" s="67">
        <f>IF(B159,B172,IF(D159,D172,C166))</f>
        <v>1373.7743082657332</v>
      </c>
      <c r="E166" s="67"/>
      <c r="F166" s="67"/>
      <c r="G166" s="67">
        <f>IF(E159,E172,IF(G159,G172,D166))</f>
        <v>1373.7743082657332</v>
      </c>
      <c r="H166" s="67"/>
      <c r="I166" s="67"/>
      <c r="J166" s="67">
        <f>IF(H159,H172,IF(J159,J172,G166))</f>
        <v>1334.7636765780157</v>
      </c>
      <c r="K166" s="67"/>
      <c r="L166" s="67"/>
      <c r="M166" s="67">
        <f>IF(K159,K172,IF(M159,M172,J166))</f>
        <v>1334.7636765780157</v>
      </c>
      <c r="N166" s="67"/>
      <c r="O166" s="67"/>
      <c r="P166" s="67">
        <f>IF(N159,N172,IF(P159,P172,M166))</f>
        <v>1337.5496499038493</v>
      </c>
      <c r="Q166" s="67"/>
      <c r="R166" s="67"/>
      <c r="S166" s="67">
        <f>IF(Q159,Q172,IF(S159,S172,P166))</f>
        <v>1337.5496499038493</v>
      </c>
      <c r="T166" s="67"/>
      <c r="U166" s="67"/>
      <c r="V166" s="67">
        <f>IF(T159,T172,IF(V159,V172,S166))</f>
        <v>1315.9631750145218</v>
      </c>
      <c r="W166" s="67"/>
      <c r="X166" s="67"/>
      <c r="Y166" s="67">
        <f>IF(W159,W172,IF(Y159,Y172,V166))</f>
        <v>1315.9631750145218</v>
      </c>
      <c r="Z166" s="67"/>
      <c r="AA166" s="67"/>
      <c r="AB166" s="67">
        <f>IF(Z159,Z172,IF(AB159,AB172,Y166))</f>
        <v>1288.8770288740386</v>
      </c>
      <c r="AC166" s="67"/>
      <c r="AD166" s="67"/>
      <c r="AE166" s="67">
        <f>IF(AC159,AC172,IF(AE159,AE172,AB166))</f>
        <v>1288.8770288740386</v>
      </c>
      <c r="AF166" s="4"/>
      <c r="AG166" s="4"/>
      <c r="AJ166" s="4"/>
      <c r="AL166" s="4"/>
      <c r="AM166" s="4"/>
      <c r="AN166" s="4"/>
      <c r="AO166" s="4"/>
      <c r="AT166" s="63" t="str">
        <f>B166</f>
        <v>CSRA Heat 12 Black</v>
      </c>
      <c r="AU166" s="63">
        <f>AE166</f>
        <v>1288.8770288740386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Intense 12 Rock hill</v>
      </c>
      <c r="C167" s="67">
        <f>VLOOKUP(B167,AU$3:AY$12,3,FALSE)</f>
        <v>1368.3041030693962</v>
      </c>
      <c r="D167" s="67">
        <f>IF(B160,B172,IF(D160,D172,C167))</f>
        <v>1368.3041030693962</v>
      </c>
      <c r="E167" s="67"/>
      <c r="F167" s="67"/>
      <c r="G167" s="67">
        <f>IF(E160,E172,IF(G160,G172,D167))</f>
        <v>1403.2153312373553</v>
      </c>
      <c r="H167" s="67"/>
      <c r="I167" s="67"/>
      <c r="J167" s="67">
        <f>IF(H160,H172,IF(J160,J172,G167))</f>
        <v>1403.2153312373553</v>
      </c>
      <c r="K167" s="67"/>
      <c r="L167" s="67"/>
      <c r="M167" s="67">
        <f>IF(K160,K172,IF(M160,M172,J167))</f>
        <v>1373.2072816237287</v>
      </c>
      <c r="N167" s="67"/>
      <c r="O167" s="67"/>
      <c r="P167" s="67">
        <f>IF(N160,N172,IF(P160,P172,M167))</f>
        <v>1373.2072816237287</v>
      </c>
      <c r="Q167" s="67"/>
      <c r="R167" s="67"/>
      <c r="S167" s="67">
        <f>IF(Q160,Q172,IF(S160,S172,P167))</f>
        <v>1369.7400434969616</v>
      </c>
      <c r="T167" s="67"/>
      <c r="U167" s="67"/>
      <c r="V167" s="67">
        <f>IF(T160,T172,IF(V160,V172,S167))</f>
        <v>1369.7400434969616</v>
      </c>
      <c r="W167" s="67"/>
      <c r="X167" s="67"/>
      <c r="Y167" s="67">
        <f>IF(W160,W172,IF(Y160,Y172,V167))</f>
        <v>1369.7400434969616</v>
      </c>
      <c r="Z167" s="67"/>
      <c r="AA167" s="67"/>
      <c r="AB167" s="67">
        <f>IF(Z160,Z172,IF(AB160,AB172,Y167))</f>
        <v>1396.8261896374447</v>
      </c>
      <c r="AC167" s="67"/>
      <c r="AD167" s="67"/>
      <c r="AE167" s="67">
        <f>IF(AC160,AC172,IF(AE160,AE172,AB167))</f>
        <v>1396.8261896374447</v>
      </c>
      <c r="AF167" s="4"/>
      <c r="AG167" s="4"/>
      <c r="AJ167" s="4"/>
      <c r="AL167" s="4"/>
      <c r="AM167" s="4"/>
      <c r="AN167" s="4"/>
      <c r="AO167" s="4"/>
      <c r="AT167" s="63" t="str">
        <f>B167</f>
        <v>Intense 12 Rock hill</v>
      </c>
      <c r="AU167" s="63">
        <f>AE167</f>
        <v>1396.8261896374447</v>
      </c>
      <c r="AW167" s="66"/>
      <c r="BB167" s="66"/>
    </row>
    <row r="168" spans="1:54" s="63" customFormat="1" hidden="1" x14ac:dyDescent="0.2">
      <c r="A168" s="67">
        <v>5</v>
      </c>
      <c r="B168" s="67" t="str">
        <f>E101</f>
        <v>SC Midlands 12 Garnet</v>
      </c>
      <c r="C168" s="67">
        <f>VLOOKUP(B168,AU$3:AY$12,3,FALSE)</f>
        <v>1321.2738836240517</v>
      </c>
      <c r="D168" s="67">
        <f>IF(B161,B172,IF(D161,D172,C168))</f>
        <v>1296.4032263797449</v>
      </c>
      <c r="E168" s="67"/>
      <c r="F168" s="67"/>
      <c r="G168" s="67">
        <f>IF(E161,E172,IF(G161,G172,D168))</f>
        <v>1296.4032263797449</v>
      </c>
      <c r="H168" s="67"/>
      <c r="I168" s="67"/>
      <c r="J168" s="67">
        <f>IF(H161,H172,IF(J161,J172,G168))</f>
        <v>1335.4138580674623</v>
      </c>
      <c r="K168" s="67"/>
      <c r="L168" s="67"/>
      <c r="M168" s="67">
        <f>IF(K161,K172,IF(M161,M172,J168))</f>
        <v>1335.4138580674623</v>
      </c>
      <c r="N168" s="67"/>
      <c r="O168" s="67"/>
      <c r="P168" s="67">
        <f>IF(N161,N172,IF(P161,P172,M168))</f>
        <v>1335.4138580674623</v>
      </c>
      <c r="Q168" s="67"/>
      <c r="R168" s="67"/>
      <c r="S168" s="67">
        <f>IF(Q161,Q172,IF(S161,S172,P168))</f>
        <v>1338.8810961942295</v>
      </c>
      <c r="T168" s="67"/>
      <c r="U168" s="67"/>
      <c r="V168" s="67">
        <f>IF(T161,T172,IF(V161,V172,S168))</f>
        <v>1338.8810961942295</v>
      </c>
      <c r="W168" s="67"/>
      <c r="X168" s="67"/>
      <c r="Y168" s="67">
        <f>IF(W161,W172,IF(Y161,Y172,V168))</f>
        <v>1309.0350527843616</v>
      </c>
      <c r="Z168" s="67"/>
      <c r="AA168" s="67"/>
      <c r="AB168" s="67">
        <f>IF(Z161,Z172,IF(AB161,AB172,Y168))</f>
        <v>1309.0350527843616</v>
      </c>
      <c r="AC168" s="67"/>
      <c r="AD168" s="67"/>
      <c r="AE168" s="67">
        <f>IF(AC161,AC172,IF(AE161,AE172,AB168))</f>
        <v>1309.0350527843616</v>
      </c>
      <c r="AF168" s="4"/>
      <c r="AG168" s="4"/>
      <c r="AJ168" s="4"/>
      <c r="AL168" s="4"/>
      <c r="AM168" s="4"/>
      <c r="AN168" s="4"/>
      <c r="AO168" s="4"/>
      <c r="AT168" s="63" t="str">
        <f>B168</f>
        <v>SC Midlands 12 Garnet</v>
      </c>
      <c r="AU168" s="63">
        <f>AE168</f>
        <v>1309.0350527843616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1400</v>
      </c>
      <c r="C170" s="67">
        <v>1</v>
      </c>
      <c r="D170" s="67">
        <f>VLOOKUP(D109,$A164:$AE168,3,FALSE)</f>
        <v>1321.2738836240517</v>
      </c>
      <c r="E170" s="67">
        <f>VLOOKUP(E109,$A164:$AE168,4,FALSE)</f>
        <v>1400</v>
      </c>
      <c r="F170" s="67">
        <v>2</v>
      </c>
      <c r="G170" s="67">
        <f>VLOOKUP(G109,$A164:$AE168,4,FALSE)</f>
        <v>1368.3041030693962</v>
      </c>
      <c r="H170" s="67">
        <f>VLOOKUP(H109,$A164:$AE168,7,FALSE)</f>
        <v>1373.7743082657332</v>
      </c>
      <c r="I170" s="67">
        <v>3</v>
      </c>
      <c r="J170" s="67">
        <f>VLOOKUP(J109,$A164:$AE168,7,FALSE)</f>
        <v>1296.4032263797449</v>
      </c>
      <c r="K170" s="67">
        <f>VLOOKUP(K109,$A164:$AE168,10,FALSE)</f>
        <v>1424.8706572443068</v>
      </c>
      <c r="L170" s="67">
        <v>4</v>
      </c>
      <c r="M170" s="67">
        <f>VLOOKUP(M109,$A164:$AE168,10,FALSE)</f>
        <v>1403.2153312373553</v>
      </c>
      <c r="N170" s="67">
        <f>VLOOKUP(N109,$A164:$AE168,13,FALSE)</f>
        <v>1365.0887718320409</v>
      </c>
      <c r="O170" s="67">
        <v>5</v>
      </c>
      <c r="P170" s="67">
        <f>VLOOKUP(P109,$A164:$AE168,13,FALSE)</f>
        <v>1334.7636765780157</v>
      </c>
      <c r="Q170" s="67">
        <f>VLOOKUP(Q109,$A164:$AE168,16,FALSE)</f>
        <v>1373.2072816237287</v>
      </c>
      <c r="R170" s="67">
        <v>6</v>
      </c>
      <c r="S170" s="67">
        <f>VLOOKUP(S109,$A164:$AE168,16,FALSE)</f>
        <v>1335.4138580674623</v>
      </c>
      <c r="T170" s="67">
        <f>VLOOKUP(T109,$A164:$AE168,19,FALSE)</f>
        <v>1454.8787068579334</v>
      </c>
      <c r="U170" s="67">
        <v>7</v>
      </c>
      <c r="V170" s="67">
        <f>VLOOKUP(V109,$A164:$AE168,19,FALSE)</f>
        <v>1337.5496499038493</v>
      </c>
      <c r="W170" s="67">
        <f>VLOOKUP(W109,$A164:$AE168,22,FALSE)</f>
        <v>1362.3027985062074</v>
      </c>
      <c r="X170" s="67">
        <v>8</v>
      </c>
      <c r="Y170" s="67">
        <f>VLOOKUP(Y109,$A164:$AE168,22,FALSE)</f>
        <v>1338.8810961942295</v>
      </c>
      <c r="Z170" s="67">
        <f>VLOOKUP(Z109,$A164:$AE168,25,FALSE)</f>
        <v>1315.9631750145218</v>
      </c>
      <c r="AA170" s="67">
        <v>9</v>
      </c>
      <c r="AB170" s="67">
        <f>VLOOKUP(AB109,$A164:$AE168,25,FALSE)</f>
        <v>1369.7400434969616</v>
      </c>
      <c r="AC170" s="67">
        <f>VLOOKUP(AC109,$A164:$AE168,28,FALSE)</f>
        <v>1392.1488419160753</v>
      </c>
      <c r="AD170" s="67">
        <v>10</v>
      </c>
      <c r="AE170" s="67">
        <f>VLOOKUP(AE109,$A164:$AE168,28,FALSE)</f>
        <v>1476.4651817472609</v>
      </c>
      <c r="AF170" s="4"/>
      <c r="AG170" s="61"/>
      <c r="AH170" s="61"/>
      <c r="AI170" s="61"/>
      <c r="AJ170" s="61"/>
      <c r="AK170" s="61"/>
      <c r="AL170" s="61"/>
      <c r="AM170" s="61"/>
      <c r="AN170" s="62"/>
      <c r="AO170" s="62"/>
      <c r="AP170" s="62"/>
      <c r="AQ170" s="62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1.2227919611154108</v>
      </c>
      <c r="C171" s="68"/>
      <c r="D171" s="68">
        <f>1/(1+(10^-((D170-B170)/400)))*(B121+D121)</f>
        <v>0.77720803888458923</v>
      </c>
      <c r="E171" s="68">
        <f>1/(1+(10^-((E170-G170)/400)))*(E121+G121)</f>
        <v>1.0909758802487184</v>
      </c>
      <c r="F171" s="68"/>
      <c r="G171" s="68">
        <f>1/(1+(10^-((G170-E170)/400)))*(E121+G121)</f>
        <v>0.90902411975128161</v>
      </c>
      <c r="H171" s="68">
        <f>1/(1+(10^-((H170-J170)/400)))*(H121+J121)</f>
        <v>1.2190822402411701</v>
      </c>
      <c r="I171" s="68"/>
      <c r="J171" s="68">
        <f>1/(1+(10^-((J170-H170)/400)))*(H121+J121)</f>
        <v>0.78091775975883004</v>
      </c>
      <c r="K171" s="68">
        <f>1/(1+(10^-((K170-M170)/400)))*(K121+M121)</f>
        <v>1.0622484495741722</v>
      </c>
      <c r="L171" s="68"/>
      <c r="M171" s="68">
        <f>1/(1+(10^-((M170-K170)/400)))*(K121+M121)</f>
        <v>0.93775155042582781</v>
      </c>
      <c r="N171" s="68">
        <f>1/(1+(10^-((N170-P170)/400)))*(N121+P121)</f>
        <v>1.0870616664322963</v>
      </c>
      <c r="O171" s="68"/>
      <c r="P171" s="68">
        <f>1/(1+(10^-((P170-N170)/400)))*(N121+P121)</f>
        <v>0.91293833356770382</v>
      </c>
      <c r="Q171" s="68">
        <f>1/(1+(10^-((Q170-S170)/400)))*(Q121+S121)</f>
        <v>1.1083511914614705</v>
      </c>
      <c r="R171" s="68"/>
      <c r="S171" s="68">
        <f>1/(1+(10^-((S170-Q170)/400)))*(Q121+S121)</f>
        <v>0.89164880853852946</v>
      </c>
      <c r="T171" s="68">
        <f>1/(1+(10^-((T170-V170)/400)))*(T121+V121)</f>
        <v>1.3254226597085135</v>
      </c>
      <c r="U171" s="68"/>
      <c r="V171" s="68">
        <f>1/(1+(10^-((V170-T170)/400)))*(T121+V121)</f>
        <v>0.67457734029148664</v>
      </c>
      <c r="W171" s="68">
        <f>1/(1+(10^-((W170-Y170)/400)))*(W121+Y121)</f>
        <v>1.0673111434416256</v>
      </c>
      <c r="X171" s="68"/>
      <c r="Y171" s="68">
        <f>1/(1+(10^-((Y170-W170)/400)))*(W121+Y121)</f>
        <v>0.93268885655837441</v>
      </c>
      <c r="Z171" s="68">
        <f>1/(1+(10^-((Z170-AB170)/400)))*(Z121+AB121)</f>
        <v>0.84644206689009949</v>
      </c>
      <c r="AA171" s="68"/>
      <c r="AB171" s="68">
        <f>1/(1+(10^-((AB170-Z170)/400)))*(Z121+AB121)</f>
        <v>1.1535579331099004</v>
      </c>
      <c r="AC171" s="68">
        <f>1/(1+(10^-((AC170-AE170)/400)))*(AC121+AE121)</f>
        <v>0.76197265681692827</v>
      </c>
      <c r="AD171" s="68"/>
      <c r="AE171" s="68">
        <f>1/(1+(10^-((AE170-AC170)/400)))*(AC121+AE121)</f>
        <v>1.2380273431830717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1424.8706572443068</v>
      </c>
      <c r="C172" s="74"/>
      <c r="D172" s="74">
        <f>D170+(D121-D171)*$BA$1</f>
        <v>1296.4032263797449</v>
      </c>
      <c r="E172" s="74">
        <f>E170+(E121-E171)*$BA$1</f>
        <v>1365.0887718320409</v>
      </c>
      <c r="F172" s="74"/>
      <c r="G172" s="74">
        <f>G170+(G121-G171)*$BA$1</f>
        <v>1403.2153312373553</v>
      </c>
      <c r="H172" s="74">
        <f>H170+(H121-H171)*$BA$1</f>
        <v>1334.7636765780157</v>
      </c>
      <c r="I172" s="74"/>
      <c r="J172" s="74">
        <f>J170+(J121-J171)*$BA$1</f>
        <v>1335.4138580674623</v>
      </c>
      <c r="K172" s="74">
        <f>K170+(K121-K171)*$BA$1</f>
        <v>1454.8787068579334</v>
      </c>
      <c r="L172" s="74"/>
      <c r="M172" s="74">
        <f>M170+(M121-M171)*$BA$1</f>
        <v>1373.2072816237287</v>
      </c>
      <c r="N172" s="74">
        <f>N170+(N121-N171)*$BA$1</f>
        <v>1362.3027985062074</v>
      </c>
      <c r="O172" s="74"/>
      <c r="P172" s="74">
        <f>P170+(P121-P171)*$BA$1</f>
        <v>1337.5496499038493</v>
      </c>
      <c r="Q172" s="74">
        <f>Q170+(Q121-Q171)*$BA$1</f>
        <v>1369.7400434969616</v>
      </c>
      <c r="R172" s="74"/>
      <c r="S172" s="74">
        <f>S170+(S121-S171)*$BA$1</f>
        <v>1338.8810961942295</v>
      </c>
      <c r="T172" s="74">
        <f>T170+(T121-T171)*$BA$1</f>
        <v>1476.4651817472609</v>
      </c>
      <c r="U172" s="74"/>
      <c r="V172" s="74">
        <f>V170+(V121-V171)*$BA$1</f>
        <v>1315.9631750145218</v>
      </c>
      <c r="W172" s="74">
        <f>W170+(W121-W171)*$BA$1</f>
        <v>1392.1488419160753</v>
      </c>
      <c r="X172" s="74"/>
      <c r="Y172" s="74">
        <f>Y170+(Y121-Y171)*$BA$1</f>
        <v>1309.0350527843616</v>
      </c>
      <c r="Z172" s="74">
        <f>Z170+(Z121-Z171)*$BA$1</f>
        <v>1288.8770288740386</v>
      </c>
      <c r="AA172" s="74"/>
      <c r="AB172" s="74">
        <f>AB170+(AB121-AB171)*$BA$1</f>
        <v>1396.8261896374447</v>
      </c>
      <c r="AC172" s="74">
        <f>AC170+(AC121-AC171)*$BA$1</f>
        <v>1399.7657168979335</v>
      </c>
      <c r="AD172" s="74"/>
      <c r="AE172" s="74">
        <f>AE170+(AE121-AE171)*$BA$1</f>
        <v>1468.8483067654026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  <c r="AW174" s="66"/>
    </row>
    <row r="175" spans="1:54" s="63" customFormat="1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W175" s="66"/>
    </row>
    <row r="176" spans="1:54" ht="21" thickBot="1" x14ac:dyDescent="0.35">
      <c r="A176" s="345" t="s">
        <v>120</v>
      </c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</row>
    <row r="177" spans="1:53" ht="13.5" thickBot="1" x14ac:dyDescent="0.25">
      <c r="A177" s="346" t="s">
        <v>121</v>
      </c>
      <c r="B177" s="348" t="s">
        <v>122</v>
      </c>
      <c r="C177" s="349"/>
      <c r="D177" s="349"/>
      <c r="E177" s="349"/>
      <c r="F177" s="349"/>
      <c r="G177" s="349"/>
      <c r="H177" s="349"/>
      <c r="I177" s="349"/>
      <c r="J177" s="349"/>
      <c r="K177" s="350"/>
      <c r="L177" s="348" t="s">
        <v>123</v>
      </c>
      <c r="M177" s="349"/>
      <c r="N177" s="349"/>
      <c r="O177" s="349"/>
      <c r="P177" s="349"/>
      <c r="Q177" s="349"/>
      <c r="R177" s="349"/>
      <c r="S177" s="349"/>
      <c r="T177" s="349"/>
      <c r="U177" s="350"/>
      <c r="V177" s="348" t="s">
        <v>124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348" t="s">
        <v>125</v>
      </c>
      <c r="AG177" s="349"/>
      <c r="AH177" s="349"/>
      <c r="AI177" s="349"/>
      <c r="AJ177" s="349"/>
      <c r="AK177" s="349"/>
      <c r="AL177" s="349"/>
      <c r="AM177" s="349"/>
      <c r="AN177" s="349"/>
      <c r="AO177" s="350"/>
    </row>
    <row r="178" spans="1:53" ht="13.5" thickBot="1" x14ac:dyDescent="0.25">
      <c r="A178" s="347"/>
      <c r="B178" s="354" t="s">
        <v>10</v>
      </c>
      <c r="C178" s="355"/>
      <c r="D178" s="355"/>
      <c r="E178" s="355"/>
      <c r="F178" s="355"/>
      <c r="G178" s="356"/>
      <c r="H178" s="354" t="s">
        <v>126</v>
      </c>
      <c r="I178" s="355"/>
      <c r="J178" s="355"/>
      <c r="K178" s="356"/>
      <c r="L178" s="354" t="s">
        <v>10</v>
      </c>
      <c r="M178" s="355"/>
      <c r="N178" s="355"/>
      <c r="O178" s="355"/>
      <c r="P178" s="355"/>
      <c r="Q178" s="356"/>
      <c r="R178" s="354" t="s">
        <v>126</v>
      </c>
      <c r="S178" s="355"/>
      <c r="T178" s="355"/>
      <c r="U178" s="356"/>
      <c r="V178" s="354" t="s">
        <v>10</v>
      </c>
      <c r="W178" s="355"/>
      <c r="X178" s="355"/>
      <c r="Y178" s="355"/>
      <c r="Z178" s="355"/>
      <c r="AA178" s="356"/>
      <c r="AB178" s="354" t="s">
        <v>126</v>
      </c>
      <c r="AC178" s="355"/>
      <c r="AD178" s="355"/>
      <c r="AE178" s="356"/>
      <c r="AF178" s="354" t="s">
        <v>10</v>
      </c>
      <c r="AG178" s="355"/>
      <c r="AH178" s="355"/>
      <c r="AI178" s="355"/>
      <c r="AJ178" s="355"/>
      <c r="AK178" s="356"/>
      <c r="AL178" s="354" t="s">
        <v>126</v>
      </c>
      <c r="AM178" s="355"/>
      <c r="AN178" s="355"/>
      <c r="AO178" s="356"/>
    </row>
    <row r="179" spans="1:53" x14ac:dyDescent="0.2">
      <c r="A179" s="82" t="s">
        <v>127</v>
      </c>
      <c r="B179" s="412" t="str">
        <f>IF($AF$8=1,$E$8,IF($AF$10=1,$E$10,IF($AF$12=1,$E$12,IF($AF$14=1,$E$14,IF($AF$16=1,$E$16,"1st Place "&amp;$A179)))))</f>
        <v>Emerald City 12-1</v>
      </c>
      <c r="C179" s="413"/>
      <c r="D179" s="413"/>
      <c r="E179" s="413"/>
      <c r="F179" s="413"/>
      <c r="G179" s="413"/>
      <c r="H179" s="414" t="str">
        <f>IF($AF$8=1,$E$9,IF($AF$10=1,$E$11,IF($AF$12=1,$E$13,IF($AF$14=1,$E$15,IF($AF$16=1,$E$17,"1st Place "&amp;$A179)))))</f>
        <v>fj2ecity1pm</v>
      </c>
      <c r="I179" s="414"/>
      <c r="J179" s="414"/>
      <c r="K179" s="415"/>
      <c r="L179" s="412" t="str">
        <f>IF($AF$8=2,$E$8,IF($AF$10=2,$E$10,IF($AF$12=2,$E$12,IF($AF$14=2,$E$14,IF($AF$16=2,$E$16,"2nd Place "&amp;$A179)))))</f>
        <v>SC Midlands 12 Black</v>
      </c>
      <c r="M179" s="413"/>
      <c r="N179" s="413"/>
      <c r="O179" s="413"/>
      <c r="P179" s="413"/>
      <c r="Q179" s="413"/>
      <c r="R179" s="414" t="str">
        <f>IF($AF$8=2,$E$9,IF($AF$10=2,$E$11,IF($AF$12=2,$E$13,IF($AF$14=2,$E$15,IF($AF$16=2,$E$17,"2nd Place "&amp;$A179)))))</f>
        <v>fj2scmid1pm</v>
      </c>
      <c r="S179" s="414"/>
      <c r="T179" s="414"/>
      <c r="U179" s="415"/>
      <c r="V179" s="412" t="str">
        <f>IF($AF$8=3,$E$8,IF($AF$10=3,$E$10,IF($AF$12=3,$E$12,IF($AF$14=3,$E$14,IF($AF$16=3,$E$16,"3rd Place "&amp;$A179)))))</f>
        <v>Intense 12 Lexington</v>
      </c>
      <c r="W179" s="413"/>
      <c r="X179" s="413"/>
      <c r="Y179" s="413"/>
      <c r="Z179" s="413"/>
      <c r="AA179" s="413"/>
      <c r="AB179" s="414" t="str">
        <f>IF($AF$8=3,$E$9,IF($AF$10=3,$E$11,IF($AF$12=3,$E$13,IF($AF$14=3,$E$15,IF($AF$16=3,$E$17,"3rd Place "&amp;$A179)))))</f>
        <v>fj2inten2pm</v>
      </c>
      <c r="AC179" s="414"/>
      <c r="AD179" s="414"/>
      <c r="AE179" s="415"/>
      <c r="AF179" s="412" t="str">
        <f>IF($AF$8=4,$E$8,IF($AF$10=4,$E$10,IF($AF$12=4,$E$12,IF($AF$14=4,$E$14,IF($AF$16=4,$E$16,"4th Place "&amp;$A179)))))</f>
        <v>Kershaw 12 White</v>
      </c>
      <c r="AG179" s="413"/>
      <c r="AH179" s="413"/>
      <c r="AI179" s="413"/>
      <c r="AJ179" s="413"/>
      <c r="AK179" s="413"/>
      <c r="AL179" s="414" t="str">
        <f>IF($AF$8=4,$E$9,IF($AF$10=4,$E$11,IF($AF$12=4,$E$13,IF($AF$14=4,$E$15,IF($AF$16=4,$E$17,"4th Place "&amp;$A179)))))</f>
        <v>fj2kersh2pm</v>
      </c>
      <c r="AM179" s="414"/>
      <c r="AN179" s="414"/>
      <c r="AO179" s="415"/>
    </row>
    <row r="180" spans="1:53" ht="13.5" thickBot="1" x14ac:dyDescent="0.25">
      <c r="A180" s="83" t="s">
        <v>128</v>
      </c>
      <c r="B180" s="416" t="str">
        <f>IF($AF$93=1,$E$93,IF($AF$95=1,$E$95,IF($AF$97=1,$E$97,IF($AF$99=1,$E$99,IF($AF$101=1,$E$101,"1st Place "&amp;$A180)))))</f>
        <v>Gaston Galaxy VBC 12</v>
      </c>
      <c r="C180" s="417"/>
      <c r="D180" s="417"/>
      <c r="E180" s="417"/>
      <c r="F180" s="417"/>
      <c r="G180" s="417"/>
      <c r="H180" s="418" t="str">
        <f>IF($AF$93=1,$E$94,IF($AF$95=1,$E$96,IF($AF$97=1,$E$98,IF($AF$99=1,$E$100,IF($AF$101=1,$E$102,"1st Place "&amp;$A180)))))</f>
        <v>fj2galxy1cr</v>
      </c>
      <c r="I180" s="418"/>
      <c r="J180" s="418"/>
      <c r="K180" s="419"/>
      <c r="L180" s="416" t="str">
        <f>IF($AF$93=2,$E$93,IF($AF$95=2,$E$95,IF($AF$97=2,$E$97,IF($AF$99=2,$E$99,IF($AF$101=2,$E$101,"2nd Place "&amp;$A180)))))</f>
        <v>Intense 12 Rock hill</v>
      </c>
      <c r="M180" s="417"/>
      <c r="N180" s="417"/>
      <c r="O180" s="417"/>
      <c r="P180" s="417"/>
      <c r="Q180" s="417"/>
      <c r="R180" s="418" t="str">
        <f>IF($AF$93=2,$E$94,IF($AF$95=2,$E$96,IF($AF$97=2,$E$98,IF($AF$99=2,$E$100,IF($AF$101=2,$E$102,"2nd Place "&amp;$A180)))))</f>
        <v>fj2inten3pm</v>
      </c>
      <c r="S180" s="418"/>
      <c r="T180" s="418"/>
      <c r="U180" s="419"/>
      <c r="V180" s="416" t="str">
        <f>IF($AF$93=3,$E$93,IF($AF$95=3,$E$95,IF($AF$97=3,$E$97,IF($AF$99=3,$E$99,IF($AF$101=3,$E$101,"3rd Place "&amp;$A180)))))</f>
        <v>TEV 12 Tori</v>
      </c>
      <c r="W180" s="417"/>
      <c r="X180" s="417"/>
      <c r="Y180" s="417"/>
      <c r="Z180" s="417"/>
      <c r="AA180" s="417"/>
      <c r="AB180" s="418" t="str">
        <f>IF($AF$93=3,$E$94,IF($AF$95=3,$E$96,IF($AF$97=3,$E$98,IF($AF$99=3,$E$100,IF($AF$101=3,$E$102,"3rd Place "&amp;$A180)))))</f>
        <v>fj2triex1so</v>
      </c>
      <c r="AC180" s="418"/>
      <c r="AD180" s="418"/>
      <c r="AE180" s="419"/>
      <c r="AF180" s="416" t="str">
        <f>IF($AF$93=4,$E$93,IF($AF$95=4,$E$95,IF($AF$97=4,$E$97,IF($AF$99=4,$E$99,IF($AF$101=4,$E$101,"4th Place "&amp;$A180)))))</f>
        <v>SC Midlands 12 Garnet</v>
      </c>
      <c r="AG180" s="417"/>
      <c r="AH180" s="417"/>
      <c r="AI180" s="417"/>
      <c r="AJ180" s="417"/>
      <c r="AK180" s="417"/>
      <c r="AL180" s="418" t="str">
        <f>IF($AF$93=4,$E$94,IF($AF$95=4,$E$96,IF($AF$97=4,$E$98,IF($AF$99=4,$E$100,IF($AF$101=4,$E$102,"4th Place "&amp;$A180)))))</f>
        <v>fj2scmid2pm</v>
      </c>
      <c r="AM180" s="418"/>
      <c r="AN180" s="418"/>
      <c r="AO180" s="41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W181" s="54"/>
      <c r="AX181" s="4"/>
      <c r="AY181" s="4"/>
      <c r="AZ181" s="4"/>
      <c r="BA181" s="4"/>
    </row>
    <row r="182" spans="1:53" ht="15.75" x14ac:dyDescent="0.25">
      <c r="A182" s="426" t="s">
        <v>129</v>
      </c>
      <c r="B182" s="426"/>
      <c r="C182" s="426"/>
      <c r="D182" s="426"/>
      <c r="E182" s="426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T182" s="86"/>
      <c r="AU182" s="86"/>
      <c r="AV182" s="86"/>
    </row>
    <row r="183" spans="1:53" ht="14.25" x14ac:dyDescent="0.2">
      <c r="A183" s="427" t="s">
        <v>130</v>
      </c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</row>
    <row r="184" spans="1:53" x14ac:dyDescent="0.2">
      <c r="A184" s="428" t="s">
        <v>131</v>
      </c>
      <c r="B184" s="428"/>
      <c r="C184" s="428"/>
      <c r="D184" s="428"/>
      <c r="E184" s="428"/>
      <c r="F184" s="428"/>
      <c r="G184" s="428"/>
      <c r="H184" s="428"/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53" x14ac:dyDescent="0.2">
      <c r="A185" s="428"/>
      <c r="B185" s="428"/>
      <c r="C185" s="428"/>
      <c r="D185" s="428"/>
      <c r="E185" s="428"/>
      <c r="F185" s="428"/>
      <c r="G185" s="428"/>
      <c r="H185" s="428"/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53" x14ac:dyDescent="0.2">
      <c r="A186" s="429" t="s">
        <v>132</v>
      </c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330" t="s">
        <v>133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54"/>
      <c r="R188" s="330" t="s">
        <v>134</v>
      </c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</row>
    <row r="190" spans="1:53" ht="13.5" thickBot="1" x14ac:dyDescent="0.25">
      <c r="A190" s="420" t="str">
        <f>IF(B218=1,B210,IF(B218=2,B211,IF(B218=3,B212,IF(B218=4,B213,IF(OR(B218="B",B218="b"),"BYE","invalid")))))</f>
        <v>Emerald City 12-1</v>
      </c>
      <c r="B190" s="420"/>
      <c r="C190" s="420"/>
      <c r="D190" s="420"/>
      <c r="E190" s="420"/>
      <c r="F190" s="88"/>
      <c r="G190" s="88"/>
      <c r="H190" s="88"/>
      <c r="I190" s="88"/>
      <c r="J190" s="88"/>
      <c r="K190" s="88"/>
      <c r="L190" s="88"/>
      <c r="M190" s="88"/>
      <c r="N190" s="88"/>
      <c r="S190" s="89"/>
      <c r="T190" s="89"/>
      <c r="U190" s="420" t="str">
        <f>IF(W218=1,X210,IF(W218=2,X211,IF(W218=3,X212,IF(W218=4,X213,IF(OR(W218="B",W218="b"),"BYE","invalid")))))</f>
        <v>Intense 12 Lexington</v>
      </c>
      <c r="V190" s="420"/>
      <c r="W190" s="420"/>
      <c r="X190" s="420"/>
      <c r="Y190" s="420"/>
      <c r="Z190" s="420"/>
      <c r="AA190" s="420"/>
      <c r="AB190" s="88"/>
      <c r="AC190" s="88"/>
      <c r="AD190" s="88"/>
      <c r="AE190" s="88"/>
    </row>
    <row r="191" spans="1:53" x14ac:dyDescent="0.2">
      <c r="A191" s="421" t="s">
        <v>135</v>
      </c>
      <c r="B191" s="421"/>
      <c r="C191" s="421"/>
      <c r="D191" s="421"/>
      <c r="E191" s="421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422" t="s">
        <v>136</v>
      </c>
      <c r="V191" s="422"/>
      <c r="W191" s="422"/>
      <c r="X191" s="422"/>
      <c r="Y191" s="422"/>
      <c r="Z191" s="422"/>
      <c r="AA191" s="423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422" t="str">
        <f>B212&amp;" ref"</f>
        <v>SC Midlands 12 Black ref</v>
      </c>
      <c r="B193" s="422"/>
      <c r="C193" s="422"/>
      <c r="D193" s="422"/>
      <c r="E193" s="423"/>
      <c r="F193" s="424" t="str">
        <f>IF(H218=1,B210,IF(H218=2,B211,IF(H218=3,B212,IF(H218=4,B213,"Winner Match 1"))))</f>
        <v>Emerald City 12-1</v>
      </c>
      <c r="G193" s="425"/>
      <c r="H193" s="425"/>
      <c r="I193" s="425"/>
      <c r="J193" s="425"/>
      <c r="K193" s="425"/>
      <c r="L193" s="425"/>
      <c r="M193" s="425"/>
      <c r="N193" s="88"/>
      <c r="P193" s="93"/>
      <c r="Q193" s="93"/>
      <c r="R193" s="93"/>
      <c r="S193" s="93"/>
      <c r="T193" s="422" t="str">
        <f>X212&amp;" ref"</f>
        <v>Kershaw 12 White ref</v>
      </c>
      <c r="U193" s="422"/>
      <c r="V193" s="422"/>
      <c r="W193" s="422"/>
      <c r="X193" s="422"/>
      <c r="Y193" s="422"/>
      <c r="Z193" s="422"/>
      <c r="AA193" s="423"/>
      <c r="AB193" s="424" t="str">
        <f>IF(AC218=1,X210,IF(AC218=2,X211,IF(AC218=3,X212,IF(AC218=4,X213,"Winner Match 1"))))</f>
        <v>SC Midlands 12 Garnet</v>
      </c>
      <c r="AC193" s="425"/>
      <c r="AD193" s="425"/>
      <c r="AE193" s="425"/>
      <c r="AF193" s="425"/>
      <c r="AG193" s="425"/>
      <c r="AH193" s="425"/>
    </row>
    <row r="194" spans="1:53" x14ac:dyDescent="0.2">
      <c r="A194" s="434" t="s">
        <v>137</v>
      </c>
      <c r="B194" s="434"/>
      <c r="C194" s="434"/>
      <c r="D194" s="434"/>
      <c r="E194" s="434"/>
      <c r="F194" s="435"/>
      <c r="G194" s="436"/>
      <c r="H194" s="436"/>
      <c r="I194" s="437"/>
      <c r="J194" s="438"/>
      <c r="K194" s="439"/>
      <c r="L194" s="439"/>
      <c r="M194" s="439"/>
      <c r="N194" s="88"/>
      <c r="O194" s="88"/>
      <c r="P194" s="94"/>
      <c r="Q194" s="6"/>
      <c r="R194" s="95"/>
      <c r="S194" s="95"/>
      <c r="T194" s="440" t="s">
        <v>138</v>
      </c>
      <c r="U194" s="440"/>
      <c r="V194" s="440"/>
      <c r="W194" s="440"/>
      <c r="X194" s="440"/>
      <c r="Y194" s="440"/>
      <c r="Z194" s="440"/>
      <c r="AA194" s="92"/>
      <c r="AB194" s="435"/>
      <c r="AC194" s="436"/>
      <c r="AD194" s="436"/>
      <c r="AE194" s="437"/>
      <c r="AF194" s="438"/>
      <c r="AG194" s="439"/>
      <c r="AH194" s="439"/>
    </row>
    <row r="195" spans="1:53" ht="13.5" thickBot="1" x14ac:dyDescent="0.25">
      <c r="A195" s="420" t="str">
        <f>IF(D218=1,B210,IF(D218=2,B211,IF(D218=3,B212,IF(D218=4,B213,IF(OR(D218="B",D218="b"),"BYE","invalid")))))</f>
        <v>Intense 12 Rock hill</v>
      </c>
      <c r="B195" s="420"/>
      <c r="C195" s="420"/>
      <c r="D195" s="420"/>
      <c r="E195" s="430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420" t="str">
        <f>IF(Y218=1,X210,IF(Y218=2,X211,IF(Y218=3,X212,IF(Y218=4,X213,IF(OR(Y218="B",Y218="b"),"BYE","invalid")))))</f>
        <v>SC Midlands 12 Garnet</v>
      </c>
      <c r="V195" s="420"/>
      <c r="W195" s="420"/>
      <c r="X195" s="420"/>
      <c r="Y195" s="420"/>
      <c r="Z195" s="420"/>
      <c r="AA195" s="430"/>
      <c r="AB195" s="88"/>
      <c r="AC195" s="88"/>
      <c r="AD195" s="88"/>
      <c r="AE195" s="92"/>
      <c r="AF195" s="88"/>
      <c r="AG195" s="88"/>
    </row>
    <row r="196" spans="1:53" x14ac:dyDescent="0.2">
      <c r="A196" s="421" t="s">
        <v>139</v>
      </c>
      <c r="B196" s="421"/>
      <c r="C196" s="421"/>
      <c r="D196" s="421"/>
      <c r="E196" s="421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431" t="s">
        <v>140</v>
      </c>
      <c r="V196" s="431"/>
      <c r="W196" s="431"/>
      <c r="X196" s="431"/>
      <c r="Y196" s="431"/>
      <c r="Z196" s="431"/>
      <c r="AA196" s="431"/>
      <c r="AB196" s="88"/>
      <c r="AC196" s="88"/>
      <c r="AD196" s="88"/>
      <c r="AE196" s="92"/>
      <c r="AF196" s="88"/>
      <c r="AG196" s="88"/>
      <c r="AQ196" s="96"/>
      <c r="AR196" s="96"/>
      <c r="AS196" s="96"/>
    </row>
    <row r="197" spans="1:53" x14ac:dyDescent="0.2">
      <c r="A197" s="88"/>
      <c r="B197" s="88"/>
      <c r="C197" s="88"/>
      <c r="D197" s="88"/>
      <c r="E197" s="88"/>
      <c r="F197" s="432" t="s">
        <v>141</v>
      </c>
      <c r="G197" s="432"/>
      <c r="H197" s="432"/>
      <c r="I197" s="433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432" t="s">
        <v>141</v>
      </c>
      <c r="AC197" s="432"/>
      <c r="AD197" s="432"/>
      <c r="AE197" s="433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445" t="str">
        <f>IF(K223=1,B210,IF(K223=2,B211,IF(K223=3,B212,IF(K223=4,B213,"Division Winner"))))</f>
        <v>Gaston Galaxy VBC 12</v>
      </c>
      <c r="K198" s="446"/>
      <c r="L198" s="446"/>
      <c r="M198" s="446"/>
      <c r="N198" s="446"/>
      <c r="O198" s="446"/>
      <c r="P198" s="446"/>
      <c r="Q198" s="89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446" t="str">
        <f>IF(AF223=1,X210,IF(AF223=2,X211,IF(AF223=3,X212,IF(AF223=4,X213,"Division Winner"))))</f>
        <v>TEV 12 Tori</v>
      </c>
      <c r="AG198" s="446"/>
      <c r="AH198" s="446"/>
      <c r="AI198" s="446"/>
      <c r="AJ198" s="446"/>
      <c r="AK198" s="98"/>
    </row>
    <row r="199" spans="1:53" ht="13.5" thickBot="1" x14ac:dyDescent="0.25">
      <c r="A199" s="420" t="str">
        <f>IF(E218=1,B210,IF(E218=2,B211,IF(E218=3,B212,IF(E218=4,B213,IF(OR(E218="B",E218="b"),"BYE","invalid")))))</f>
        <v>Gaston Galaxy VBC 12</v>
      </c>
      <c r="B199" s="420"/>
      <c r="C199" s="420"/>
      <c r="D199" s="420"/>
      <c r="E199" s="420"/>
      <c r="F199" s="434" t="s">
        <v>142</v>
      </c>
      <c r="G199" s="434"/>
      <c r="H199" s="434"/>
      <c r="I199" s="434"/>
      <c r="J199" s="441" t="s">
        <v>143</v>
      </c>
      <c r="K199" s="432"/>
      <c r="L199" s="432"/>
      <c r="M199" s="432"/>
      <c r="N199" s="432"/>
      <c r="O199" s="432"/>
      <c r="P199" s="432"/>
      <c r="R199" s="98"/>
      <c r="S199" s="98"/>
      <c r="T199" s="98"/>
      <c r="U199" s="420" t="str">
        <f>IF(Z218=1,X210,IF(Z218=2,X211,IF(Z218=3,X212,IF(Z218=4,X213,IF(OR(Z218="B",Z218="b"),"BYE","invalid")))))</f>
        <v>TEV 12 Tori</v>
      </c>
      <c r="V199" s="420"/>
      <c r="W199" s="420"/>
      <c r="X199" s="420"/>
      <c r="Y199" s="420"/>
      <c r="Z199" s="420"/>
      <c r="AA199" s="420"/>
      <c r="AB199" s="434" t="s">
        <v>144</v>
      </c>
      <c r="AC199" s="434"/>
      <c r="AD199" s="434"/>
      <c r="AE199" s="447"/>
      <c r="AF199" s="448" t="s">
        <v>145</v>
      </c>
      <c r="AG199" s="449"/>
      <c r="AH199" s="449"/>
      <c r="AI199" s="449"/>
      <c r="AJ199" s="449"/>
    </row>
    <row r="200" spans="1:53" x14ac:dyDescent="0.2">
      <c r="A200" s="421" t="s">
        <v>146</v>
      </c>
      <c r="B200" s="421"/>
      <c r="C200" s="421"/>
      <c r="D200" s="421"/>
      <c r="E200" s="421"/>
      <c r="F200" s="90"/>
      <c r="G200" s="88"/>
      <c r="H200" s="88"/>
      <c r="I200" s="88"/>
      <c r="J200" s="441"/>
      <c r="K200" s="432"/>
      <c r="L200" s="432"/>
      <c r="M200" s="432"/>
      <c r="N200" s="432"/>
      <c r="O200" s="432"/>
      <c r="P200" s="432"/>
      <c r="Q200" s="88"/>
      <c r="R200" s="96"/>
      <c r="S200" s="96"/>
      <c r="T200" s="96"/>
      <c r="U200" s="422" t="s">
        <v>147</v>
      </c>
      <c r="V200" s="422"/>
      <c r="W200" s="422"/>
      <c r="X200" s="422"/>
      <c r="Y200" s="422"/>
      <c r="Z200" s="422"/>
      <c r="AA200" s="423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W201" s="58"/>
      <c r="AX201" s="55"/>
      <c r="AY201" s="55"/>
      <c r="AZ201" s="55"/>
      <c r="BA201" s="55"/>
    </row>
    <row r="202" spans="1:53" ht="13.5" thickBot="1" x14ac:dyDescent="0.25">
      <c r="A202" s="432" t="s">
        <v>148</v>
      </c>
      <c r="B202" s="432"/>
      <c r="C202" s="432"/>
      <c r="D202" s="432"/>
      <c r="E202" s="94"/>
      <c r="F202" s="442"/>
      <c r="G202" s="443"/>
      <c r="H202" s="443"/>
      <c r="I202" s="444"/>
      <c r="J202" s="438"/>
      <c r="K202" s="439"/>
      <c r="L202" s="439"/>
      <c r="M202" s="439"/>
      <c r="N202" s="88"/>
      <c r="Q202" s="93"/>
      <c r="R202" s="93"/>
      <c r="S202" s="93"/>
      <c r="T202" s="432" t="s">
        <v>148</v>
      </c>
      <c r="U202" s="432"/>
      <c r="V202" s="432"/>
      <c r="W202" s="432"/>
      <c r="X202" s="432"/>
      <c r="Y202" s="432"/>
      <c r="Z202" s="432"/>
      <c r="AA202" s="88"/>
      <c r="AB202" s="442"/>
      <c r="AC202" s="443"/>
      <c r="AD202" s="443"/>
      <c r="AE202" s="444"/>
      <c r="AF202" s="438"/>
      <c r="AG202" s="439"/>
      <c r="AH202" s="439"/>
      <c r="AW202" s="58"/>
      <c r="AX202" s="55"/>
      <c r="AY202" s="55"/>
      <c r="AZ202" s="55"/>
      <c r="BA202" s="55"/>
    </row>
    <row r="203" spans="1:53" x14ac:dyDescent="0.2">
      <c r="A203" s="434" t="s">
        <v>137</v>
      </c>
      <c r="B203" s="434"/>
      <c r="C203" s="434"/>
      <c r="D203" s="434"/>
      <c r="E203" s="447"/>
      <c r="F203" s="424" t="str">
        <f>IF(J218=1,B210,IF(J218=2,B211,IF(J218=3,B212,IF(J218=4,B213,"Winner Match 2"))))</f>
        <v>Gaston Galaxy VBC 12</v>
      </c>
      <c r="G203" s="425"/>
      <c r="H203" s="425"/>
      <c r="I203" s="425"/>
      <c r="J203" s="425"/>
      <c r="K203" s="425"/>
      <c r="L203" s="425"/>
      <c r="M203" s="425"/>
      <c r="N203" s="88"/>
      <c r="P203" s="94"/>
      <c r="Q203" s="94"/>
      <c r="S203" s="95"/>
      <c r="T203" s="434" t="s">
        <v>138</v>
      </c>
      <c r="U203" s="434"/>
      <c r="V203" s="434"/>
      <c r="W203" s="434"/>
      <c r="X203" s="434"/>
      <c r="Y203" s="434"/>
      <c r="Z203" s="434"/>
      <c r="AA203" s="92"/>
      <c r="AB203" s="424" t="str">
        <f>IF(AE218=1,X210,IF(AE218=2,X211,IF(AE218=3,X212,IF(AE218=4,X213,"Winner Match 2"))))</f>
        <v>TEV 12 Tori</v>
      </c>
      <c r="AC203" s="425"/>
      <c r="AD203" s="425"/>
      <c r="AE203" s="425"/>
      <c r="AF203" s="425"/>
      <c r="AG203" s="425"/>
      <c r="AH203" s="425"/>
      <c r="AW203" s="58"/>
      <c r="AX203" s="55"/>
      <c r="AY203" s="55"/>
      <c r="AZ203" s="55"/>
      <c r="BA203" s="55"/>
    </row>
    <row r="204" spans="1:53" ht="13.5" thickBot="1" x14ac:dyDescent="0.25">
      <c r="A204" s="420" t="str">
        <f>IF(G218=1,B210,IF(G218=2,B211,IF(G218=3,B212,IF(G218=4,B213,IF(OR(G218="B",G218="b"),"BYE","invalid")))))</f>
        <v>SC Midlands 12 Black</v>
      </c>
      <c r="B204" s="420"/>
      <c r="C204" s="420"/>
      <c r="D204" s="420"/>
      <c r="E204" s="430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420" t="str">
        <f>IF(AB218=1,X210,IF(AB218=2,X211,IF(AB218=3,X212,IF(AB218=4,X213,IF(OR(AB218="B",AB218="b"),"BYE","invalid")))))</f>
        <v>Kershaw 12 White</v>
      </c>
      <c r="V204" s="420"/>
      <c r="W204" s="420"/>
      <c r="X204" s="420"/>
      <c r="Y204" s="420"/>
      <c r="Z204" s="420"/>
      <c r="AA204" s="430"/>
      <c r="AB204" s="88"/>
      <c r="AC204" s="88"/>
      <c r="AD204" s="88"/>
      <c r="AE204" s="88"/>
      <c r="AW204" s="58"/>
      <c r="AX204" s="55"/>
      <c r="AY204" s="55"/>
      <c r="AZ204" s="55"/>
      <c r="BA204" s="55"/>
    </row>
    <row r="205" spans="1:53" x14ac:dyDescent="0.2">
      <c r="A205" s="421" t="s">
        <v>149</v>
      </c>
      <c r="B205" s="421"/>
      <c r="C205" s="421"/>
      <c r="D205" s="421"/>
      <c r="E205" s="421"/>
      <c r="S205" s="96"/>
      <c r="T205" s="96"/>
      <c r="U205" s="422" t="s">
        <v>150</v>
      </c>
      <c r="V205" s="422"/>
      <c r="W205" s="422"/>
      <c r="X205" s="422"/>
      <c r="Y205" s="422"/>
      <c r="Z205" s="422"/>
      <c r="AA205" s="422"/>
      <c r="AW205" s="58"/>
      <c r="AX205" s="55"/>
      <c r="AY205" s="55"/>
      <c r="AZ205" s="55"/>
      <c r="BA205" s="55"/>
    </row>
    <row r="206" spans="1:53" x14ac:dyDescent="0.2">
      <c r="AT206" s="55"/>
      <c r="AU206" s="55"/>
      <c r="AV206" s="55"/>
      <c r="AW206" s="58"/>
      <c r="AX206" s="55"/>
      <c r="AY206" s="55"/>
      <c r="AZ206" s="55"/>
      <c r="BA206" s="55"/>
    </row>
    <row r="207" spans="1:53" x14ac:dyDescent="0.2">
      <c r="AT207" s="55"/>
      <c r="AU207" s="55"/>
      <c r="AV207" s="55"/>
      <c r="AW207" s="58"/>
      <c r="AX207" s="55"/>
      <c r="AY207" s="55"/>
      <c r="AZ207" s="55"/>
      <c r="BA207" s="55"/>
    </row>
    <row r="208" spans="1:53" ht="16.5" thickBot="1" x14ac:dyDescent="0.3">
      <c r="A208" s="450" t="s">
        <v>151</v>
      </c>
      <c r="B208" s="450"/>
      <c r="C208" s="450"/>
      <c r="D208" s="450"/>
      <c r="E208" s="450"/>
      <c r="F208" s="450"/>
      <c r="G208" s="450"/>
      <c r="H208" s="450"/>
      <c r="I208" s="450"/>
      <c r="J208" s="450"/>
      <c r="Q208" s="100"/>
      <c r="R208" s="100"/>
      <c r="S208" s="100"/>
      <c r="U208" s="450" t="s">
        <v>152</v>
      </c>
      <c r="V208" s="450"/>
      <c r="W208" s="450"/>
      <c r="X208" s="450"/>
      <c r="Y208" s="450"/>
      <c r="Z208" s="450"/>
      <c r="AA208" s="450"/>
      <c r="AB208" s="450"/>
      <c r="AC208" s="450"/>
      <c r="AD208" s="450"/>
      <c r="AE208" s="450"/>
      <c r="AF208" s="450"/>
      <c r="AT208" s="55"/>
      <c r="AU208" s="55"/>
      <c r="AV208" s="55"/>
      <c r="AW208" s="58"/>
      <c r="AX208" s="55"/>
      <c r="AY208" s="55"/>
      <c r="AZ208" s="55"/>
      <c r="BA208" s="55"/>
    </row>
    <row r="209" spans="1:53" ht="13.5" thickBot="1" x14ac:dyDescent="0.25">
      <c r="A209" s="101" t="s">
        <v>153</v>
      </c>
      <c r="B209" s="451" t="s">
        <v>154</v>
      </c>
      <c r="C209" s="452"/>
      <c r="D209" s="452"/>
      <c r="E209" s="452"/>
      <c r="F209" s="452"/>
      <c r="G209" s="452"/>
      <c r="H209" s="452"/>
      <c r="I209" s="452"/>
      <c r="J209" s="453"/>
      <c r="K209" s="454" t="s">
        <v>155</v>
      </c>
      <c r="L209" s="455"/>
      <c r="M209" s="455"/>
      <c r="N209" s="455"/>
      <c r="O209" s="455"/>
      <c r="P209" s="455"/>
      <c r="Q209" s="456"/>
      <c r="U209" s="457" t="s">
        <v>153</v>
      </c>
      <c r="V209" s="458"/>
      <c r="W209" s="459"/>
      <c r="X209" s="451" t="s">
        <v>154</v>
      </c>
      <c r="Y209" s="452"/>
      <c r="Z209" s="452"/>
      <c r="AA209" s="452"/>
      <c r="AB209" s="452"/>
      <c r="AC209" s="452"/>
      <c r="AD209" s="452"/>
      <c r="AE209" s="452"/>
      <c r="AF209" s="453"/>
      <c r="AG209" s="454" t="s">
        <v>155</v>
      </c>
      <c r="AH209" s="455"/>
      <c r="AI209" s="455"/>
      <c r="AJ209" s="455"/>
      <c r="AK209" s="455"/>
      <c r="AL209" s="455"/>
      <c r="AM209" s="456"/>
      <c r="AT209" s="55"/>
      <c r="AU209" s="55"/>
      <c r="AV209" s="55"/>
      <c r="AW209" s="58"/>
      <c r="AX209" s="55"/>
      <c r="AY209" s="55"/>
      <c r="AZ209" s="55"/>
      <c r="BA209" s="55"/>
    </row>
    <row r="210" spans="1:53" ht="13.5" thickBot="1" x14ac:dyDescent="0.25">
      <c r="A210" s="101">
        <v>1</v>
      </c>
      <c r="B210" s="460" t="str">
        <f>B179</f>
        <v>Emerald City 12-1</v>
      </c>
      <c r="C210" s="461"/>
      <c r="D210" s="461"/>
      <c r="E210" s="461"/>
      <c r="F210" s="461"/>
      <c r="G210" s="461"/>
      <c r="H210" s="461"/>
      <c r="I210" s="461"/>
      <c r="J210" s="462"/>
      <c r="K210" s="463" t="str">
        <f>H179</f>
        <v>fj2ecity1pm</v>
      </c>
      <c r="L210" s="464"/>
      <c r="M210" s="464"/>
      <c r="N210" s="464"/>
      <c r="O210" s="464"/>
      <c r="P210" s="464"/>
      <c r="Q210" s="465"/>
      <c r="U210" s="457">
        <v>1</v>
      </c>
      <c r="V210" s="458"/>
      <c r="W210" s="459"/>
      <c r="X210" s="460" t="str">
        <f>V179</f>
        <v>Intense 12 Lexington</v>
      </c>
      <c r="Y210" s="461"/>
      <c r="Z210" s="461"/>
      <c r="AA210" s="461"/>
      <c r="AB210" s="461"/>
      <c r="AC210" s="461"/>
      <c r="AD210" s="461"/>
      <c r="AE210" s="461"/>
      <c r="AF210" s="462"/>
      <c r="AG210" s="463" t="str">
        <f>AB179</f>
        <v>fj2inten2pm</v>
      </c>
      <c r="AH210" s="464"/>
      <c r="AI210" s="464"/>
      <c r="AJ210" s="464"/>
      <c r="AK210" s="464"/>
      <c r="AL210" s="464"/>
      <c r="AM210" s="465"/>
      <c r="AT210" s="55"/>
      <c r="AU210" s="55"/>
      <c r="AV210" s="55"/>
      <c r="AW210" s="58"/>
      <c r="AX210" s="55"/>
      <c r="AY210" s="55"/>
      <c r="AZ210" s="55"/>
      <c r="BA210" s="55"/>
    </row>
    <row r="211" spans="1:53" ht="13.5" thickBot="1" x14ac:dyDescent="0.25">
      <c r="A211" s="101">
        <v>2</v>
      </c>
      <c r="B211" s="460" t="str">
        <f>B180</f>
        <v>Gaston Galaxy VBC 12</v>
      </c>
      <c r="C211" s="461"/>
      <c r="D211" s="461"/>
      <c r="E211" s="461"/>
      <c r="F211" s="461"/>
      <c r="G211" s="461"/>
      <c r="H211" s="461"/>
      <c r="I211" s="461"/>
      <c r="J211" s="462"/>
      <c r="K211" s="463" t="str">
        <f>H180</f>
        <v>fj2galxy1cr</v>
      </c>
      <c r="L211" s="464"/>
      <c r="M211" s="464"/>
      <c r="N211" s="464"/>
      <c r="O211" s="464"/>
      <c r="P211" s="464"/>
      <c r="Q211" s="465"/>
      <c r="U211" s="457">
        <v>2</v>
      </c>
      <c r="V211" s="458"/>
      <c r="W211" s="459"/>
      <c r="X211" s="460" t="str">
        <f>V180</f>
        <v>TEV 12 Tori</v>
      </c>
      <c r="Y211" s="461"/>
      <c r="Z211" s="461"/>
      <c r="AA211" s="461"/>
      <c r="AB211" s="461"/>
      <c r="AC211" s="461"/>
      <c r="AD211" s="461"/>
      <c r="AE211" s="461"/>
      <c r="AF211" s="462"/>
      <c r="AG211" s="463" t="str">
        <f>AB180</f>
        <v>fj2triex1so</v>
      </c>
      <c r="AH211" s="464"/>
      <c r="AI211" s="464"/>
      <c r="AJ211" s="464"/>
      <c r="AK211" s="464"/>
      <c r="AL211" s="464"/>
      <c r="AM211" s="465"/>
      <c r="AT211" s="55"/>
      <c r="AU211" s="55"/>
      <c r="AV211" s="55"/>
      <c r="AW211" s="58"/>
      <c r="AX211" s="55"/>
      <c r="AY211" s="55"/>
      <c r="AZ211" s="55"/>
      <c r="BA211" s="55"/>
    </row>
    <row r="212" spans="1:53" ht="13.5" thickBot="1" x14ac:dyDescent="0.25">
      <c r="A212" s="101">
        <v>3</v>
      </c>
      <c r="B212" s="460" t="str">
        <f>L179</f>
        <v>SC Midlands 12 Black</v>
      </c>
      <c r="C212" s="461"/>
      <c r="D212" s="461"/>
      <c r="E212" s="461"/>
      <c r="F212" s="461"/>
      <c r="G212" s="461"/>
      <c r="H212" s="461"/>
      <c r="I212" s="461"/>
      <c r="J212" s="462"/>
      <c r="K212" s="463" t="str">
        <f>R179</f>
        <v>fj2scmid1pm</v>
      </c>
      <c r="L212" s="464"/>
      <c r="M212" s="464"/>
      <c r="N212" s="464"/>
      <c r="O212" s="464"/>
      <c r="P212" s="464"/>
      <c r="Q212" s="465"/>
      <c r="U212" s="457">
        <v>3</v>
      </c>
      <c r="V212" s="458"/>
      <c r="W212" s="459"/>
      <c r="X212" s="460" t="str">
        <f>AF179</f>
        <v>Kershaw 12 White</v>
      </c>
      <c r="Y212" s="461"/>
      <c r="Z212" s="461"/>
      <c r="AA212" s="461"/>
      <c r="AB212" s="461"/>
      <c r="AC212" s="461"/>
      <c r="AD212" s="461"/>
      <c r="AE212" s="461"/>
      <c r="AF212" s="462"/>
      <c r="AG212" s="463" t="str">
        <f>AL179</f>
        <v>fj2kersh2pm</v>
      </c>
      <c r="AH212" s="464"/>
      <c r="AI212" s="464"/>
      <c r="AJ212" s="464"/>
      <c r="AK212" s="464"/>
      <c r="AL212" s="464"/>
      <c r="AM212" s="465"/>
      <c r="AT212" s="55"/>
      <c r="AU212" s="55"/>
      <c r="AV212" s="55"/>
      <c r="AW212" s="58"/>
      <c r="AX212" s="55"/>
      <c r="AY212" s="55"/>
      <c r="AZ212" s="55"/>
      <c r="BA212" s="55"/>
    </row>
    <row r="213" spans="1:53" ht="13.5" thickBot="1" x14ac:dyDescent="0.25">
      <c r="A213" s="101">
        <v>4</v>
      </c>
      <c r="B213" s="460" t="str">
        <f>L180</f>
        <v>Intense 12 Rock hill</v>
      </c>
      <c r="C213" s="461"/>
      <c r="D213" s="461"/>
      <c r="E213" s="461"/>
      <c r="F213" s="461"/>
      <c r="G213" s="461"/>
      <c r="H213" s="461"/>
      <c r="I213" s="461"/>
      <c r="J213" s="462"/>
      <c r="K213" s="463" t="str">
        <f>R180</f>
        <v>fj2inten3pm</v>
      </c>
      <c r="L213" s="464"/>
      <c r="M213" s="464"/>
      <c r="N213" s="464"/>
      <c r="O213" s="464"/>
      <c r="P213" s="464"/>
      <c r="Q213" s="465"/>
      <c r="U213" s="457">
        <v>4</v>
      </c>
      <c r="V213" s="458"/>
      <c r="W213" s="459"/>
      <c r="X213" s="460" t="str">
        <f>AF180</f>
        <v>SC Midlands 12 Garnet</v>
      </c>
      <c r="Y213" s="461"/>
      <c r="Z213" s="461"/>
      <c r="AA213" s="461"/>
      <c r="AB213" s="461"/>
      <c r="AC213" s="461"/>
      <c r="AD213" s="461"/>
      <c r="AE213" s="461"/>
      <c r="AF213" s="462"/>
      <c r="AG213" s="463" t="str">
        <f>AL180</f>
        <v>fj2scmid2pm</v>
      </c>
      <c r="AH213" s="464"/>
      <c r="AI213" s="464"/>
      <c r="AJ213" s="464"/>
      <c r="AK213" s="464"/>
      <c r="AL213" s="464"/>
      <c r="AM213" s="465"/>
      <c r="AT213" s="55"/>
      <c r="AU213" s="55"/>
      <c r="AV213" s="55"/>
      <c r="AW213" s="58"/>
      <c r="AX213" s="55"/>
      <c r="AY213" s="55"/>
      <c r="AZ213" s="55"/>
      <c r="BA213" s="55"/>
    </row>
    <row r="214" spans="1:53" ht="13.5" thickBot="1" x14ac:dyDescent="0.25">
      <c r="AT214" s="55"/>
      <c r="AU214" s="55"/>
      <c r="AV214" s="55"/>
      <c r="AW214" s="58"/>
      <c r="AX214" s="55"/>
      <c r="AY214" s="55"/>
      <c r="AZ214" s="55"/>
      <c r="BA214" s="55"/>
    </row>
    <row r="215" spans="1:53" x14ac:dyDescent="0.2">
      <c r="B215" s="466" t="s">
        <v>156</v>
      </c>
      <c r="C215" s="467"/>
      <c r="D215" s="468"/>
      <c r="E215" s="469" t="s">
        <v>156</v>
      </c>
      <c r="F215" s="467"/>
      <c r="G215" s="468"/>
      <c r="H215" s="469" t="s">
        <v>14</v>
      </c>
      <c r="I215" s="467"/>
      <c r="J215" s="470"/>
      <c r="K215" s="471" t="s">
        <v>157</v>
      </c>
      <c r="L215" s="472"/>
      <c r="M215" s="472"/>
      <c r="N215" s="472"/>
      <c r="O215" s="472"/>
      <c r="P215" s="472"/>
      <c r="Q215" s="473"/>
      <c r="R215" s="102"/>
      <c r="S215" s="102"/>
      <c r="T215" s="102"/>
      <c r="U215" s="102"/>
      <c r="W215" s="466" t="s">
        <v>156</v>
      </c>
      <c r="X215" s="467"/>
      <c r="Y215" s="468"/>
      <c r="Z215" s="469" t="s">
        <v>156</v>
      </c>
      <c r="AA215" s="467"/>
      <c r="AB215" s="468"/>
      <c r="AC215" s="469" t="s">
        <v>14</v>
      </c>
      <c r="AD215" s="467"/>
      <c r="AE215" s="470"/>
      <c r="AF215" s="471" t="s">
        <v>157</v>
      </c>
      <c r="AG215" s="480"/>
      <c r="AH215" s="480"/>
      <c r="AI215" s="480"/>
      <c r="AJ215" s="481"/>
      <c r="AW215" s="58"/>
      <c r="AX215" s="55"/>
      <c r="AY215" s="55"/>
      <c r="AZ215" s="55"/>
      <c r="BA215" s="55"/>
    </row>
    <row r="216" spans="1:53" x14ac:dyDescent="0.2">
      <c r="A216" s="41" t="s">
        <v>158</v>
      </c>
      <c r="B216" s="488">
        <v>3</v>
      </c>
      <c r="C216" s="489"/>
      <c r="D216" s="490"/>
      <c r="E216" s="491" t="s">
        <v>159</v>
      </c>
      <c r="F216" s="489"/>
      <c r="G216" s="490"/>
      <c r="H216" s="491" t="s">
        <v>160</v>
      </c>
      <c r="I216" s="489"/>
      <c r="J216" s="492"/>
      <c r="K216" s="474"/>
      <c r="L216" s="475"/>
      <c r="M216" s="475"/>
      <c r="N216" s="475"/>
      <c r="O216" s="475"/>
      <c r="P216" s="475"/>
      <c r="Q216" s="476"/>
      <c r="R216" s="102"/>
      <c r="S216" s="102"/>
      <c r="T216" s="493" t="s">
        <v>158</v>
      </c>
      <c r="U216" s="493"/>
      <c r="V216" s="494"/>
      <c r="W216" s="488">
        <v>3</v>
      </c>
      <c r="X216" s="489"/>
      <c r="Y216" s="490"/>
      <c r="Z216" s="491" t="s">
        <v>159</v>
      </c>
      <c r="AA216" s="489"/>
      <c r="AB216" s="490"/>
      <c r="AC216" s="491" t="s">
        <v>160</v>
      </c>
      <c r="AD216" s="489"/>
      <c r="AE216" s="492"/>
      <c r="AF216" s="482"/>
      <c r="AG216" s="483"/>
      <c r="AH216" s="483"/>
      <c r="AI216" s="483"/>
      <c r="AJ216" s="484"/>
      <c r="AW216" s="58"/>
      <c r="AX216" s="55"/>
      <c r="AY216" s="55"/>
      <c r="AZ216" s="55"/>
      <c r="BA216" s="55"/>
    </row>
    <row r="217" spans="1:53" ht="13.5" thickBot="1" x14ac:dyDescent="0.25">
      <c r="A217" s="7"/>
      <c r="B217" s="501" t="s">
        <v>70</v>
      </c>
      <c r="C217" s="323"/>
      <c r="D217" s="324"/>
      <c r="E217" s="322" t="s">
        <v>161</v>
      </c>
      <c r="F217" s="323"/>
      <c r="G217" s="324"/>
      <c r="H217" s="322" t="s">
        <v>162</v>
      </c>
      <c r="I217" s="323"/>
      <c r="J217" s="495"/>
      <c r="K217" s="477"/>
      <c r="L217" s="478"/>
      <c r="M217" s="478"/>
      <c r="N217" s="478"/>
      <c r="O217" s="478"/>
      <c r="P217" s="478"/>
      <c r="Q217" s="479"/>
      <c r="R217" s="102"/>
      <c r="S217" s="102"/>
      <c r="T217" s="499"/>
      <c r="U217" s="499"/>
      <c r="V217" s="500"/>
      <c r="W217" s="501" t="s">
        <v>70</v>
      </c>
      <c r="X217" s="323"/>
      <c r="Y217" s="324"/>
      <c r="Z217" s="322" t="s">
        <v>161</v>
      </c>
      <c r="AA217" s="323"/>
      <c r="AB217" s="324"/>
      <c r="AC217" s="322" t="s">
        <v>162</v>
      </c>
      <c r="AD217" s="323"/>
      <c r="AE217" s="495"/>
      <c r="AF217" s="485"/>
      <c r="AG217" s="486"/>
      <c r="AH217" s="486"/>
      <c r="AI217" s="486"/>
      <c r="AJ217" s="487"/>
      <c r="AW217" s="58"/>
      <c r="AX217" s="55"/>
      <c r="AY217" s="55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1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2</v>
      </c>
      <c r="K218" s="496" t="s">
        <v>163</v>
      </c>
      <c r="L218" s="497"/>
      <c r="M218" s="497"/>
      <c r="N218" s="498"/>
      <c r="R218" s="102"/>
      <c r="S218" s="102"/>
      <c r="T218" s="499"/>
      <c r="U218" s="499"/>
      <c r="V218" s="500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4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2</v>
      </c>
      <c r="AF218" s="496" t="s">
        <v>163</v>
      </c>
      <c r="AG218" s="498"/>
      <c r="AH218" s="102"/>
      <c r="AI218" s="102"/>
      <c r="AJ218" s="102"/>
      <c r="AW218" s="58"/>
      <c r="AX218" s="55"/>
      <c r="AY218" s="55"/>
      <c r="AZ218" s="55"/>
      <c r="BA218" s="55"/>
    </row>
    <row r="219" spans="1:53" ht="13.5" hidden="1" customHeight="1" x14ac:dyDescent="0.2">
      <c r="A219" s="7"/>
      <c r="B219" s="110">
        <f>IF(B223&gt;D223,1,0)</f>
        <v>1</v>
      </c>
      <c r="C219" s="111"/>
      <c r="D219" s="112">
        <f>IF(D223&gt;B223,1,0)</f>
        <v>0</v>
      </c>
      <c r="E219" s="110">
        <f>IF(E223&gt;G223,1,0)</f>
        <v>1</v>
      </c>
      <c r="F219" s="111"/>
      <c r="G219" s="112">
        <f>IF(G223&gt;E223,1,0)</f>
        <v>0</v>
      </c>
      <c r="H219" s="110">
        <f>IF(H223&gt;J223,1,0)</f>
        <v>1</v>
      </c>
      <c r="I219" s="111"/>
      <c r="J219" s="112">
        <f>IF(J223&gt;H223,1,0)</f>
        <v>0</v>
      </c>
      <c r="K219" s="113"/>
      <c r="L219" s="114"/>
      <c r="M219" s="114"/>
      <c r="N219" s="115"/>
      <c r="R219" s="102"/>
      <c r="S219" s="102"/>
      <c r="T219" s="499"/>
      <c r="U219" s="499"/>
      <c r="V219" s="500"/>
      <c r="W219" s="110">
        <f>IF(W223&gt;Y223,1,0)</f>
        <v>0</v>
      </c>
      <c r="X219" s="111"/>
      <c r="Y219" s="112">
        <f>IF(Y223&gt;W223,1,0)</f>
        <v>1</v>
      </c>
      <c r="Z219" s="110">
        <f>IF(Z223&gt;AB223,1,0)</f>
        <v>1</v>
      </c>
      <c r="AA219" s="111"/>
      <c r="AB219" s="112">
        <f>IF(AB223&gt;Z223,1,0)</f>
        <v>0</v>
      </c>
      <c r="AC219" s="110">
        <f>IF(AC223&gt;AE223,1,0)</f>
        <v>0</v>
      </c>
      <c r="AD219" s="111"/>
      <c r="AE219" s="112">
        <f>IF(AE223&gt;AC223,1,0)</f>
        <v>1</v>
      </c>
      <c r="AF219" s="116"/>
      <c r="AG219" s="117"/>
      <c r="AH219" s="102"/>
      <c r="AI219" s="102"/>
      <c r="AJ219" s="102"/>
      <c r="AW219" s="58"/>
      <c r="AX219" s="55"/>
      <c r="AY219" s="55"/>
      <c r="AZ219" s="55"/>
      <c r="BA219" s="55"/>
    </row>
    <row r="220" spans="1:53" ht="13.5" hidden="1" customHeight="1" x14ac:dyDescent="0.2">
      <c r="A220" s="7"/>
      <c r="B220" s="110">
        <f>IF(B224&gt;D224,1,0)</f>
        <v>0</v>
      </c>
      <c r="C220" s="111"/>
      <c r="D220" s="112">
        <f>IF(D224&gt;B224,1,0)</f>
        <v>0</v>
      </c>
      <c r="E220" s="110">
        <f>IF(E224&gt;G224,1,0)</f>
        <v>0</v>
      </c>
      <c r="F220" s="111"/>
      <c r="G220" s="112">
        <f>IF(G224&gt;E224,1,0)</f>
        <v>0</v>
      </c>
      <c r="H220" s="110">
        <f>IF(H224&gt;J224,1,0)</f>
        <v>0</v>
      </c>
      <c r="I220" s="111"/>
      <c r="J220" s="112">
        <f>IF(J224&gt;H224,1,0)</f>
        <v>1</v>
      </c>
      <c r="K220" s="113"/>
      <c r="L220" s="114"/>
      <c r="M220" s="114"/>
      <c r="N220" s="115"/>
      <c r="R220" s="102"/>
      <c r="S220" s="102"/>
      <c r="T220" s="499"/>
      <c r="U220" s="499"/>
      <c r="V220" s="500"/>
      <c r="W220" s="110">
        <f>IF(W224&gt;Y224,1,0)</f>
        <v>0</v>
      </c>
      <c r="X220" s="111"/>
      <c r="Y220" s="112">
        <f>IF(Y224&gt;W224,1,0)</f>
        <v>0</v>
      </c>
      <c r="Z220" s="110">
        <f>IF(Z224&gt;AB224,1,0)</f>
        <v>0</v>
      </c>
      <c r="AA220" s="111"/>
      <c r="AB220" s="112">
        <f>IF(AB224&gt;Z224,1,0)</f>
        <v>0</v>
      </c>
      <c r="AC220" s="110">
        <f>IF(AC224&gt;AE224,1,0)</f>
        <v>0</v>
      </c>
      <c r="AD220" s="111"/>
      <c r="AE220" s="112">
        <f>IF(AE224&gt;AC224,1,0)</f>
        <v>1</v>
      </c>
      <c r="AF220" s="116"/>
      <c r="AG220" s="117"/>
      <c r="AH220" s="102"/>
      <c r="AI220" s="102"/>
      <c r="AJ220" s="102"/>
      <c r="AW220" s="58"/>
      <c r="AX220" s="55"/>
      <c r="AY220" s="55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0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1</v>
      </c>
      <c r="K221" s="113"/>
      <c r="L221" s="114"/>
      <c r="M221" s="114"/>
      <c r="N221" s="115"/>
      <c r="R221" s="102"/>
      <c r="S221" s="102"/>
      <c r="T221" s="499"/>
      <c r="U221" s="499"/>
      <c r="V221" s="500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0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0</v>
      </c>
      <c r="AF221" s="116"/>
      <c r="AG221" s="117"/>
      <c r="AH221" s="102"/>
      <c r="AI221" s="102"/>
      <c r="AJ221" s="102"/>
      <c r="AW221" s="58"/>
      <c r="AX221" s="55"/>
      <c r="AY221" s="55"/>
      <c r="AZ221" s="55"/>
      <c r="BA221" s="55"/>
    </row>
    <row r="222" spans="1:53" ht="13.5" hidden="1" customHeight="1" x14ac:dyDescent="0.2">
      <c r="A222" s="7"/>
      <c r="B222" s="110">
        <f>SUM(B219:B221)</f>
        <v>1</v>
      </c>
      <c r="C222" s="111"/>
      <c r="D222" s="110">
        <f>SUM(D219:D221)</f>
        <v>0</v>
      </c>
      <c r="E222" s="110">
        <f>SUM(E219:E221)</f>
        <v>1</v>
      </c>
      <c r="F222" s="111"/>
      <c r="G222" s="110">
        <f>SUM(G219:G221)</f>
        <v>0</v>
      </c>
      <c r="H222" s="110">
        <f>SUM(H219:H221)</f>
        <v>1</v>
      </c>
      <c r="I222" s="111"/>
      <c r="J222" s="110">
        <f>SUM(J219:J221)</f>
        <v>2</v>
      </c>
      <c r="K222" s="113"/>
      <c r="L222" s="114"/>
      <c r="M222" s="114"/>
      <c r="N222" s="115"/>
      <c r="R222" s="102"/>
      <c r="S222" s="102"/>
      <c r="T222" s="499"/>
      <c r="U222" s="499"/>
      <c r="V222" s="500"/>
      <c r="W222" s="110">
        <f>SUM(W219:W221)</f>
        <v>0</v>
      </c>
      <c r="X222" s="111"/>
      <c r="Y222" s="110">
        <f>SUM(Y219:Y221)</f>
        <v>1</v>
      </c>
      <c r="Z222" s="110">
        <f>SUM(Z219:Z221)</f>
        <v>1</v>
      </c>
      <c r="AA222" s="111"/>
      <c r="AB222" s="110">
        <f>SUM(AB219:AB221)</f>
        <v>0</v>
      </c>
      <c r="AC222" s="110">
        <f>SUM(AC219:AC221)</f>
        <v>0</v>
      </c>
      <c r="AD222" s="111"/>
      <c r="AE222" s="110">
        <f>SUM(AE219:AE221)</f>
        <v>2</v>
      </c>
      <c r="AF222" s="116"/>
      <c r="AG222" s="117"/>
      <c r="AH222" s="102"/>
      <c r="AI222" s="102"/>
      <c r="AJ222" s="102"/>
      <c r="AW222" s="58"/>
      <c r="AX222" s="55"/>
      <c r="AY222" s="55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22</v>
      </c>
      <c r="E223" s="120">
        <v>26</v>
      </c>
      <c r="F223" s="50" t="s">
        <v>80</v>
      </c>
      <c r="G223" s="119">
        <v>24</v>
      </c>
      <c r="H223" s="120">
        <v>25</v>
      </c>
      <c r="I223" s="50" t="s">
        <v>80</v>
      </c>
      <c r="J223" s="121">
        <v>18</v>
      </c>
      <c r="K223" s="504">
        <f>IF(AND(OR(H222&gt;0,J222&gt;0),AND(1&lt;=H218,H218&lt;=4),AND(1&lt;=J218,J218&lt;=4)),IF(H222&gt;J222,H218,IF(J222&gt;H222,J218,"")),"")</f>
        <v>2</v>
      </c>
      <c r="L223" s="505"/>
      <c r="M223" s="505"/>
      <c r="N223" s="506"/>
      <c r="R223" s="102"/>
      <c r="S223" s="102"/>
      <c r="T223" s="122"/>
      <c r="U223" s="122"/>
      <c r="V223" s="5" t="s">
        <v>79</v>
      </c>
      <c r="W223" s="118">
        <v>23</v>
      </c>
      <c r="X223" s="50" t="s">
        <v>80</v>
      </c>
      <c r="Y223" s="119">
        <v>25</v>
      </c>
      <c r="Z223" s="120">
        <v>25</v>
      </c>
      <c r="AA223" s="50" t="s">
        <v>80</v>
      </c>
      <c r="AB223" s="119">
        <v>16</v>
      </c>
      <c r="AC223" s="120">
        <v>20</v>
      </c>
      <c r="AD223" s="50" t="s">
        <v>80</v>
      </c>
      <c r="AE223" s="121">
        <v>25</v>
      </c>
      <c r="AF223" s="504">
        <f>IF(AND(OR(AC222&gt;0,AE222&gt;0),AND(1&lt;=AC218,AC218&lt;=4),AND(1&lt;=AE218,AE218&lt;=4)),IF(AC222&gt;AE222,AC218,IF(AE222&gt;AC222,AE218,"")),"")</f>
        <v>2</v>
      </c>
      <c r="AG223" s="506"/>
      <c r="AH223" s="102"/>
      <c r="AI223" s="102"/>
      <c r="AJ223" s="102"/>
      <c r="AW223" s="58"/>
      <c r="AX223" s="55"/>
      <c r="AY223" s="55"/>
      <c r="AZ223" s="55"/>
      <c r="BA223" s="55"/>
    </row>
    <row r="224" spans="1:53" ht="12.75" customHeight="1" x14ac:dyDescent="0.2">
      <c r="A224" s="5" t="s">
        <v>164</v>
      </c>
      <c r="B224" s="118"/>
      <c r="C224" s="50" t="s">
        <v>80</v>
      </c>
      <c r="D224" s="119"/>
      <c r="E224" s="120"/>
      <c r="F224" s="50" t="s">
        <v>80</v>
      </c>
      <c r="G224" s="119"/>
      <c r="H224" s="120">
        <v>21</v>
      </c>
      <c r="I224" s="50" t="s">
        <v>80</v>
      </c>
      <c r="J224" s="121">
        <v>25</v>
      </c>
      <c r="K224" s="507"/>
      <c r="L224" s="508"/>
      <c r="M224" s="508"/>
      <c r="N224" s="509"/>
      <c r="R224" s="102"/>
      <c r="S224" s="102"/>
      <c r="T224" s="122"/>
      <c r="U224" s="122"/>
      <c r="V224" s="5" t="s">
        <v>164</v>
      </c>
      <c r="W224" s="118"/>
      <c r="X224" s="50" t="s">
        <v>80</v>
      </c>
      <c r="Y224" s="119"/>
      <c r="Z224" s="120"/>
      <c r="AA224" s="50" t="s">
        <v>80</v>
      </c>
      <c r="AB224" s="119"/>
      <c r="AC224" s="120">
        <v>26</v>
      </c>
      <c r="AD224" s="50" t="s">
        <v>80</v>
      </c>
      <c r="AE224" s="121">
        <v>28</v>
      </c>
      <c r="AF224" s="507"/>
      <c r="AG224" s="509"/>
      <c r="AH224" s="102"/>
      <c r="AI224" s="102"/>
      <c r="AJ224" s="102"/>
      <c r="AW224" s="58"/>
      <c r="AX224" s="55"/>
      <c r="AY224" s="55"/>
      <c r="AZ224" s="55"/>
      <c r="BA224" s="55"/>
    </row>
    <row r="225" spans="1:77" ht="13.5" customHeight="1" thickBot="1" x14ac:dyDescent="0.25">
      <c r="A225" s="5" t="s">
        <v>165</v>
      </c>
      <c r="B225" s="123"/>
      <c r="C225" s="124" t="s">
        <v>80</v>
      </c>
      <c r="D225" s="125"/>
      <c r="E225" s="126"/>
      <c r="F225" s="124" t="s">
        <v>80</v>
      </c>
      <c r="G225" s="125"/>
      <c r="H225" s="126">
        <v>8</v>
      </c>
      <c r="I225" s="124" t="s">
        <v>80</v>
      </c>
      <c r="J225" s="127">
        <v>15</v>
      </c>
      <c r="K225" s="510"/>
      <c r="L225" s="511"/>
      <c r="M225" s="511"/>
      <c r="N225" s="512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/>
      <c r="AA225" s="124" t="s">
        <v>80</v>
      </c>
      <c r="AB225" s="125"/>
      <c r="AC225" s="126"/>
      <c r="AD225" s="124" t="s">
        <v>80</v>
      </c>
      <c r="AE225" s="127"/>
      <c r="AF225" s="510"/>
      <c r="AG225" s="512"/>
      <c r="AH225" s="102"/>
      <c r="AI225" s="102"/>
      <c r="AJ225" s="102"/>
      <c r="AW225" s="58"/>
      <c r="AX225" s="55"/>
      <c r="AY225" s="55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Emerald City 12-1</v>
      </c>
      <c r="AU226" s="4">
        <f>J227</f>
        <v>1421.4642724843534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Emerald City 12-1</v>
      </c>
      <c r="C227" s="4">
        <f>VLOOKUP(B227,AU$2:AY$22,4,FALSE)</f>
        <v>1418.5341024586221</v>
      </c>
      <c r="D227" s="4">
        <f>IF(A227=B218,B233,IF(A227=D218,D233,C227))</f>
        <v>1426.0349087091663</v>
      </c>
      <c r="G227" s="4">
        <f>IF(A227=E218,E233,IF(A227=G218,G233,D227))</f>
        <v>1426.0349087091663</v>
      </c>
      <c r="J227" s="4">
        <f>IF(A227=H218,H233,IF(A227=J218,J233,G227))</f>
        <v>1421.4642724843534</v>
      </c>
      <c r="U227" s="129"/>
      <c r="V227" s="129">
        <v>1</v>
      </c>
      <c r="W227" s="4" t="str">
        <f>X210</f>
        <v>Intense 12 Lexington</v>
      </c>
      <c r="X227" s="4">
        <f>VLOOKUP(W227,AU$2:AY$22,4,FALSE)</f>
        <v>1401.6308274545675</v>
      </c>
      <c r="Y227" s="4">
        <f>IF(V227=W218,W233,IF(V227=Y218,Y233,X227))</f>
        <v>1391.547816818643</v>
      </c>
      <c r="AB227" s="4">
        <f>IF(V227=Z218,Z233,IF(V227=AB218,AB233,Y227))</f>
        <v>1391.547816818643</v>
      </c>
      <c r="AE227" s="4">
        <f>IF(V227=AC218,AC233,IF(V227=AE218,AE233,AB227))</f>
        <v>1391.547816818643</v>
      </c>
      <c r="AT227" s="4" t="str">
        <f>B228</f>
        <v>Gaston Galaxy VBC 12</v>
      </c>
      <c r="AU227" s="4">
        <f>J228</f>
        <v>1480.592748992279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Gaston Galaxy VBC 12</v>
      </c>
      <c r="C228" s="4">
        <f>VLOOKUP(B228,AU$2:AY$22,4,FALSE)</f>
        <v>1468.8483067654026</v>
      </c>
      <c r="D228" s="4">
        <f>IF(A228=B218,B233,IF(A228=D218,D233,C228))</f>
        <v>1468.8483067654026</v>
      </c>
      <c r="G228" s="4">
        <f>IF(A228=E218,E233,IF(A228=G218,G233,D228))</f>
        <v>1476.0221127674661</v>
      </c>
      <c r="J228" s="4">
        <f>IF(A228=H218,H233,IF(A228=J218,J233,G228))</f>
        <v>1480.592748992279</v>
      </c>
      <c r="U228" s="129"/>
      <c r="V228" s="129">
        <v>2</v>
      </c>
      <c r="W228" s="4" t="str">
        <f>X211</f>
        <v>TEV 12 Tori</v>
      </c>
      <c r="X228" s="4">
        <f>VLOOKUP(W228,AU$2:AY$22,4,FALSE)</f>
        <v>1399.7657168979335</v>
      </c>
      <c r="Y228" s="4">
        <f>IF(V228=W218,W233,IF(V228=Y218,Y233,X228))</f>
        <v>1399.7657168979335</v>
      </c>
      <c r="AB228" s="4">
        <f>IF(V228=Z218,Z233,IF(V228=AB218,AB233,Y228))</f>
        <v>1405.4301625462319</v>
      </c>
      <c r="AE228" s="4">
        <f>IF(V228=AC218,AC233,IF(V228=AE218,AE233,AB228))</f>
        <v>1417.5351435170446</v>
      </c>
      <c r="AT228" s="4" t="str">
        <f>B229</f>
        <v>SC Midlands 12 Black</v>
      </c>
      <c r="AU228" s="4">
        <f>J229</f>
        <v>1425.664964424519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SC Midlands 12 Black</v>
      </c>
      <c r="C229" s="4">
        <f>VLOOKUP(B229,AU$2:AY$22,4,FALSE)</f>
        <v>1432.8387704265824</v>
      </c>
      <c r="D229" s="4">
        <f>IF(A229=B218,B233,IF(A229=D218,D233,C229))</f>
        <v>1432.8387704265824</v>
      </c>
      <c r="G229" s="4">
        <f>IF(A229=E218,E233,IF(A229=G218,G233,D229))</f>
        <v>1425.664964424519</v>
      </c>
      <c r="J229" s="4">
        <f>IF(A229=H218,H233,IF(A229=J218,J233,G229))</f>
        <v>1425.664964424519</v>
      </c>
      <c r="U229" s="129"/>
      <c r="V229" s="129">
        <v>3</v>
      </c>
      <c r="W229" s="4" t="str">
        <f>X212</f>
        <v>Kershaw 12 White</v>
      </c>
      <c r="X229" s="4">
        <f>VLOOKUP(W229,AU$2:AY$22,4,FALSE)</f>
        <v>1295.295172435071</v>
      </c>
      <c r="Y229" s="4">
        <f>IF(V229=W218,W233,IF(V229=Y218,Y233,X229))</f>
        <v>1295.295172435071</v>
      </c>
      <c r="AB229" s="4">
        <f>IF(V229=Z218,Z233,IF(V229=AB218,AB233,Y229))</f>
        <v>1289.6307267867726</v>
      </c>
      <c r="AE229" s="4">
        <f>IF(V229=AC218,AC233,IF(V229=AE218,AE233,AB229))</f>
        <v>1289.6307267867726</v>
      </c>
      <c r="AT229" s="4" t="str">
        <f>B230</f>
        <v>Intense 12 Rock hill</v>
      </c>
      <c r="AU229" s="4">
        <f>J230</f>
        <v>1389.3253833869005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Intense 12 Rock hill</v>
      </c>
      <c r="C230" s="4">
        <f>VLOOKUP(B230,AU$2:AY$22,4,FALSE)</f>
        <v>1396.8261896374447</v>
      </c>
      <c r="D230" s="4">
        <f>IF(A230=B218,B233,IF(A230=D218,D233,C230))</f>
        <v>1389.3253833869005</v>
      </c>
      <c r="G230" s="4">
        <f>IF(A230=E218,E233,IF(A230=G218,G233,D230))</f>
        <v>1389.3253833869005</v>
      </c>
      <c r="J230" s="4">
        <f>IF(A230=H218,H233,IF(A230=J218,J233,G230))</f>
        <v>1389.3253833869005</v>
      </c>
      <c r="U230" s="129"/>
      <c r="V230" s="129">
        <v>4</v>
      </c>
      <c r="W230" s="4" t="str">
        <f>X213</f>
        <v>SC Midlands 12 Garnet</v>
      </c>
      <c r="X230" s="4">
        <f>VLOOKUP(W230,AU$2:AY$22,4,FALSE)</f>
        <v>1309.0350527843616</v>
      </c>
      <c r="Y230" s="4">
        <f>IF(V230=W218,W233,IF(V230=Y218,Y233,X230))</f>
        <v>1319.118063420286</v>
      </c>
      <c r="AB230" s="4">
        <f>IF(V230=Z218,Z233,IF(V230=AB218,AB233,Y230))</f>
        <v>1319.118063420286</v>
      </c>
      <c r="AE230" s="4">
        <f>IF(V230=AC218,AC233,IF(V230=AE218,AE233,AB230))</f>
        <v>1307.0130824494734</v>
      </c>
      <c r="AT230" s="4" t="str">
        <f>W227</f>
        <v>Intense 12 Lexington</v>
      </c>
      <c r="AU230" s="4">
        <f>AE227</f>
        <v>1391.547816818643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1418.5341024586221</v>
      </c>
      <c r="D231" s="4">
        <f>VLOOKUP(D218,$A227:$J230,3,FALSE)</f>
        <v>1396.8261896374447</v>
      </c>
      <c r="E231" s="4">
        <f>VLOOKUP(E218,$A227:$J230,4,FALSE)</f>
        <v>1468.8483067654026</v>
      </c>
      <c r="G231" s="4">
        <f>VLOOKUP(G218,$A227:$J230,4,FALSE)</f>
        <v>1432.8387704265824</v>
      </c>
      <c r="H231" s="4">
        <f>VLOOKUP(H218,$A227:$J230,7,FALSE)</f>
        <v>1426.0349087091663</v>
      </c>
      <c r="J231" s="4">
        <f>VLOOKUP(J218,$A227:$J230,7,FALSE)</f>
        <v>1476.0221127674661</v>
      </c>
      <c r="T231" s="513" t="s">
        <v>116</v>
      </c>
      <c r="U231" s="513"/>
      <c r="V231" s="513"/>
      <c r="W231" s="4">
        <f>VLOOKUP(W218,$V227:$AE230,3,FALSE)</f>
        <v>1401.6308274545675</v>
      </c>
      <c r="Y231" s="4">
        <f>VLOOKUP(Y218,$V227:$AE230,3,FALSE)</f>
        <v>1309.0350527843616</v>
      </c>
      <c r="Z231" s="4">
        <f>VLOOKUP(Z218,$V227:$AE230,4,FALSE)</f>
        <v>1399.7657168979335</v>
      </c>
      <c r="AB231" s="4">
        <f>VLOOKUP(AB218,$V227:$AE230,4,FALSE)</f>
        <v>1295.295172435071</v>
      </c>
      <c r="AC231" s="4">
        <f>VLOOKUP(AC218,$V227:$AE230,7,FALSE)</f>
        <v>1319.118063420286</v>
      </c>
      <c r="AE231" s="4">
        <f>VLOOKUP(AE218,$V227:$AE230,7,FALSE)</f>
        <v>1405.4301625462319</v>
      </c>
      <c r="AT231" s="4" t="str">
        <f>W228</f>
        <v>TEV 12 Tori</v>
      </c>
      <c r="AU231" s="4">
        <f>AE228</f>
        <v>1417.5351435170446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1/(1+(10^-((B231-D231)/400)))*(B222+D222)</f>
        <v>0.53119960934098986</v>
      </c>
      <c r="C232" s="69"/>
      <c r="D232" s="69">
        <f>1/(1+(10^-((D231-B231)/400)))*(B222+D222)</f>
        <v>0.46880039065901014</v>
      </c>
      <c r="E232" s="69">
        <f>1/(1+(10^-((E231-G231)/400)))*(E222+G222)</f>
        <v>0.55163712487103123</v>
      </c>
      <c r="G232" s="69">
        <f>1/(1+(10^-((G231-E231)/400)))*(E222+G222)</f>
        <v>0.44836287512896877</v>
      </c>
      <c r="H232" s="69">
        <f>1/(1+(10^-((H231-J231)/400)))*(H222+J222)</f>
        <v>1.2856647640508103</v>
      </c>
      <c r="J232" s="69">
        <f>1/(1+(10^-((J231-H231)/400)))*(H222+J222)</f>
        <v>1.7143352359491897</v>
      </c>
      <c r="T232" s="514" t="s">
        <v>117</v>
      </c>
      <c r="U232" s="514"/>
      <c r="V232" s="514"/>
      <c r="W232" s="69">
        <f>1/(1+(10^-((W231-Y231)/400)))*(W222+Y222)</f>
        <v>0.63018816474527539</v>
      </c>
      <c r="X232" s="69"/>
      <c r="Y232" s="69">
        <f>1/(1+(10^-((Y231-W231)/400)))*(W222+Y222)</f>
        <v>0.36981183525472466</v>
      </c>
      <c r="Z232" s="69">
        <f>1/(1+(10^-((Z231-AB231)/400)))*(Z222+AB222)</f>
        <v>0.64597214698135164</v>
      </c>
      <c r="AB232" s="69">
        <f>1/(1+(10^-((AB231-Z231)/400)))*(Z222+AB222)</f>
        <v>0.35402785301864836</v>
      </c>
      <c r="AC232" s="69">
        <f>1/(1+(10^-((AC231-AE231)/400)))*(AC222+AE222)</f>
        <v>0.75656131067578714</v>
      </c>
      <c r="AE232" s="69">
        <f>1/(1+(10^-((AE231-AC231)/400)))*(AC222+AE222)</f>
        <v>1.2434386893242129</v>
      </c>
      <c r="AT232" s="4" t="str">
        <f>W229</f>
        <v>Kershaw 12 White</v>
      </c>
      <c r="AU232" s="4">
        <f>AE229</f>
        <v>1289.6307267867726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1426.0349087091663</v>
      </c>
      <c r="C233" s="75"/>
      <c r="D233" s="75">
        <f>D231+(D222-D232)*$BA$2</f>
        <v>1389.3253833869005</v>
      </c>
      <c r="E233" s="75">
        <f>E231+(E222-E232)*$BA$2</f>
        <v>1476.0221127674661</v>
      </c>
      <c r="G233" s="75">
        <f>G231+(G222-G232)*$BA$2</f>
        <v>1425.664964424519</v>
      </c>
      <c r="H233" s="75">
        <f>H231+(H222-H232)*$BA$2</f>
        <v>1421.4642724843534</v>
      </c>
      <c r="J233" s="75">
        <f>J231+(J222-J232)*$BA$2</f>
        <v>1480.592748992279</v>
      </c>
      <c r="T233" s="502" t="s">
        <v>118</v>
      </c>
      <c r="U233" s="502"/>
      <c r="V233" s="502"/>
      <c r="W233" s="75">
        <f>W231+(W222-W232)*$BA$2</f>
        <v>1391.547816818643</v>
      </c>
      <c r="X233" s="75"/>
      <c r="Y233" s="75">
        <f>Y231+(Y222-Y232)*$BA$2</f>
        <v>1319.118063420286</v>
      </c>
      <c r="Z233" s="75">
        <f>Z231+(Z222-Z232)*$BA$2</f>
        <v>1405.4301625462319</v>
      </c>
      <c r="AB233" s="75">
        <f>AB231+(AB222-AB232)*$BA$2</f>
        <v>1289.6307267867726</v>
      </c>
      <c r="AC233" s="75">
        <f>AC231+(AC222-AC232)*$BA$2</f>
        <v>1307.0130824494734</v>
      </c>
      <c r="AE233" s="75">
        <f>AE231+(AE222-AE232)*$BA$2</f>
        <v>1417.5351435170446</v>
      </c>
      <c r="AT233" s="4" t="str">
        <f>W230</f>
        <v>SC Midlands 12 Garnet</v>
      </c>
      <c r="AU233" s="4">
        <f>AE230</f>
        <v>1307.0130824494734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503" t="s">
        <v>169</v>
      </c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R234" s="102"/>
      <c r="S234" s="102"/>
      <c r="T234" s="122"/>
      <c r="U234" s="122"/>
      <c r="V234" s="503" t="s">
        <v>169</v>
      </c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02"/>
      <c r="AI234" s="102"/>
      <c r="AJ234" s="102"/>
      <c r="AW234" s="58"/>
      <c r="AX234" s="55"/>
      <c r="AY234" s="55"/>
      <c r="AZ234" s="55"/>
      <c r="BA234" s="55"/>
    </row>
    <row r="235" spans="1:77" x14ac:dyDescent="0.2">
      <c r="AT235" s="55"/>
      <c r="AU235" s="55"/>
      <c r="AV235" s="55"/>
      <c r="AW235" s="58"/>
      <c r="AX235" s="55"/>
      <c r="AY235" s="55"/>
      <c r="AZ235" s="55"/>
      <c r="BA235" s="55"/>
    </row>
    <row r="236" spans="1:77" x14ac:dyDescent="0.2">
      <c r="AT236" s="55"/>
      <c r="AU236" s="55"/>
      <c r="AV236" s="55"/>
      <c r="AW236" s="58"/>
      <c r="AX236" s="55"/>
      <c r="AY236" s="55"/>
      <c r="AZ236" s="55"/>
      <c r="BA236" s="55"/>
    </row>
    <row r="237" spans="1:77" x14ac:dyDescent="0.2">
      <c r="AT237" s="55"/>
      <c r="AU237" s="55"/>
      <c r="AV237" s="55"/>
      <c r="AW237" s="58"/>
      <c r="AX237" s="55"/>
      <c r="AY237" s="55"/>
      <c r="AZ237" s="55"/>
      <c r="BA237" s="55"/>
    </row>
    <row r="238" spans="1:77" x14ac:dyDescent="0.2">
      <c r="AT238" s="55"/>
      <c r="AU238" s="55"/>
      <c r="AV238" s="55"/>
      <c r="AW238" s="58"/>
      <c r="AX238" s="55"/>
      <c r="AY238" s="55"/>
      <c r="AZ238" s="55"/>
      <c r="BA238" s="55"/>
    </row>
    <row r="239" spans="1:77" x14ac:dyDescent="0.2">
      <c r="AT239" s="55"/>
      <c r="AU239" s="55"/>
      <c r="AV239" s="55"/>
      <c r="AW239" s="58"/>
      <c r="AX239" s="55"/>
      <c r="AY239" s="55"/>
      <c r="AZ239" s="55"/>
      <c r="BA239" s="55"/>
    </row>
    <row r="240" spans="1:77" x14ac:dyDescent="0.2">
      <c r="AT240" s="55"/>
      <c r="AU240" s="55"/>
      <c r="AV240" s="55"/>
      <c r="AW240" s="58"/>
      <c r="AX240" s="55"/>
      <c r="AY240" s="55"/>
      <c r="AZ240" s="55"/>
      <c r="BA240" s="55"/>
    </row>
    <row r="241" spans="46:53" x14ac:dyDescent="0.2">
      <c r="AT241" s="55"/>
      <c r="AU241" s="55"/>
      <c r="AV241" s="55"/>
      <c r="AW241" s="58"/>
      <c r="AX241" s="55"/>
      <c r="AY241" s="55"/>
      <c r="AZ241" s="55"/>
      <c r="BA241" s="55"/>
    </row>
    <row r="242" spans="46:53" x14ac:dyDescent="0.2">
      <c r="AT242" s="55"/>
      <c r="AU242" s="55"/>
      <c r="AV242" s="55"/>
      <c r="AW242" s="58"/>
      <c r="AX242" s="55"/>
      <c r="AY242" s="55"/>
      <c r="AZ242" s="55"/>
      <c r="BA242" s="55"/>
    </row>
    <row r="243" spans="46:53" x14ac:dyDescent="0.2">
      <c r="AT243" s="55"/>
      <c r="AU243" s="55"/>
      <c r="AV243" s="55"/>
      <c r="AW243" s="58"/>
      <c r="AX243" s="55"/>
      <c r="AY243" s="55"/>
      <c r="AZ243" s="55"/>
      <c r="BA243" s="55"/>
    </row>
    <row r="244" spans="46:53" x14ac:dyDescent="0.2">
      <c r="AT244" s="55"/>
      <c r="AU244" s="55"/>
      <c r="AV244" s="55"/>
      <c r="AW244" s="58"/>
      <c r="AX244" s="55"/>
      <c r="AY244" s="55"/>
      <c r="AZ244" s="55"/>
      <c r="BA244" s="55"/>
    </row>
    <row r="245" spans="46:53" x14ac:dyDescent="0.2">
      <c r="AT245" s="55"/>
      <c r="AU245" s="55"/>
      <c r="AV245" s="55"/>
      <c r="AW245" s="58"/>
      <c r="AX245" s="55"/>
      <c r="AY245" s="55"/>
      <c r="AZ245" s="55"/>
      <c r="BA245" s="55"/>
    </row>
    <row r="246" spans="46:53" x14ac:dyDescent="0.2">
      <c r="AT246" s="55"/>
      <c r="AU246" s="55"/>
      <c r="AV246" s="55"/>
      <c r="AW246" s="58"/>
      <c r="AX246" s="55"/>
      <c r="AY246" s="55"/>
      <c r="AZ246" s="55"/>
      <c r="BA246" s="55"/>
    </row>
    <row r="247" spans="46:53" x14ac:dyDescent="0.2">
      <c r="AT247" s="55"/>
      <c r="AU247" s="55"/>
      <c r="AV247" s="55"/>
    </row>
    <row r="248" spans="46:53" x14ac:dyDescent="0.2">
      <c r="AT248" s="55"/>
      <c r="AU248" s="55"/>
      <c r="AV248" s="55"/>
      <c r="AW248" s="66"/>
      <c r="AX248" s="63"/>
      <c r="AY248" s="63"/>
      <c r="AZ248" s="63"/>
      <c r="BA248" s="63"/>
    </row>
    <row r="249" spans="46:53" x14ac:dyDescent="0.2">
      <c r="AT249" s="55"/>
      <c r="AU249" s="55"/>
      <c r="AV249" s="55"/>
      <c r="AW249" s="66"/>
      <c r="AX249" s="63"/>
      <c r="AY249" s="63"/>
      <c r="AZ249" s="63"/>
      <c r="BA249" s="63"/>
    </row>
    <row r="250" spans="46:53" x14ac:dyDescent="0.2">
      <c r="AT250" s="55"/>
      <c r="AU250" s="55"/>
      <c r="AV250" s="55"/>
      <c r="AW250" s="66"/>
      <c r="AX250" s="63"/>
      <c r="AY250" s="63"/>
      <c r="AZ250" s="63"/>
      <c r="BA250" s="63"/>
    </row>
    <row r="251" spans="46:53" x14ac:dyDescent="0.2">
      <c r="AT251" s="55"/>
      <c r="AU251" s="55"/>
      <c r="AV251" s="55"/>
      <c r="AW251" s="66"/>
      <c r="AX251" s="63"/>
      <c r="AY251" s="63"/>
      <c r="AZ251" s="63"/>
      <c r="BA251" s="63"/>
    </row>
    <row r="252" spans="46:53" x14ac:dyDescent="0.2">
      <c r="AT252" s="55"/>
      <c r="AU252" s="55"/>
      <c r="AV252" s="55"/>
      <c r="AW252" s="66"/>
      <c r="AX252" s="63"/>
      <c r="AY252" s="63"/>
      <c r="AZ252" s="63"/>
      <c r="BA252" s="63"/>
    </row>
    <row r="253" spans="46:53" x14ac:dyDescent="0.2">
      <c r="AT253" s="55"/>
      <c r="AU253" s="55"/>
      <c r="AV253" s="55"/>
      <c r="AW253" s="66"/>
      <c r="AX253" s="63"/>
      <c r="AY253" s="63"/>
      <c r="AZ253" s="63"/>
      <c r="BA253" s="63"/>
    </row>
    <row r="254" spans="46:53" x14ac:dyDescent="0.2">
      <c r="AT254" s="55"/>
      <c r="AU254" s="55"/>
      <c r="AV254" s="55"/>
      <c r="AW254" s="66"/>
      <c r="AX254" s="63"/>
      <c r="AY254" s="63"/>
      <c r="AZ254" s="63"/>
      <c r="BA254" s="63"/>
    </row>
    <row r="255" spans="46:53" x14ac:dyDescent="0.2">
      <c r="AT255" s="55"/>
      <c r="AU255" s="55"/>
      <c r="AV255" s="55"/>
      <c r="AW255" s="66"/>
      <c r="AX255" s="63"/>
      <c r="AY255" s="63"/>
      <c r="AZ255" s="63"/>
      <c r="BA255" s="63"/>
    </row>
    <row r="256" spans="46:53" x14ac:dyDescent="0.2">
      <c r="AT256" s="55"/>
      <c r="AU256" s="55"/>
      <c r="AV256" s="55"/>
      <c r="AW256" s="73"/>
      <c r="AX256" s="72"/>
      <c r="AY256" s="72"/>
      <c r="AZ256" s="72"/>
      <c r="BA256" s="72"/>
    </row>
    <row r="257" spans="46:53" x14ac:dyDescent="0.2">
      <c r="AT257" s="55"/>
      <c r="AU257" s="55"/>
      <c r="AV257" s="55"/>
      <c r="AW257" s="79"/>
      <c r="AX257" s="78"/>
      <c r="AY257" s="78"/>
      <c r="AZ257" s="78"/>
      <c r="BA257" s="78"/>
    </row>
    <row r="258" spans="46:53" x14ac:dyDescent="0.2">
      <c r="AT258" s="55"/>
      <c r="AU258" s="55"/>
      <c r="AV258" s="55"/>
      <c r="AW258" s="79"/>
      <c r="AX258" s="78"/>
      <c r="AY258" s="78"/>
      <c r="AZ258" s="78"/>
      <c r="BA258" s="78"/>
    </row>
    <row r="259" spans="46:53" x14ac:dyDescent="0.2">
      <c r="AT259" s="55"/>
      <c r="AU259" s="55"/>
      <c r="AV259" s="55"/>
      <c r="AW259" s="66"/>
      <c r="AX259" s="63"/>
      <c r="AY259" s="63"/>
      <c r="AZ259" s="63"/>
      <c r="BA259" s="63"/>
    </row>
    <row r="260" spans="46:53" x14ac:dyDescent="0.2">
      <c r="AT260" s="63"/>
      <c r="AU260" s="63"/>
      <c r="AV260" s="63"/>
      <c r="AW260" s="66"/>
      <c r="AX260" s="63"/>
      <c r="AY260" s="63"/>
      <c r="AZ260" s="63"/>
      <c r="BA260" s="63"/>
    </row>
    <row r="261" spans="46:53" x14ac:dyDescent="0.2">
      <c r="AT261" s="63"/>
      <c r="AU261" s="63"/>
      <c r="AV261" s="63"/>
    </row>
    <row r="286" spans="46:53" x14ac:dyDescent="0.2">
      <c r="AT286" s="55"/>
      <c r="AU286" s="55"/>
      <c r="AV286" s="55"/>
      <c r="AW286" s="58"/>
      <c r="AX286" s="55"/>
      <c r="AY286" s="55"/>
      <c r="AZ286" s="55"/>
      <c r="BA286" s="55"/>
    </row>
    <row r="287" spans="46:53" x14ac:dyDescent="0.2">
      <c r="AT287" s="55"/>
      <c r="AU287" s="55"/>
      <c r="AV287" s="55"/>
      <c r="AW287" s="58"/>
      <c r="AX287" s="55"/>
      <c r="AY287" s="55"/>
      <c r="AZ287" s="55"/>
      <c r="BA287" s="55"/>
    </row>
    <row r="288" spans="46:53" x14ac:dyDescent="0.2">
      <c r="AT288" s="55"/>
      <c r="AU288" s="55"/>
      <c r="AV288" s="55"/>
      <c r="AW288" s="58"/>
      <c r="AX288" s="55"/>
      <c r="AY288" s="55"/>
      <c r="AZ288" s="55"/>
      <c r="BA288" s="55"/>
    </row>
    <row r="289" spans="46:53" x14ac:dyDescent="0.2">
      <c r="AT289" s="55"/>
      <c r="AU289" s="55"/>
      <c r="AV289" s="55"/>
      <c r="AW289" s="58"/>
      <c r="AX289" s="55"/>
      <c r="AY289" s="55"/>
      <c r="AZ289" s="55"/>
      <c r="BA289" s="55"/>
    </row>
    <row r="290" spans="46:53" x14ac:dyDescent="0.2">
      <c r="AT290" s="55"/>
      <c r="AU290" s="55"/>
      <c r="AV290" s="55"/>
      <c r="AW290" s="58"/>
      <c r="AX290" s="55"/>
      <c r="AY290" s="55"/>
      <c r="AZ290" s="55"/>
      <c r="BA290" s="55"/>
    </row>
    <row r="291" spans="46:53" x14ac:dyDescent="0.2">
      <c r="AT291" s="55"/>
      <c r="AU291" s="55"/>
      <c r="AV291" s="55"/>
      <c r="AW291" s="58"/>
      <c r="AX291" s="55"/>
      <c r="AY291" s="55"/>
      <c r="AZ291" s="55"/>
      <c r="BA291" s="55"/>
    </row>
    <row r="292" spans="46:53" x14ac:dyDescent="0.2">
      <c r="AT292" s="55"/>
      <c r="AU292" s="55"/>
      <c r="AV292" s="55"/>
      <c r="AW292" s="58"/>
      <c r="AX292" s="55"/>
      <c r="AY292" s="55"/>
      <c r="AZ292" s="55"/>
      <c r="BA292" s="55"/>
    </row>
    <row r="293" spans="46:53" x14ac:dyDescent="0.2">
      <c r="AT293" s="55"/>
      <c r="AU293" s="55"/>
      <c r="AV293" s="55"/>
      <c r="AW293" s="58"/>
      <c r="AX293" s="55"/>
      <c r="AY293" s="55"/>
      <c r="AZ293" s="55"/>
      <c r="BA293" s="55"/>
    </row>
    <row r="294" spans="46:53" x14ac:dyDescent="0.2">
      <c r="AT294" s="55"/>
      <c r="AU294" s="55"/>
      <c r="AV294" s="55"/>
      <c r="AW294" s="58"/>
      <c r="AX294" s="55"/>
      <c r="AY294" s="55"/>
      <c r="AZ294" s="55"/>
      <c r="BA294" s="55"/>
    </row>
    <row r="295" spans="46:53" x14ac:dyDescent="0.2">
      <c r="AT295" s="55"/>
      <c r="AU295" s="55"/>
      <c r="AV295" s="55"/>
      <c r="AW295" s="58"/>
      <c r="AX295" s="55"/>
      <c r="AY295" s="55"/>
      <c r="AZ295" s="55"/>
      <c r="BA295" s="55"/>
    </row>
    <row r="296" spans="46:53" x14ac:dyDescent="0.2">
      <c r="AT296" s="55"/>
      <c r="AU296" s="55"/>
      <c r="AV296" s="55"/>
      <c r="AW296" s="58"/>
      <c r="AX296" s="55"/>
      <c r="AY296" s="55"/>
      <c r="AZ296" s="55"/>
      <c r="BA296" s="55"/>
    </row>
    <row r="297" spans="46:53" x14ac:dyDescent="0.2">
      <c r="AT297" s="55"/>
      <c r="AU297" s="55"/>
      <c r="AV297" s="55"/>
      <c r="AW297" s="58"/>
      <c r="AX297" s="55"/>
      <c r="AY297" s="55"/>
      <c r="AZ297" s="55"/>
      <c r="BA297" s="55"/>
    </row>
    <row r="298" spans="46:53" x14ac:dyDescent="0.2">
      <c r="AT298" s="55"/>
      <c r="AU298" s="55"/>
      <c r="AV298" s="55"/>
      <c r="AW298" s="58"/>
      <c r="AX298" s="55"/>
      <c r="AY298" s="55"/>
      <c r="AZ298" s="55"/>
      <c r="BA298" s="55"/>
    </row>
    <row r="299" spans="46:53" x14ac:dyDescent="0.2">
      <c r="AT299" s="55"/>
      <c r="AU299" s="55"/>
      <c r="AV299" s="55"/>
      <c r="AW299" s="58"/>
      <c r="AX299" s="55"/>
      <c r="AY299" s="55"/>
      <c r="AZ299" s="55"/>
      <c r="BA299" s="55"/>
    </row>
    <row r="300" spans="46:53" x14ac:dyDescent="0.2">
      <c r="AT300" s="55"/>
      <c r="AU300" s="55"/>
      <c r="AV300" s="55"/>
      <c r="AW300" s="58"/>
      <c r="AX300" s="55"/>
      <c r="AY300" s="55"/>
      <c r="AZ300" s="55"/>
      <c r="BA300" s="55"/>
    </row>
    <row r="301" spans="46:53" x14ac:dyDescent="0.2">
      <c r="AT301" s="55"/>
      <c r="AU301" s="55"/>
      <c r="AV301" s="55"/>
      <c r="AW301" s="58"/>
      <c r="AX301" s="55"/>
      <c r="AY301" s="55"/>
      <c r="AZ301" s="55"/>
      <c r="BA301" s="55"/>
    </row>
    <row r="302" spans="46:53" x14ac:dyDescent="0.2">
      <c r="AT302" s="55"/>
      <c r="AU302" s="55"/>
      <c r="AV302" s="55"/>
      <c r="AW302" s="58"/>
      <c r="AX302" s="55"/>
      <c r="AY302" s="55"/>
      <c r="AZ302" s="55"/>
      <c r="BA302" s="55"/>
    </row>
    <row r="303" spans="46:53" x14ac:dyDescent="0.2">
      <c r="AT303" s="55"/>
      <c r="AU303" s="55"/>
      <c r="AV303" s="55"/>
      <c r="AW303" s="58"/>
      <c r="AX303" s="55"/>
      <c r="AY303" s="55"/>
      <c r="AZ303" s="55"/>
      <c r="BA303" s="55"/>
    </row>
    <row r="304" spans="46:53" x14ac:dyDescent="0.2">
      <c r="AT304" s="55"/>
      <c r="AU304" s="55"/>
      <c r="AV304" s="55"/>
      <c r="AW304" s="58"/>
      <c r="AX304" s="55"/>
      <c r="AY304" s="55"/>
      <c r="AZ304" s="55"/>
      <c r="BA304" s="55"/>
    </row>
    <row r="305" spans="46:53" x14ac:dyDescent="0.2">
      <c r="AT305" s="55"/>
      <c r="AU305" s="55"/>
      <c r="AV305" s="55"/>
      <c r="AW305" s="58"/>
      <c r="AX305" s="55"/>
      <c r="AY305" s="55"/>
      <c r="AZ305" s="55"/>
      <c r="BA305" s="55"/>
    </row>
    <row r="306" spans="46:53" x14ac:dyDescent="0.2">
      <c r="AT306" s="55"/>
      <c r="AU306" s="55"/>
      <c r="AV306" s="55"/>
      <c r="AW306" s="58"/>
      <c r="AX306" s="55"/>
      <c r="AY306" s="55"/>
      <c r="AZ306" s="55"/>
      <c r="BA306" s="55"/>
    </row>
    <row r="307" spans="46:53" x14ac:dyDescent="0.2">
      <c r="AT307" s="55"/>
      <c r="AU307" s="55"/>
      <c r="AV307" s="55"/>
      <c r="AW307" s="58"/>
      <c r="AX307" s="55"/>
      <c r="AY307" s="55"/>
      <c r="AZ307" s="55"/>
      <c r="BA307" s="55"/>
    </row>
    <row r="308" spans="46:53" x14ac:dyDescent="0.2">
      <c r="AT308" s="55"/>
      <c r="AU308" s="55"/>
      <c r="AV308" s="55"/>
      <c r="AW308" s="58"/>
      <c r="AX308" s="55"/>
      <c r="AY308" s="55"/>
      <c r="AZ308" s="55"/>
      <c r="BA308" s="55"/>
    </row>
    <row r="309" spans="46:53" x14ac:dyDescent="0.2">
      <c r="AT309" s="55"/>
      <c r="AU309" s="55"/>
      <c r="AV309" s="55"/>
      <c r="AW309" s="58"/>
      <c r="AX309" s="55"/>
      <c r="AY309" s="55"/>
      <c r="AZ309" s="55"/>
      <c r="BA309" s="55"/>
    </row>
    <row r="310" spans="46:53" x14ac:dyDescent="0.2">
      <c r="AT310" s="55"/>
      <c r="AU310" s="55"/>
      <c r="AV310" s="55"/>
      <c r="AW310" s="58"/>
      <c r="AX310" s="55"/>
      <c r="AY310" s="55"/>
      <c r="AZ310" s="55"/>
      <c r="BA310" s="55"/>
    </row>
    <row r="311" spans="46:53" x14ac:dyDescent="0.2">
      <c r="AT311" s="55"/>
      <c r="AU311" s="55"/>
      <c r="AV311" s="55"/>
      <c r="AW311" s="58"/>
      <c r="AX311" s="55"/>
      <c r="AY311" s="55"/>
      <c r="AZ311" s="55"/>
      <c r="BA311" s="55"/>
    </row>
    <row r="312" spans="46:53" x14ac:dyDescent="0.2">
      <c r="AT312" s="55"/>
      <c r="AU312" s="55"/>
      <c r="AV312" s="55"/>
      <c r="AW312" s="58"/>
      <c r="AX312" s="55"/>
      <c r="AY312" s="55"/>
      <c r="AZ312" s="55"/>
      <c r="BA312" s="55"/>
    </row>
    <row r="313" spans="46:53" x14ac:dyDescent="0.2">
      <c r="AT313" s="55"/>
      <c r="AU313" s="55"/>
      <c r="AV313" s="55"/>
      <c r="AW313" s="58"/>
      <c r="AX313" s="55"/>
      <c r="AY313" s="55"/>
      <c r="AZ313" s="55"/>
      <c r="BA313" s="55"/>
    </row>
    <row r="314" spans="46:53" x14ac:dyDescent="0.2">
      <c r="AT314" s="55"/>
      <c r="AU314" s="55"/>
      <c r="AV314" s="55"/>
      <c r="AW314" s="58"/>
      <c r="AX314" s="55"/>
      <c r="AY314" s="55"/>
      <c r="AZ314" s="55"/>
      <c r="BA314" s="55"/>
    </row>
    <row r="315" spans="46:53" x14ac:dyDescent="0.2">
      <c r="AT315" s="55"/>
      <c r="AU315" s="55"/>
      <c r="AV315" s="55"/>
      <c r="AW315" s="58"/>
      <c r="AX315" s="55"/>
      <c r="AY315" s="55"/>
      <c r="AZ315" s="55"/>
      <c r="BA315" s="55"/>
    </row>
    <row r="316" spans="46:53" x14ac:dyDescent="0.2">
      <c r="AT316" s="55"/>
      <c r="AU316" s="55"/>
      <c r="AV316" s="55"/>
      <c r="AW316" s="58"/>
      <c r="AX316" s="55"/>
      <c r="AY316" s="55"/>
      <c r="AZ316" s="55"/>
      <c r="BA316" s="55"/>
    </row>
    <row r="317" spans="46:53" x14ac:dyDescent="0.2">
      <c r="AT317" s="55"/>
      <c r="AU317" s="55"/>
      <c r="AV317" s="55"/>
      <c r="AW317" s="58"/>
      <c r="AX317" s="55"/>
      <c r="AY317" s="55"/>
      <c r="AZ317" s="55"/>
      <c r="BA317" s="55"/>
    </row>
    <row r="318" spans="46:53" x14ac:dyDescent="0.2">
      <c r="AT318" s="55"/>
      <c r="AU318" s="55"/>
      <c r="AV318" s="55"/>
      <c r="AW318" s="58"/>
      <c r="AX318" s="55"/>
      <c r="AY318" s="55"/>
      <c r="AZ318" s="55"/>
      <c r="BA318" s="55"/>
    </row>
    <row r="319" spans="46:53" x14ac:dyDescent="0.2">
      <c r="AT319" s="55"/>
      <c r="AU319" s="55"/>
      <c r="AV319" s="55"/>
      <c r="AW319" s="58"/>
      <c r="AX319" s="55"/>
      <c r="AY319" s="55"/>
      <c r="AZ319" s="55"/>
      <c r="BA319" s="55"/>
    </row>
    <row r="320" spans="46:53" x14ac:dyDescent="0.2">
      <c r="AT320" s="55"/>
      <c r="AU320" s="55"/>
      <c r="AV320" s="55"/>
      <c r="AW320" s="58"/>
      <c r="AX320" s="55"/>
      <c r="AY320" s="55"/>
      <c r="AZ320" s="55"/>
      <c r="BA320" s="55"/>
    </row>
    <row r="321" spans="46:53" x14ac:dyDescent="0.2">
      <c r="AT321" s="55"/>
      <c r="AU321" s="55"/>
      <c r="AV321" s="55"/>
      <c r="AW321" s="58"/>
      <c r="AX321" s="55"/>
      <c r="AY321" s="55"/>
      <c r="AZ321" s="55"/>
      <c r="BA321" s="55"/>
    </row>
    <row r="322" spans="46:53" x14ac:dyDescent="0.2">
      <c r="AT322" s="55"/>
      <c r="AU322" s="55"/>
      <c r="AV322" s="55"/>
      <c r="AW322" s="58"/>
      <c r="AX322" s="55"/>
      <c r="AY322" s="55"/>
      <c r="AZ322" s="55"/>
      <c r="BA322" s="55"/>
    </row>
    <row r="323" spans="46:53" x14ac:dyDescent="0.2">
      <c r="AT323" s="55"/>
      <c r="AU323" s="55"/>
      <c r="AV323" s="55"/>
      <c r="AW323" s="58"/>
      <c r="AX323" s="55"/>
      <c r="AY323" s="55"/>
      <c r="AZ323" s="55"/>
      <c r="BA323" s="55"/>
    </row>
    <row r="324" spans="46:53" x14ac:dyDescent="0.2">
      <c r="AT324" s="55"/>
      <c r="AU324" s="55"/>
      <c r="AV324" s="55"/>
      <c r="AW324" s="58"/>
      <c r="AX324" s="55"/>
      <c r="AY324" s="55"/>
      <c r="AZ324" s="55"/>
      <c r="BA324" s="55"/>
    </row>
    <row r="325" spans="46:53" x14ac:dyDescent="0.2">
      <c r="AT325" s="55"/>
      <c r="AU325" s="55"/>
      <c r="AV325" s="55"/>
      <c r="AW325" s="58"/>
      <c r="AX325" s="55"/>
      <c r="AY325" s="55"/>
      <c r="AZ325" s="55"/>
      <c r="BA325" s="55"/>
    </row>
    <row r="326" spans="46:53" x14ac:dyDescent="0.2">
      <c r="AT326" s="55"/>
      <c r="AU326" s="55"/>
      <c r="AV326" s="55"/>
      <c r="AW326" s="58"/>
      <c r="AX326" s="55"/>
      <c r="AY326" s="55"/>
      <c r="AZ326" s="55"/>
      <c r="BA326" s="55"/>
    </row>
    <row r="327" spans="46:53" x14ac:dyDescent="0.2">
      <c r="AT327" s="55"/>
      <c r="AU327" s="55"/>
      <c r="AV327" s="55"/>
      <c r="AW327" s="58"/>
      <c r="AX327" s="55"/>
      <c r="AY327" s="55"/>
      <c r="AZ327" s="55"/>
      <c r="BA327" s="55"/>
    </row>
    <row r="328" spans="46:53" x14ac:dyDescent="0.2">
      <c r="AT328" s="55"/>
      <c r="AU328" s="55"/>
      <c r="AV328" s="55"/>
      <c r="AW328" s="58"/>
      <c r="AX328" s="55"/>
      <c r="AY328" s="55"/>
      <c r="AZ328" s="55"/>
      <c r="BA328" s="55"/>
    </row>
    <row r="329" spans="46:53" x14ac:dyDescent="0.2">
      <c r="AT329" s="55"/>
      <c r="AU329" s="55"/>
      <c r="AV329" s="55"/>
      <c r="AW329" s="58"/>
      <c r="AX329" s="55"/>
      <c r="AY329" s="55"/>
      <c r="AZ329" s="55"/>
      <c r="BA329" s="55"/>
    </row>
    <row r="330" spans="46:53" x14ac:dyDescent="0.2">
      <c r="AT330" s="55"/>
      <c r="AU330" s="55"/>
      <c r="AV330" s="55"/>
      <c r="AW330" s="58"/>
      <c r="AX330" s="55"/>
      <c r="AY330" s="55"/>
      <c r="AZ330" s="55"/>
      <c r="BA330" s="55"/>
    </row>
    <row r="331" spans="46:53" x14ac:dyDescent="0.2">
      <c r="AT331" s="55"/>
      <c r="AU331" s="55"/>
      <c r="AV331" s="55"/>
      <c r="AW331" s="58"/>
      <c r="AX331" s="55"/>
      <c r="AY331" s="55"/>
      <c r="AZ331" s="55"/>
      <c r="BA331" s="55"/>
    </row>
    <row r="332" spans="46:53" x14ac:dyDescent="0.2">
      <c r="AT332" s="63"/>
      <c r="AU332" s="63"/>
      <c r="AV332" s="63"/>
    </row>
    <row r="333" spans="46:53" x14ac:dyDescent="0.2">
      <c r="AT333" s="63"/>
      <c r="AU333" s="63"/>
      <c r="AV333" s="63"/>
      <c r="AW333" s="66"/>
      <c r="AX333" s="63"/>
      <c r="AY333" s="63"/>
      <c r="AZ333" s="63"/>
      <c r="BA333" s="63"/>
    </row>
    <row r="334" spans="46:53" x14ac:dyDescent="0.2">
      <c r="AW334" s="66"/>
      <c r="AX334" s="63"/>
      <c r="AY334" s="63"/>
      <c r="AZ334" s="63"/>
      <c r="BA334" s="63"/>
    </row>
    <row r="335" spans="46:53" x14ac:dyDescent="0.2">
      <c r="AW335" s="66"/>
      <c r="AX335" s="63"/>
      <c r="AY335" s="63"/>
      <c r="AZ335" s="63"/>
      <c r="BA335" s="63"/>
    </row>
    <row r="336" spans="46:53" x14ac:dyDescent="0.2">
      <c r="AW336" s="66"/>
      <c r="AX336" s="63"/>
      <c r="AY336" s="63"/>
      <c r="AZ336" s="63"/>
      <c r="BA336" s="63"/>
    </row>
    <row r="337" spans="46:53" x14ac:dyDescent="0.2">
      <c r="AW337" s="66"/>
      <c r="AX337" s="63"/>
      <c r="AY337" s="63"/>
      <c r="AZ337" s="63"/>
      <c r="BA337" s="63"/>
    </row>
    <row r="338" spans="46:53" x14ac:dyDescent="0.2">
      <c r="AW338" s="66"/>
      <c r="AX338" s="63"/>
      <c r="AY338" s="63"/>
      <c r="AZ338" s="63"/>
      <c r="BA338" s="63"/>
    </row>
    <row r="339" spans="46:53" x14ac:dyDescent="0.2">
      <c r="AW339" s="66"/>
      <c r="AX339" s="63"/>
      <c r="AY339" s="63"/>
      <c r="AZ339" s="63"/>
      <c r="BA339" s="63"/>
    </row>
    <row r="340" spans="46:53" x14ac:dyDescent="0.2">
      <c r="AW340" s="66"/>
      <c r="AX340" s="63"/>
      <c r="AY340" s="63"/>
      <c r="AZ340" s="63"/>
      <c r="BA340" s="63"/>
    </row>
    <row r="341" spans="46:53" x14ac:dyDescent="0.2">
      <c r="AW341" s="73"/>
      <c r="AX341" s="72"/>
      <c r="AY341" s="72"/>
      <c r="AZ341" s="72"/>
      <c r="BA341" s="72"/>
    </row>
    <row r="342" spans="46:53" x14ac:dyDescent="0.2">
      <c r="AW342" s="79"/>
      <c r="AX342" s="78"/>
      <c r="AY342" s="78"/>
      <c r="AZ342" s="78"/>
      <c r="BA342" s="78"/>
    </row>
    <row r="343" spans="46:53" x14ac:dyDescent="0.2">
      <c r="AW343" s="79"/>
      <c r="AX343" s="78"/>
      <c r="AY343" s="78"/>
      <c r="AZ343" s="78"/>
      <c r="BA343" s="78"/>
    </row>
    <row r="344" spans="46:53" x14ac:dyDescent="0.2">
      <c r="AW344" s="66"/>
      <c r="AX344" s="63"/>
      <c r="AY344" s="63"/>
      <c r="AZ344" s="63"/>
      <c r="BA344" s="63"/>
    </row>
    <row r="345" spans="46:53" x14ac:dyDescent="0.2">
      <c r="AW345" s="66"/>
      <c r="AX345" s="63"/>
      <c r="AY345" s="63"/>
      <c r="AZ345" s="63"/>
      <c r="BA345" s="63"/>
    </row>
    <row r="348" spans="46:53" x14ac:dyDescent="0.2">
      <c r="AT348" s="96"/>
      <c r="AU348" s="96"/>
    </row>
    <row r="371" spans="46:53" x14ac:dyDescent="0.2">
      <c r="AW371" s="58"/>
      <c r="AX371" s="55"/>
      <c r="AY371" s="55"/>
      <c r="AZ371" s="55"/>
      <c r="BA371" s="55"/>
    </row>
    <row r="372" spans="46:53" x14ac:dyDescent="0.2">
      <c r="AW372" s="58"/>
      <c r="AX372" s="55"/>
      <c r="AY372" s="55"/>
      <c r="AZ372" s="55"/>
      <c r="BA372" s="55"/>
    </row>
    <row r="373" spans="46:53" x14ac:dyDescent="0.2">
      <c r="AW373" s="58"/>
      <c r="AX373" s="55"/>
      <c r="AY373" s="55"/>
      <c r="AZ373" s="55"/>
      <c r="BA373" s="55"/>
    </row>
    <row r="374" spans="46:53" x14ac:dyDescent="0.2">
      <c r="AW374" s="58"/>
      <c r="AX374" s="55"/>
      <c r="AY374" s="55"/>
      <c r="AZ374" s="55"/>
      <c r="BA374" s="55"/>
    </row>
    <row r="375" spans="46:53" x14ac:dyDescent="0.2">
      <c r="AW375" s="58"/>
      <c r="AX375" s="55"/>
      <c r="AY375" s="55"/>
      <c r="AZ375" s="55"/>
      <c r="BA375" s="55"/>
    </row>
    <row r="376" spans="46:53" x14ac:dyDescent="0.2">
      <c r="AW376" s="58"/>
      <c r="AX376" s="55"/>
      <c r="AY376" s="55"/>
      <c r="AZ376" s="55"/>
      <c r="BA376" s="55"/>
    </row>
    <row r="377" spans="46:53" x14ac:dyDescent="0.2">
      <c r="AW377" s="58"/>
      <c r="AX377" s="55"/>
      <c r="AY377" s="55"/>
      <c r="AZ377" s="55"/>
      <c r="BA377" s="55"/>
    </row>
    <row r="378" spans="46:53" x14ac:dyDescent="0.2">
      <c r="AW378" s="58"/>
      <c r="AX378" s="55"/>
      <c r="AY378" s="55"/>
      <c r="AZ378" s="55"/>
      <c r="BA378" s="55"/>
    </row>
    <row r="379" spans="46:53" x14ac:dyDescent="0.2">
      <c r="AW379" s="58"/>
      <c r="AX379" s="55"/>
      <c r="AY379" s="55"/>
      <c r="AZ379" s="55"/>
      <c r="BA379" s="55"/>
    </row>
    <row r="380" spans="46:53" x14ac:dyDescent="0.2">
      <c r="AW380" s="58"/>
      <c r="AX380" s="55"/>
      <c r="AY380" s="55"/>
      <c r="AZ380" s="55"/>
      <c r="BA380" s="55"/>
    </row>
    <row r="381" spans="46:53" x14ac:dyDescent="0.2">
      <c r="AW381" s="58"/>
      <c r="AX381" s="55"/>
      <c r="AY381" s="55"/>
      <c r="AZ381" s="55"/>
      <c r="BA381" s="55"/>
    </row>
    <row r="382" spans="46:53" x14ac:dyDescent="0.2">
      <c r="AW382" s="58"/>
      <c r="AX382" s="55"/>
      <c r="AY382" s="55"/>
      <c r="AZ382" s="55"/>
      <c r="BA382" s="55"/>
    </row>
    <row r="383" spans="46:53" x14ac:dyDescent="0.2">
      <c r="AW383" s="58"/>
      <c r="AX383" s="55"/>
      <c r="AY383" s="55"/>
      <c r="AZ383" s="55"/>
      <c r="BA383" s="55"/>
    </row>
    <row r="384" spans="46:53" x14ac:dyDescent="0.2">
      <c r="AT384" s="96"/>
      <c r="AU384" s="96"/>
      <c r="AW384" s="58"/>
      <c r="AX384" s="55"/>
      <c r="AY384" s="55"/>
      <c r="AZ384" s="55"/>
      <c r="BA384" s="55"/>
    </row>
    <row r="385" spans="49:53" x14ac:dyDescent="0.2">
      <c r="AW385" s="58"/>
      <c r="AX385" s="55"/>
      <c r="AY385" s="55"/>
      <c r="AZ385" s="55"/>
      <c r="BA385" s="55"/>
    </row>
    <row r="386" spans="49:53" x14ac:dyDescent="0.2">
      <c r="AW386" s="58"/>
      <c r="AX386" s="55"/>
      <c r="AY386" s="55"/>
      <c r="AZ386" s="55"/>
      <c r="BA386" s="55"/>
    </row>
    <row r="387" spans="49:53" x14ac:dyDescent="0.2">
      <c r="AW387" s="58"/>
      <c r="AX387" s="55"/>
      <c r="AY387" s="55"/>
      <c r="AZ387" s="55"/>
      <c r="BA387" s="55"/>
    </row>
    <row r="388" spans="49:53" x14ac:dyDescent="0.2">
      <c r="AW388" s="58"/>
      <c r="AX388" s="55"/>
      <c r="AY388" s="55"/>
      <c r="AZ388" s="55"/>
      <c r="BA388" s="55"/>
    </row>
    <row r="389" spans="49:53" x14ac:dyDescent="0.2">
      <c r="AW389" s="58"/>
      <c r="AX389" s="55"/>
      <c r="AY389" s="55"/>
      <c r="AZ389" s="55"/>
      <c r="BA389" s="55"/>
    </row>
    <row r="390" spans="49:53" x14ac:dyDescent="0.2">
      <c r="AW390" s="58"/>
      <c r="AX390" s="55"/>
      <c r="AY390" s="55"/>
      <c r="AZ390" s="55"/>
      <c r="BA390" s="55"/>
    </row>
    <row r="391" spans="49:53" x14ac:dyDescent="0.2">
      <c r="AW391" s="58"/>
      <c r="AX391" s="55"/>
      <c r="AY391" s="55"/>
      <c r="AZ391" s="55"/>
      <c r="BA391" s="55"/>
    </row>
    <row r="392" spans="49:53" x14ac:dyDescent="0.2">
      <c r="AW392" s="58"/>
      <c r="AX392" s="55"/>
      <c r="AY392" s="55"/>
      <c r="AZ392" s="55"/>
      <c r="BA392" s="55"/>
    </row>
    <row r="393" spans="49:53" x14ac:dyDescent="0.2">
      <c r="AW393" s="58"/>
      <c r="AX393" s="55"/>
      <c r="AY393" s="55"/>
      <c r="AZ393" s="55"/>
      <c r="BA393" s="55"/>
    </row>
    <row r="394" spans="49:53" x14ac:dyDescent="0.2">
      <c r="AW394" s="58"/>
      <c r="AX394" s="55"/>
      <c r="AY394" s="55"/>
      <c r="AZ394" s="55"/>
      <c r="BA394" s="55"/>
    </row>
    <row r="395" spans="49:53" x14ac:dyDescent="0.2">
      <c r="AW395" s="58"/>
      <c r="AX395" s="55"/>
      <c r="AY395" s="55"/>
      <c r="AZ395" s="55"/>
      <c r="BA395" s="55"/>
    </row>
    <row r="396" spans="49:53" x14ac:dyDescent="0.2">
      <c r="AW396" s="58"/>
      <c r="AX396" s="55"/>
      <c r="AY396" s="55"/>
      <c r="AZ396" s="55"/>
      <c r="BA396" s="55"/>
    </row>
    <row r="397" spans="49:53" x14ac:dyDescent="0.2">
      <c r="AW397" s="58"/>
      <c r="AX397" s="55"/>
      <c r="AY397" s="55"/>
      <c r="AZ397" s="55"/>
      <c r="BA397" s="55"/>
    </row>
    <row r="398" spans="49:53" x14ac:dyDescent="0.2">
      <c r="AW398" s="58"/>
      <c r="AX398" s="55"/>
      <c r="AY398" s="55"/>
      <c r="AZ398" s="55"/>
      <c r="BA398" s="55"/>
    </row>
    <row r="399" spans="49:53" x14ac:dyDescent="0.2">
      <c r="AW399" s="58"/>
      <c r="AX399" s="55"/>
      <c r="AY399" s="55"/>
      <c r="AZ399" s="55"/>
      <c r="BA399" s="55"/>
    </row>
    <row r="400" spans="49:53" x14ac:dyDescent="0.2">
      <c r="AW400" s="58"/>
      <c r="AX400" s="55"/>
      <c r="AY400" s="55"/>
      <c r="AZ400" s="55"/>
      <c r="BA400" s="55"/>
    </row>
    <row r="401" spans="49:53" x14ac:dyDescent="0.2">
      <c r="AW401" s="58"/>
      <c r="AX401" s="55"/>
      <c r="AY401" s="55"/>
      <c r="AZ401" s="55"/>
      <c r="BA401" s="55"/>
    </row>
    <row r="402" spans="49:53" x14ac:dyDescent="0.2">
      <c r="AW402" s="58"/>
      <c r="AX402" s="55"/>
      <c r="AY402" s="55"/>
      <c r="AZ402" s="55"/>
      <c r="BA402" s="55"/>
    </row>
    <row r="403" spans="49:53" x14ac:dyDescent="0.2">
      <c r="AW403" s="58"/>
      <c r="AX403" s="55"/>
      <c r="AY403" s="55"/>
      <c r="AZ403" s="55"/>
      <c r="BA403" s="55"/>
    </row>
    <row r="404" spans="49:53" x14ac:dyDescent="0.2">
      <c r="AW404" s="58"/>
      <c r="AX404" s="55"/>
      <c r="AY404" s="55"/>
      <c r="AZ404" s="55"/>
      <c r="BA404" s="55"/>
    </row>
    <row r="405" spans="49:53" x14ac:dyDescent="0.2">
      <c r="AW405" s="58"/>
      <c r="AX405" s="55"/>
      <c r="AY405" s="55"/>
      <c r="AZ405" s="55"/>
      <c r="BA405" s="55"/>
    </row>
    <row r="406" spans="49:53" x14ac:dyDescent="0.2">
      <c r="AW406" s="58"/>
      <c r="AX406" s="55"/>
      <c r="AY406" s="55"/>
      <c r="AZ406" s="55"/>
      <c r="BA406" s="55"/>
    </row>
    <row r="407" spans="49:53" x14ac:dyDescent="0.2">
      <c r="AW407" s="58"/>
      <c r="AX407" s="55"/>
      <c r="AY407" s="55"/>
      <c r="AZ407" s="55"/>
      <c r="BA407" s="55"/>
    </row>
    <row r="408" spans="49:53" x14ac:dyDescent="0.2">
      <c r="AW408" s="58"/>
      <c r="AX408" s="55"/>
      <c r="AY408" s="55"/>
      <c r="AZ408" s="55"/>
      <c r="BA408" s="55"/>
    </row>
    <row r="409" spans="49:53" x14ac:dyDescent="0.2">
      <c r="AW409" s="58"/>
      <c r="AX409" s="55"/>
      <c r="AY409" s="55"/>
      <c r="AZ409" s="55"/>
      <c r="BA409" s="55"/>
    </row>
    <row r="410" spans="49:53" x14ac:dyDescent="0.2">
      <c r="AW410" s="58"/>
      <c r="AX410" s="55"/>
      <c r="AY410" s="55"/>
      <c r="AZ410" s="55"/>
      <c r="BA410" s="55"/>
    </row>
    <row r="411" spans="49:53" x14ac:dyDescent="0.2">
      <c r="AW411" s="58"/>
      <c r="AX411" s="55"/>
      <c r="AY411" s="55"/>
      <c r="AZ411" s="55"/>
      <c r="BA411" s="55"/>
    </row>
    <row r="412" spans="49:53" x14ac:dyDescent="0.2">
      <c r="AW412" s="58"/>
      <c r="AX412" s="55"/>
      <c r="AY412" s="55"/>
      <c r="AZ412" s="55"/>
      <c r="BA412" s="55"/>
    </row>
    <row r="413" spans="49:53" x14ac:dyDescent="0.2">
      <c r="AW413" s="58"/>
      <c r="AX413" s="55"/>
      <c r="AY413" s="55"/>
      <c r="AZ413" s="55"/>
      <c r="BA413" s="55"/>
    </row>
    <row r="414" spans="49:53" x14ac:dyDescent="0.2">
      <c r="AW414" s="58"/>
      <c r="AX414" s="55"/>
      <c r="AY414" s="55"/>
      <c r="AZ414" s="55"/>
      <c r="BA414" s="55"/>
    </row>
    <row r="415" spans="49:53" x14ac:dyDescent="0.2">
      <c r="AW415" s="58"/>
      <c r="AX415" s="55"/>
      <c r="AY415" s="55"/>
      <c r="AZ415" s="55"/>
      <c r="BA415" s="55"/>
    </row>
    <row r="416" spans="49:53" x14ac:dyDescent="0.2">
      <c r="AW416" s="58"/>
      <c r="AX416" s="55"/>
      <c r="AY416" s="55"/>
      <c r="AZ416" s="55"/>
      <c r="BA416" s="55"/>
    </row>
    <row r="418" spans="49:53" x14ac:dyDescent="0.2">
      <c r="AW418" s="66"/>
      <c r="AX418" s="63"/>
      <c r="AY418" s="63"/>
      <c r="AZ418" s="63"/>
      <c r="BA418" s="63"/>
    </row>
    <row r="419" spans="49:53" x14ac:dyDescent="0.2">
      <c r="AW419" s="66"/>
      <c r="AX419" s="63"/>
      <c r="AY419" s="63"/>
      <c r="AZ419" s="63"/>
      <c r="BA419" s="63"/>
    </row>
    <row r="420" spans="49:53" x14ac:dyDescent="0.2">
      <c r="AW420" s="66"/>
      <c r="AX420" s="63"/>
      <c r="AY420" s="63"/>
      <c r="AZ420" s="63"/>
      <c r="BA420" s="63"/>
    </row>
    <row r="421" spans="49:53" x14ac:dyDescent="0.2">
      <c r="AW421" s="66"/>
      <c r="AX421" s="63"/>
      <c r="AY421" s="63"/>
      <c r="AZ421" s="63"/>
      <c r="BA421" s="63"/>
    </row>
    <row r="422" spans="49:53" x14ac:dyDescent="0.2">
      <c r="AW422" s="66"/>
      <c r="AX422" s="63"/>
      <c r="AY422" s="63"/>
      <c r="AZ422" s="63"/>
      <c r="BA422" s="63"/>
    </row>
    <row r="423" spans="49:53" x14ac:dyDescent="0.2">
      <c r="AW423" s="66"/>
      <c r="AX423" s="63"/>
      <c r="AY423" s="63"/>
      <c r="AZ423" s="63"/>
      <c r="BA423" s="63"/>
    </row>
    <row r="424" spans="49:53" x14ac:dyDescent="0.2">
      <c r="AW424" s="66"/>
      <c r="AX424" s="63"/>
      <c r="AY424" s="63"/>
      <c r="AZ424" s="63"/>
      <c r="BA424" s="63"/>
    </row>
    <row r="425" spans="49:53" x14ac:dyDescent="0.2">
      <c r="AW425" s="66"/>
      <c r="AX425" s="63"/>
      <c r="AY425" s="63"/>
      <c r="AZ425" s="63"/>
      <c r="BA425" s="63"/>
    </row>
    <row r="426" spans="49:53" x14ac:dyDescent="0.2">
      <c r="AW426" s="73"/>
      <c r="AX426" s="72"/>
      <c r="AY426" s="72"/>
      <c r="AZ426" s="72"/>
      <c r="BA426" s="72"/>
    </row>
    <row r="427" spans="49:53" x14ac:dyDescent="0.2">
      <c r="AW427" s="79"/>
      <c r="AX427" s="78"/>
      <c r="AY427" s="78"/>
      <c r="AZ427" s="78"/>
      <c r="BA427" s="78"/>
    </row>
    <row r="428" spans="49:53" x14ac:dyDescent="0.2">
      <c r="AW428" s="79"/>
      <c r="AX428" s="78"/>
      <c r="AY428" s="78"/>
      <c r="AZ428" s="78"/>
      <c r="BA428" s="78"/>
    </row>
    <row r="429" spans="49:53" x14ac:dyDescent="0.2">
      <c r="AW429" s="66"/>
      <c r="AX429" s="63"/>
      <c r="AY429" s="63"/>
      <c r="AZ429" s="63"/>
      <c r="BA429" s="63"/>
    </row>
    <row r="430" spans="49:53" x14ac:dyDescent="0.2">
      <c r="AW430" s="66"/>
      <c r="AX430" s="63"/>
      <c r="AY430" s="63"/>
      <c r="AZ430" s="63"/>
      <c r="BA430" s="6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</mergeCells>
  <conditionalFormatting sqref="A8 A93">
    <cfRule type="expression" dxfId="4793" priority="5" stopIfTrue="1">
      <formula>IF(AK9&gt;0,0,1)</formula>
    </cfRule>
  </conditionalFormatting>
  <conditionalFormatting sqref="A10:A11 A95:A96">
    <cfRule type="expression" dxfId="4792" priority="6" stopIfTrue="1">
      <formula>IF(AK9&gt;1,0,1)</formula>
    </cfRule>
  </conditionalFormatting>
  <conditionalFormatting sqref="A12:A13 A97:A98">
    <cfRule type="expression" dxfId="4791" priority="7" stopIfTrue="1">
      <formula>IF(AK9&gt;2,0,1)</formula>
    </cfRule>
  </conditionalFormatting>
  <conditionalFormatting sqref="A14:A15 A99:A100">
    <cfRule type="expression" dxfId="4790" priority="8" stopIfTrue="1">
      <formula>IF(AK9&gt;3,0,1)</formula>
    </cfRule>
  </conditionalFormatting>
  <conditionalFormatting sqref="A16:A17 A101:A102">
    <cfRule type="expression" dxfId="4789" priority="9" stopIfTrue="1">
      <formula>IF(AK9&gt;4,0,1)</formula>
    </cfRule>
  </conditionalFormatting>
  <conditionalFormatting sqref="B8 B93">
    <cfRule type="expression" dxfId="4788" priority="10" stopIfTrue="1">
      <formula>IF(AK9&gt;0,0,1)</formula>
    </cfRule>
  </conditionalFormatting>
  <conditionalFormatting sqref="B9 B94">
    <cfRule type="expression" dxfId="4787" priority="11" stopIfTrue="1">
      <formula>IF(AK9&gt;0,0,1)</formula>
    </cfRule>
  </conditionalFormatting>
  <conditionalFormatting sqref="B10 B95">
    <cfRule type="expression" dxfId="4786" priority="12" stopIfTrue="1">
      <formula>IF(AK9&gt;1,0,1)</formula>
    </cfRule>
  </conditionalFormatting>
  <conditionalFormatting sqref="B11:D11 B96:D96">
    <cfRule type="expression" dxfId="4785" priority="13" stopIfTrue="1">
      <formula>IF(AK9&gt;1,0,1)</formula>
    </cfRule>
  </conditionalFormatting>
  <conditionalFormatting sqref="B12:D12 B97:D97">
    <cfRule type="expression" dxfId="4784" priority="14" stopIfTrue="1">
      <formula>IF(AK9&gt;2,0,1)</formula>
    </cfRule>
  </conditionalFormatting>
  <conditionalFormatting sqref="B13:D13 B98:D98">
    <cfRule type="expression" dxfId="4783" priority="15" stopIfTrue="1">
      <formula>IF(AK9&gt;2,0,1)</formula>
    </cfRule>
  </conditionalFormatting>
  <conditionalFormatting sqref="B14:D14 B99:D99">
    <cfRule type="expression" dxfId="4782" priority="16" stopIfTrue="1">
      <formula>IF(AK9&gt;3,0,1)</formula>
    </cfRule>
  </conditionalFormatting>
  <conditionalFormatting sqref="B15:D15 B100:D100">
    <cfRule type="expression" dxfId="4781" priority="17" stopIfTrue="1">
      <formula>IF(AK9&gt;3,0,1)</formula>
    </cfRule>
  </conditionalFormatting>
  <conditionalFormatting sqref="B16:D16 B101:D101">
    <cfRule type="expression" dxfId="4780" priority="18" stopIfTrue="1">
      <formula>IF(AK9&gt;4,0,1)</formula>
    </cfRule>
  </conditionalFormatting>
  <conditionalFormatting sqref="B17:D17 B102:D102">
    <cfRule type="expression" dxfId="4779" priority="19" stopIfTrue="1">
      <formula>IF(AK9&gt;4,0,1)</formula>
    </cfRule>
  </conditionalFormatting>
  <conditionalFormatting sqref="E8 E93">
    <cfRule type="expression" dxfId="4778" priority="20" stopIfTrue="1">
      <formula>IF(AK9&gt;0,0,1)</formula>
    </cfRule>
  </conditionalFormatting>
  <conditionalFormatting sqref="E9 E94">
    <cfRule type="expression" dxfId="4777" priority="21" stopIfTrue="1">
      <formula>IF(AK9&gt;0,0,1)</formula>
    </cfRule>
  </conditionalFormatting>
  <conditionalFormatting sqref="E10 E95">
    <cfRule type="expression" dxfId="4776" priority="22" stopIfTrue="1">
      <formula>IF(AK9&gt;1,0,1)</formula>
    </cfRule>
  </conditionalFormatting>
  <conditionalFormatting sqref="E11 E96">
    <cfRule type="expression" dxfId="4775" priority="23" stopIfTrue="1">
      <formula>IF(AK9&gt;1,0,1)</formula>
    </cfRule>
  </conditionalFormatting>
  <conditionalFormatting sqref="E12 E97">
    <cfRule type="expression" dxfId="4774" priority="24" stopIfTrue="1">
      <formula>IF(AK9&gt;2,0,1)</formula>
    </cfRule>
  </conditionalFormatting>
  <conditionalFormatting sqref="E13 E98">
    <cfRule type="expression" dxfId="4773" priority="25" stopIfTrue="1">
      <formula>IF(AK9&gt;2,0,1)</formula>
    </cfRule>
  </conditionalFormatting>
  <conditionalFormatting sqref="E14 E99">
    <cfRule type="expression" dxfId="4772" priority="26" stopIfTrue="1">
      <formula>IF(AK9&gt;3,0,1)</formula>
    </cfRule>
  </conditionalFormatting>
  <conditionalFormatting sqref="E15 E100">
    <cfRule type="expression" dxfId="4771" priority="27" stopIfTrue="1">
      <formula>IF(AK9&gt;3,0,1)</formula>
    </cfRule>
  </conditionalFormatting>
  <conditionalFormatting sqref="E16 E101">
    <cfRule type="expression" dxfId="4770" priority="28" stopIfTrue="1">
      <formula>IF(AK9&gt;4,0,1)</formula>
    </cfRule>
  </conditionalFormatting>
  <conditionalFormatting sqref="E17 E102">
    <cfRule type="expression" dxfId="4769" priority="29" stopIfTrue="1">
      <formula>IF(AK9&gt;4,0,1)</formula>
    </cfRule>
  </conditionalFormatting>
  <conditionalFormatting sqref="AC8 AC93">
    <cfRule type="expression" dxfId="4768" priority="30" stopIfTrue="1">
      <formula>IF(AK11=1,IF(AK9&gt;0,0,1),1)</formula>
    </cfRule>
  </conditionalFormatting>
  <conditionalFormatting sqref="AC10:AE11 AC95:AE96">
    <cfRule type="expression" dxfId="4767" priority="31" stopIfTrue="1">
      <formula>IF(AK11=1,IF(AK9&gt;1,0,1),1)</formula>
    </cfRule>
  </conditionalFormatting>
  <conditionalFormatting sqref="AC12:AE13 AC97:AE98">
    <cfRule type="expression" dxfId="4766" priority="32" stopIfTrue="1">
      <formula>IF(AK11=1,IF(AK9&gt;2,0,1),1)</formula>
    </cfRule>
  </conditionalFormatting>
  <conditionalFormatting sqref="AC14:AE15 AC99:AE100">
    <cfRule type="expression" dxfId="4765" priority="33" stopIfTrue="1">
      <formula>IF(AK11=1,IF(AK9&gt;3,0,1),1)</formula>
    </cfRule>
  </conditionalFormatting>
  <conditionalFormatting sqref="AC16:AE17 AC101:AE102">
    <cfRule type="expression" dxfId="4764" priority="34" stopIfTrue="1">
      <formula>IF(AK11=1,IF(AK9&gt;4,0,1),1)</formula>
    </cfRule>
  </conditionalFormatting>
  <conditionalFormatting sqref="AH8 AH93">
    <cfRule type="expression" dxfId="4763" priority="35" stopIfTrue="1">
      <formula>IF(AK9&gt;0,0,1)</formula>
    </cfRule>
  </conditionalFormatting>
  <conditionalFormatting sqref="AH10:AI11 AH95:AI96">
    <cfRule type="expression" dxfId="4762" priority="36" stopIfTrue="1">
      <formula>IF(AK9&gt;1,0,1)</formula>
    </cfRule>
  </conditionalFormatting>
  <conditionalFormatting sqref="AH12:AI13 AH97:AI98">
    <cfRule type="expression" dxfId="4761" priority="37" stopIfTrue="1">
      <formula>IF(AK9&gt;2,0,1)</formula>
    </cfRule>
  </conditionalFormatting>
  <conditionalFormatting sqref="AH14:AI15 AH99:AI100">
    <cfRule type="expression" dxfId="4760" priority="38" stopIfTrue="1">
      <formula>IF(AK9&gt;3,0,1)</formula>
    </cfRule>
  </conditionalFormatting>
  <conditionalFormatting sqref="AH16:AI17 AH101:AI102">
    <cfRule type="expression" dxfId="4759" priority="39" stopIfTrue="1">
      <formula>IF(AK9&gt;4,0,1)</formula>
    </cfRule>
  </conditionalFormatting>
  <conditionalFormatting sqref="B19:D19 B104:D104">
    <cfRule type="expression" dxfId="4758" priority="40" stopIfTrue="1">
      <formula>IF(AK8&gt;0,0,1)</formula>
    </cfRule>
  </conditionalFormatting>
  <conditionalFormatting sqref="E19:G19 E104:G104">
    <cfRule type="expression" dxfId="4757" priority="41" stopIfTrue="1">
      <formula>IF(AK8&gt;1,0,1)</formula>
    </cfRule>
  </conditionalFormatting>
  <conditionalFormatting sqref="H19:J19 H104:J104">
    <cfRule type="expression" dxfId="4756" priority="42" stopIfTrue="1">
      <formula>IF(AK8&gt;2,0,1)</formula>
    </cfRule>
  </conditionalFormatting>
  <conditionalFormatting sqref="K19:M19 K104:M104">
    <cfRule type="expression" dxfId="4755" priority="43" stopIfTrue="1">
      <formula>IF(AK8&gt;3,0,1)</formula>
    </cfRule>
  </conditionalFormatting>
  <conditionalFormatting sqref="N19:P19 N104:P104">
    <cfRule type="expression" dxfId="4754" priority="44" stopIfTrue="1">
      <formula>IF(AK8&gt;4,0,1)</formula>
    </cfRule>
  </conditionalFormatting>
  <conditionalFormatting sqref="Q19:S19 Q104:S104">
    <cfRule type="expression" dxfId="4753" priority="45" stopIfTrue="1">
      <formula>IF(AK8&gt;5,0,1)</formula>
    </cfRule>
  </conditionalFormatting>
  <conditionalFormatting sqref="T19:V19 T104:V104">
    <cfRule type="expression" dxfId="4752" priority="46" stopIfTrue="1">
      <formula>IF(AK8&gt;6,0,1)</formula>
    </cfRule>
  </conditionalFormatting>
  <conditionalFormatting sqref="W19:Y19 W104:Y104">
    <cfRule type="expression" dxfId="4751" priority="47" stopIfTrue="1">
      <formula>IF(AK8&gt;7,0,1)</formula>
    </cfRule>
  </conditionalFormatting>
  <conditionalFormatting sqref="Z19:AB19 Z104:AB104">
    <cfRule type="expression" dxfId="4750" priority="48" stopIfTrue="1">
      <formula>IF(AK8&gt;8,0,1)</formula>
    </cfRule>
  </conditionalFormatting>
  <conditionalFormatting sqref="AC19:AE19 AC104:AE104">
    <cfRule type="expression" dxfId="4749" priority="49" stopIfTrue="1">
      <formula>IF(AK8&gt;9,0,1)</formula>
    </cfRule>
  </conditionalFormatting>
  <conditionalFormatting sqref="B20:D20 B105:D105">
    <cfRule type="expression" dxfId="4748" priority="50" stopIfTrue="1">
      <formula>IF(AK8&gt;0,0,1)</formula>
    </cfRule>
  </conditionalFormatting>
  <conditionalFormatting sqref="E20:G20 E105:G105">
    <cfRule type="expression" dxfId="4747" priority="51" stopIfTrue="1">
      <formula>IF(AK8&gt;1,0,1)</formula>
    </cfRule>
  </conditionalFormatting>
  <conditionalFormatting sqref="H20:J20 H105:J105">
    <cfRule type="expression" dxfId="4746" priority="52" stopIfTrue="1">
      <formula>IF(AK8&gt;2,0,1)</formula>
    </cfRule>
  </conditionalFormatting>
  <conditionalFormatting sqref="K20:M20 K105:M105">
    <cfRule type="expression" dxfId="4745" priority="53" stopIfTrue="1">
      <formula>IF(AK8&gt;3,0,1)</formula>
    </cfRule>
  </conditionalFormatting>
  <conditionalFormatting sqref="N20:P20 N105:P105">
    <cfRule type="expression" dxfId="4744" priority="54" stopIfTrue="1">
      <formula>IF(AK8&gt;4,0,1)</formula>
    </cfRule>
  </conditionalFormatting>
  <conditionalFormatting sqref="Q20:S20 Q105:S105">
    <cfRule type="expression" dxfId="4743" priority="55" stopIfTrue="1">
      <formula>IF(AK8&gt;5,0,1)</formula>
    </cfRule>
  </conditionalFormatting>
  <conditionalFormatting sqref="T20:V20 T105:V105">
    <cfRule type="expression" dxfId="4742" priority="56" stopIfTrue="1">
      <formula>IF(AK8&gt;6,0,1)</formula>
    </cfRule>
  </conditionalFormatting>
  <conditionalFormatting sqref="W20:Y20 W105:Y105">
    <cfRule type="expression" dxfId="4741" priority="57" stopIfTrue="1">
      <formula>IF(AK8&gt;7,0,1)</formula>
    </cfRule>
  </conditionalFormatting>
  <conditionalFormatting sqref="Z20:AB20 Z105:AB105">
    <cfRule type="expression" dxfId="4740" priority="58" stopIfTrue="1">
      <formula>IF(AK8&gt;8,0,1)</formula>
    </cfRule>
  </conditionalFormatting>
  <conditionalFormatting sqref="AC20:AE20 AC105:AE105">
    <cfRule type="expression" dxfId="4739" priority="59" stopIfTrue="1">
      <formula>IF(AK8&gt;9,0,1)</formula>
    </cfRule>
  </conditionalFormatting>
  <conditionalFormatting sqref="E22:G22 E107:G107">
    <cfRule type="expression" dxfId="4738" priority="60" stopIfTrue="1">
      <formula>IF(AK8&gt;1,0,1)</formula>
    </cfRule>
  </conditionalFormatting>
  <conditionalFormatting sqref="H22:J22 H107:J107">
    <cfRule type="expression" dxfId="4737" priority="61" stopIfTrue="1">
      <formula>IF(AK8&gt;2,0,1)</formula>
    </cfRule>
  </conditionalFormatting>
  <conditionalFormatting sqref="K22:M22 K107:M107">
    <cfRule type="expression" dxfId="4736" priority="62" stopIfTrue="1">
      <formula>IF(AK8&gt;3,0,1)</formula>
    </cfRule>
  </conditionalFormatting>
  <conditionalFormatting sqref="N22:P22 N107:P107">
    <cfRule type="expression" dxfId="4735" priority="63" stopIfTrue="1">
      <formula>IF(AK8&gt;4,0,1)</formula>
    </cfRule>
  </conditionalFormatting>
  <conditionalFormatting sqref="Q22:S22 Q107:S107">
    <cfRule type="expression" dxfId="4734" priority="64" stopIfTrue="1">
      <formula>IF(AK8&gt;5,0,1)</formula>
    </cfRule>
  </conditionalFormatting>
  <conditionalFormatting sqref="T22:V22 T107:V107">
    <cfRule type="expression" dxfId="4733" priority="65" stopIfTrue="1">
      <formula>IF(AK8&gt;6,0,1)</formula>
    </cfRule>
  </conditionalFormatting>
  <conditionalFormatting sqref="W22:Y22 W107:Y107">
    <cfRule type="expression" dxfId="4732" priority="66" stopIfTrue="1">
      <formula>IF(AK8&gt;7,0,1)</formula>
    </cfRule>
  </conditionalFormatting>
  <conditionalFormatting sqref="Z22:AB22 Z107:AB107">
    <cfRule type="expression" dxfId="4731" priority="67" stopIfTrue="1">
      <formula>IF(AK8&gt;8,0,1)</formula>
    </cfRule>
  </conditionalFormatting>
  <conditionalFormatting sqref="AC22:AE22 AC107:AE107">
    <cfRule type="expression" dxfId="4730" priority="68" stopIfTrue="1">
      <formula>IF(AK8&gt;9,0,1)</formula>
    </cfRule>
  </conditionalFormatting>
  <conditionalFormatting sqref="B24 B109">
    <cfRule type="expression" dxfId="4729" priority="69" stopIfTrue="1">
      <formula>IF(AK8&gt;0,0,1)</formula>
    </cfRule>
  </conditionalFormatting>
  <conditionalFormatting sqref="C24 C109">
    <cfRule type="expression" dxfId="4728" priority="70" stopIfTrue="1">
      <formula>IF(AK8&gt;0,0,1)</formula>
    </cfRule>
  </conditionalFormatting>
  <conditionalFormatting sqref="D24 D109">
    <cfRule type="expression" dxfId="4727" priority="71" stopIfTrue="1">
      <formula>IF(AK8&gt;0,0,1)</formula>
    </cfRule>
  </conditionalFormatting>
  <conditionalFormatting sqref="E23:G23 E108:G108">
    <cfRule type="expression" dxfId="4726" priority="72" stopIfTrue="1">
      <formula>IF(AK8&gt;1,0,1)</formula>
    </cfRule>
  </conditionalFormatting>
  <conditionalFormatting sqref="F24 F109">
    <cfRule type="expression" dxfId="4725" priority="73" stopIfTrue="1">
      <formula>IF(AK8&gt;1,0,1)</formula>
    </cfRule>
  </conditionalFormatting>
  <conditionalFormatting sqref="G24 G109">
    <cfRule type="expression" dxfId="4724" priority="74" stopIfTrue="1">
      <formula>IF(AK8&gt;1,0,1)</formula>
    </cfRule>
  </conditionalFormatting>
  <conditionalFormatting sqref="H23:J23 H108:J108">
    <cfRule type="expression" dxfId="4723" priority="75" stopIfTrue="1">
      <formula>IF(AK8&gt;2,0,1)</formula>
    </cfRule>
  </conditionalFormatting>
  <conditionalFormatting sqref="I24 I109">
    <cfRule type="expression" dxfId="4722" priority="76" stopIfTrue="1">
      <formula>IF(AK8&gt;2,0,1)</formula>
    </cfRule>
  </conditionalFormatting>
  <conditionalFormatting sqref="J24 J109">
    <cfRule type="expression" dxfId="4721" priority="77" stopIfTrue="1">
      <formula>IF(AK8&gt;2,0,1)</formula>
    </cfRule>
  </conditionalFormatting>
  <conditionalFormatting sqref="K23:M23 K108:M108">
    <cfRule type="expression" dxfId="4720" priority="78" stopIfTrue="1">
      <formula>IF(AK8&gt;3,0,1)</formula>
    </cfRule>
  </conditionalFormatting>
  <conditionalFormatting sqref="L24 L109">
    <cfRule type="expression" dxfId="4719" priority="79" stopIfTrue="1">
      <formula>IF(AK8&gt;3,0,1)</formula>
    </cfRule>
  </conditionalFormatting>
  <conditionalFormatting sqref="M24 M109">
    <cfRule type="expression" dxfId="4718" priority="80" stopIfTrue="1">
      <formula>IF(AK8&gt;3,0,1)</formula>
    </cfRule>
  </conditionalFormatting>
  <conditionalFormatting sqref="N23:P23 N108:P108">
    <cfRule type="expression" dxfId="4717" priority="81" stopIfTrue="1">
      <formula>IF(AK8&gt;4,0,1)</formula>
    </cfRule>
  </conditionalFormatting>
  <conditionalFormatting sqref="O24 O109">
    <cfRule type="expression" dxfId="4716" priority="82" stopIfTrue="1">
      <formula>IF(AK8&gt;4,0,1)</formula>
    </cfRule>
  </conditionalFormatting>
  <conditionalFormatting sqref="P24 P109">
    <cfRule type="expression" dxfId="4715" priority="83" stopIfTrue="1">
      <formula>IF(AK8&gt;4,0,1)</formula>
    </cfRule>
  </conditionalFormatting>
  <conditionalFormatting sqref="Q23:S23 Q108:S108">
    <cfRule type="expression" dxfId="4714" priority="84" stopIfTrue="1">
      <formula>IF(AK8&gt;5,0,1)</formula>
    </cfRule>
  </conditionalFormatting>
  <conditionalFormatting sqref="R24 R109">
    <cfRule type="expression" dxfId="4713" priority="85" stopIfTrue="1">
      <formula>IF(AK8&gt;5,0,1)</formula>
    </cfRule>
  </conditionalFormatting>
  <conditionalFormatting sqref="S24 S109">
    <cfRule type="expression" dxfId="4712" priority="86" stopIfTrue="1">
      <formula>IF(AK8&gt;5,0,1)</formula>
    </cfRule>
  </conditionalFormatting>
  <conditionalFormatting sqref="T23:V23 T108:V108">
    <cfRule type="expression" dxfId="4711" priority="87" stopIfTrue="1">
      <formula>IF(AK8&gt;6,0,1)</formula>
    </cfRule>
  </conditionalFormatting>
  <conditionalFormatting sqref="U24 U109">
    <cfRule type="expression" dxfId="4710" priority="88" stopIfTrue="1">
      <formula>IF(AK8&gt;6,0,1)</formula>
    </cfRule>
  </conditionalFormatting>
  <conditionalFormatting sqref="V24 V109">
    <cfRule type="expression" dxfId="4709" priority="89" stopIfTrue="1">
      <formula>IF(AK8&gt;6,0,1)</formula>
    </cfRule>
  </conditionalFormatting>
  <conditionalFormatting sqref="W23:Y23 W108:Y108">
    <cfRule type="expression" dxfId="4708" priority="90" stopIfTrue="1">
      <formula>IF(AK8&gt;7,0,1)</formula>
    </cfRule>
  </conditionalFormatting>
  <conditionalFormatting sqref="X24 X109">
    <cfRule type="expression" dxfId="4707" priority="91" stopIfTrue="1">
      <formula>IF(AK8&gt;7,0,1)</formula>
    </cfRule>
  </conditionalFormatting>
  <conditionalFormatting sqref="Y24 Y109">
    <cfRule type="expression" dxfId="4706" priority="92" stopIfTrue="1">
      <formula>IF(AK8&gt;7,0,1)</formula>
    </cfRule>
  </conditionalFormatting>
  <conditionalFormatting sqref="Z23:AB23 Z108:AB108">
    <cfRule type="expression" dxfId="4705" priority="93" stopIfTrue="1">
      <formula>IF(AK8&gt;8,0,1)</formula>
    </cfRule>
  </conditionalFormatting>
  <conditionalFormatting sqref="AA24 AA109">
    <cfRule type="expression" dxfId="4704" priority="94" stopIfTrue="1">
      <formula>IF(AK8&gt;8,0,1)</formula>
    </cfRule>
  </conditionalFormatting>
  <conditionalFormatting sqref="AB24 AB109">
    <cfRule type="expression" dxfId="4703" priority="95" stopIfTrue="1">
      <formula>IF(AK8&gt;8,0,1)</formula>
    </cfRule>
  </conditionalFormatting>
  <conditionalFormatting sqref="AC23:AE23 AC108:AE108">
    <cfRule type="expression" dxfId="4702" priority="96" stopIfTrue="1">
      <formula>IF(AK8&gt;9,0,1)</formula>
    </cfRule>
  </conditionalFormatting>
  <conditionalFormatting sqref="AD24 AD109">
    <cfRule type="expression" dxfId="4701" priority="97" stopIfTrue="1">
      <formula>IF(AK8&gt;9,0,1)</formula>
    </cfRule>
  </conditionalFormatting>
  <conditionalFormatting sqref="AE24 AE109">
    <cfRule type="expression" dxfId="4700" priority="98" stopIfTrue="1">
      <formula>IF(AK8&gt;9,0,1)</formula>
    </cfRule>
  </conditionalFormatting>
  <conditionalFormatting sqref="A26 A111">
    <cfRule type="expression" dxfId="4699" priority="99" stopIfTrue="1">
      <formula>IF(AK7&gt;1,0,1)</formula>
    </cfRule>
  </conditionalFormatting>
  <conditionalFormatting sqref="A27 A112">
    <cfRule type="expression" dxfId="4698" priority="100" stopIfTrue="1">
      <formula>IF(AK7&gt;2,0,1)</formula>
    </cfRule>
  </conditionalFormatting>
  <conditionalFormatting sqref="A28 A113">
    <cfRule type="expression" dxfId="4697" priority="101" stopIfTrue="1">
      <formula>IF(AK7&gt;3,0,1)</formula>
    </cfRule>
  </conditionalFormatting>
  <conditionalFormatting sqref="A29 A114">
    <cfRule type="expression" dxfId="4696" priority="102" stopIfTrue="1">
      <formula>IF(AK7&gt;4,0,1)</formula>
    </cfRule>
  </conditionalFormatting>
  <conditionalFormatting sqref="B25:D25 B110:D110">
    <cfRule type="expression" dxfId="4695" priority="103" stopIfTrue="1">
      <formula>IF($AK8&gt;0,0,1)</formula>
    </cfRule>
  </conditionalFormatting>
  <conditionalFormatting sqref="B26:D26 B111:D111">
    <cfRule type="expression" dxfId="4694" priority="104" stopIfTrue="1">
      <formula>IF($AK8&lt;1,1,IF($AK7&lt;2,1,0))</formula>
    </cfRule>
  </conditionalFormatting>
  <conditionalFormatting sqref="B27:D27 B112:D112">
    <cfRule type="expression" dxfId="4693" priority="105" stopIfTrue="1">
      <formula>IF($AK8&lt;1,1,IF($AK7&lt;3,1,0))</formula>
    </cfRule>
  </conditionalFormatting>
  <conditionalFormatting sqref="B28:D28 B113:D113">
    <cfRule type="expression" dxfId="4692" priority="106" stopIfTrue="1">
      <formula>IF($AK8&lt;1,1,IF($AK7&lt;4,1,0))</formula>
    </cfRule>
  </conditionalFormatting>
  <conditionalFormatting sqref="B29:D29 B114:D114">
    <cfRule type="expression" dxfId="4691" priority="107" stopIfTrue="1">
      <formula>IF($AK8&lt;1,1,IF($AK7&lt;5,1,0))</formula>
    </cfRule>
  </conditionalFormatting>
  <conditionalFormatting sqref="AG23 AG108">
    <cfRule type="expression" dxfId="4690" priority="108" stopIfTrue="1">
      <formula>IF($AK8&lt;1,1,0)</formula>
    </cfRule>
  </conditionalFormatting>
  <conditionalFormatting sqref="AH23 AH108">
    <cfRule type="expression" dxfId="4689" priority="109" stopIfTrue="1">
      <formula>IF($AK8&lt;2,1,0)</formula>
    </cfRule>
  </conditionalFormatting>
  <conditionalFormatting sqref="AI23 AI108">
    <cfRule type="expression" dxfId="4688" priority="110" stopIfTrue="1">
      <formula>IF($AK8&lt;3,1,0)</formula>
    </cfRule>
  </conditionalFormatting>
  <conditionalFormatting sqref="AJ23 AJ108">
    <cfRule type="expression" dxfId="4687" priority="111" stopIfTrue="1">
      <formula>IF($AK8&lt;4,1,0)</formula>
    </cfRule>
  </conditionalFormatting>
  <conditionalFormatting sqref="AK23 AK108">
    <cfRule type="expression" dxfId="4686" priority="112" stopIfTrue="1">
      <formula>IF($AK8&lt;5,1,0)</formula>
    </cfRule>
  </conditionalFormatting>
  <conditionalFormatting sqref="AL23 AL108">
    <cfRule type="expression" dxfId="4685" priority="113" stopIfTrue="1">
      <formula>IF($AK8&lt;6,1,0)</formula>
    </cfRule>
  </conditionalFormatting>
  <conditionalFormatting sqref="AM23 AM108">
    <cfRule type="expression" dxfId="4684" priority="114" stopIfTrue="1">
      <formula>IF($AK8&lt;7,1,0)</formula>
    </cfRule>
  </conditionalFormatting>
  <conditionalFormatting sqref="AN23 AN108">
    <cfRule type="expression" dxfId="4683" priority="115" stopIfTrue="1">
      <formula>IF($AK8&lt;8,1,0)</formula>
    </cfRule>
  </conditionalFormatting>
  <conditionalFormatting sqref="AO23 AO108">
    <cfRule type="expression" dxfId="4682" priority="116" stopIfTrue="1">
      <formula>IF($AK8&lt;9,1,0)</formula>
    </cfRule>
  </conditionalFormatting>
  <conditionalFormatting sqref="AP23 AP108">
    <cfRule type="expression" dxfId="4681" priority="117" stopIfTrue="1">
      <formula>IF($AK8&lt;10,1,0)</formula>
    </cfRule>
  </conditionalFormatting>
  <conditionalFormatting sqref="AQ24 AQ109">
    <cfRule type="expression" dxfId="4680" priority="118" stopIfTrue="1">
      <formula>IF($AK9&gt;0,0,1)</formula>
    </cfRule>
  </conditionalFormatting>
  <conditionalFormatting sqref="AQ25 AQ110">
    <cfRule type="expression" dxfId="4679" priority="119" stopIfTrue="1">
      <formula>IF($AK9&gt;1,0,1)</formula>
    </cfRule>
  </conditionalFormatting>
  <conditionalFormatting sqref="AQ26 H25:J25 AQ111 H110:J110">
    <cfRule type="expression" dxfId="4678" priority="120" stopIfTrue="1">
      <formula>IF($AK8&gt;2,0,1)</formula>
    </cfRule>
  </conditionalFormatting>
  <conditionalFormatting sqref="K25:M25 K110:M110">
    <cfRule type="expression" dxfId="4677" priority="121" stopIfTrue="1">
      <formula>IF($AK8&gt;3,0,1)</formula>
    </cfRule>
  </conditionalFormatting>
  <conditionalFormatting sqref="AQ28 AQ113">
    <cfRule type="expression" dxfId="4676" priority="122" stopIfTrue="1">
      <formula>IF($AK9&gt;4,0,1)</formula>
    </cfRule>
  </conditionalFormatting>
  <conditionalFormatting sqref="E26:G26 E111:G111">
    <cfRule type="expression" dxfId="4675" priority="123" stopIfTrue="1">
      <formula>IF($AK8&lt;2,1,IF($AK7&lt;2,1,0))</formula>
    </cfRule>
  </conditionalFormatting>
  <conditionalFormatting sqref="E27:G27 E112:G112">
    <cfRule type="expression" dxfId="4674" priority="124" stopIfTrue="1">
      <formula>IF($AK8&lt;2,1,IF($AK7&lt;3,1,0))</formula>
    </cfRule>
  </conditionalFormatting>
  <conditionalFormatting sqref="E28:G28 E113:G113">
    <cfRule type="expression" dxfId="4673" priority="125" stopIfTrue="1">
      <formula>IF($AK8&lt;2,1,IF($AK7&lt;4,1,0))</formula>
    </cfRule>
  </conditionalFormatting>
  <conditionalFormatting sqref="E29:G29 E114:G114">
    <cfRule type="expression" dxfId="4672" priority="126" stopIfTrue="1">
      <formula>IF($AK8&lt;2,1,IF($AK7&lt;5,1,0))</formula>
    </cfRule>
  </conditionalFormatting>
  <conditionalFormatting sqref="N25:P25 N110:P110">
    <cfRule type="expression" dxfId="4671" priority="127" stopIfTrue="1">
      <formula>IF($AK8&gt;4,0,1)</formula>
    </cfRule>
  </conditionalFormatting>
  <conditionalFormatting sqref="Q25:S25 Q110:S110">
    <cfRule type="expression" dxfId="4670" priority="128" stopIfTrue="1">
      <formula>IF($AK8&gt;5,0,1)</formula>
    </cfRule>
  </conditionalFormatting>
  <conditionalFormatting sqref="T25:V25 T110:V110">
    <cfRule type="expression" dxfId="4669" priority="129" stopIfTrue="1">
      <formula>IF($AK8&gt;6,0,1)</formula>
    </cfRule>
  </conditionalFormatting>
  <conditionalFormatting sqref="W25:Y25 W110:Y110">
    <cfRule type="expression" dxfId="4668" priority="130" stopIfTrue="1">
      <formula>IF($AK8&gt;7,0,1)</formula>
    </cfRule>
  </conditionalFormatting>
  <conditionalFormatting sqref="Z25:AB25 Z110:AB110">
    <cfRule type="expression" dxfId="4667" priority="131" stopIfTrue="1">
      <formula>IF($AK8&gt;8,0,1)</formula>
    </cfRule>
  </conditionalFormatting>
  <conditionalFormatting sqref="AC25:AE25 AC110:AE110">
    <cfRule type="expression" dxfId="4666" priority="132" stopIfTrue="1">
      <formula>IF($AK8&gt;9,0,1)</formula>
    </cfRule>
  </conditionalFormatting>
  <conditionalFormatting sqref="H26:J26 H111:J111">
    <cfRule type="expression" dxfId="4665" priority="133" stopIfTrue="1">
      <formula>IF($AK8&lt;3,1,IF($AK7&lt;2,1,0))</formula>
    </cfRule>
  </conditionalFormatting>
  <conditionalFormatting sqref="K26:M26 K111:M111">
    <cfRule type="expression" dxfId="4664" priority="134" stopIfTrue="1">
      <formula>IF($AK8&lt;4,1,IF($AK7&lt;2,1,0))</formula>
    </cfRule>
  </conditionalFormatting>
  <conditionalFormatting sqref="N26:P26 N111:P111">
    <cfRule type="expression" dxfId="4663" priority="135" stopIfTrue="1">
      <formula>IF($AK8&lt;5,1,IF($AK7&lt;2,1,0))</formula>
    </cfRule>
  </conditionalFormatting>
  <conditionalFormatting sqref="Q26:S26 Q111:S111">
    <cfRule type="expression" dxfId="4662" priority="136" stopIfTrue="1">
      <formula>IF($AK8&lt;6,1,IF($AK7&lt;2,1,0))</formula>
    </cfRule>
  </conditionalFormatting>
  <conditionalFormatting sqref="T26:V26 T111:V111">
    <cfRule type="expression" dxfId="4661" priority="137" stopIfTrue="1">
      <formula>IF($AK8&lt;7,1,IF($AK7&lt;2,1,0))</formula>
    </cfRule>
  </conditionalFormatting>
  <conditionalFormatting sqref="W26:Y26 W111:Y111">
    <cfRule type="expression" dxfId="4660" priority="138" stopIfTrue="1">
      <formula>IF($AK8&lt;8,1,IF($AK7&lt;2,1,0))</formula>
    </cfRule>
  </conditionalFormatting>
  <conditionalFormatting sqref="Z26:AB26 Z111:AB111">
    <cfRule type="expression" dxfId="4659" priority="139" stopIfTrue="1">
      <formula>IF($AK8&lt;9,1,IF($AK7&lt;2,1,0))</formula>
    </cfRule>
  </conditionalFormatting>
  <conditionalFormatting sqref="AC26:AE26 AC111:AE111">
    <cfRule type="expression" dxfId="4658" priority="140" stopIfTrue="1">
      <formula>IF($AK8&lt;10,1,IF($AK7&lt;2,1,0))</formula>
    </cfRule>
  </conditionalFormatting>
  <conditionalFormatting sqref="H27:J27 H112:J112">
    <cfRule type="expression" dxfId="4657" priority="141" stopIfTrue="1">
      <formula>IF($AK8&lt;3,1,IF($AK7&lt;3,1,0))</formula>
    </cfRule>
  </conditionalFormatting>
  <conditionalFormatting sqref="K27:M27 K112:M112">
    <cfRule type="expression" dxfId="4656" priority="142" stopIfTrue="1">
      <formula>IF($AK8&lt;4,1,IF($AK7&lt;3,1,0))</formula>
    </cfRule>
  </conditionalFormatting>
  <conditionalFormatting sqref="N27:P27 N112:P112">
    <cfRule type="expression" dxfId="4655" priority="143" stopIfTrue="1">
      <formula>IF($AK8&lt;5,1,IF($AK7&lt;3,1,0))</formula>
    </cfRule>
  </conditionalFormatting>
  <conditionalFormatting sqref="Q27:S27 Q112:S112">
    <cfRule type="expression" dxfId="4654" priority="144" stopIfTrue="1">
      <formula>IF($AK8&lt;6,1,IF($AK7&lt;3,1,0))</formula>
    </cfRule>
  </conditionalFormatting>
  <conditionalFormatting sqref="T27:V27 T112:V112">
    <cfRule type="expression" dxfId="4653" priority="145" stopIfTrue="1">
      <formula>IF($AK8&lt;7,1,IF($AK7&lt;3,1,0))</formula>
    </cfRule>
  </conditionalFormatting>
  <conditionalFormatting sqref="W27:Y27 W112:Y112">
    <cfRule type="expression" dxfId="4652" priority="146" stopIfTrue="1">
      <formula>IF($AK8&lt;8,1,IF($AK7&lt;3,1,0))</formula>
    </cfRule>
  </conditionalFormatting>
  <conditionalFormatting sqref="Z27:AB27 Z112:AB112">
    <cfRule type="expression" dxfId="4651" priority="147" stopIfTrue="1">
      <formula>IF($AK8&lt;9,1,IF($AK7&lt;3,1,0))</formula>
    </cfRule>
  </conditionalFormatting>
  <conditionalFormatting sqref="AC27:AE27 AC112:AE112">
    <cfRule type="expression" dxfId="4650" priority="148" stopIfTrue="1">
      <formula>IF($AK8&lt;10,1,IF($AK7&lt;3,1,0))</formula>
    </cfRule>
  </conditionalFormatting>
  <conditionalFormatting sqref="H28:J28 H113:J113">
    <cfRule type="expression" dxfId="4649" priority="149" stopIfTrue="1">
      <formula>IF($AK8&lt;3,1,IF($AK7&lt;4,1,0))</formula>
    </cfRule>
  </conditionalFormatting>
  <conditionalFormatting sqref="K28:M28 K113:M113">
    <cfRule type="expression" dxfId="4648" priority="150" stopIfTrue="1">
      <formula>IF($AK8&lt;4,1,IF($AK7&lt;4,1,0))</formula>
    </cfRule>
  </conditionalFormatting>
  <conditionalFormatting sqref="N28:P28 N113:P113">
    <cfRule type="expression" dxfId="4647" priority="151" stopIfTrue="1">
      <formula>IF($AK8&lt;5,1,IF($AK7&lt;4,1,0))</formula>
    </cfRule>
  </conditionalFormatting>
  <conditionalFormatting sqref="Q28:S28 Q113:S113">
    <cfRule type="expression" dxfId="4646" priority="152" stopIfTrue="1">
      <formula>IF($AK8&lt;6,1,IF($AK7&lt;4,1,0))</formula>
    </cfRule>
  </conditionalFormatting>
  <conditionalFormatting sqref="T28:V28 T113:V113">
    <cfRule type="expression" dxfId="4645" priority="153" stopIfTrue="1">
      <formula>IF($AK8&lt;7,1,IF($AK7&lt;4,1,0))</formula>
    </cfRule>
  </conditionalFormatting>
  <conditionalFormatting sqref="W28:Y28 W113:Y113">
    <cfRule type="expression" dxfId="4644" priority="154" stopIfTrue="1">
      <formula>IF($AK8&lt;8,1,IF($AK7&lt;4,1,0))</formula>
    </cfRule>
  </conditionalFormatting>
  <conditionalFormatting sqref="Z28:AB28 Z113:AB113">
    <cfRule type="expression" dxfId="4643" priority="155" stopIfTrue="1">
      <formula>IF($AK8&lt;9,1,IF($AK7&lt;4,1,0))</formula>
    </cfRule>
  </conditionalFormatting>
  <conditionalFormatting sqref="AC28:AE28 AC113:AE113">
    <cfRule type="expression" dxfId="4642" priority="156" stopIfTrue="1">
      <formula>IF($AK8&lt;10,1,IF($AK7&lt;4,1,0))</formula>
    </cfRule>
  </conditionalFormatting>
  <conditionalFormatting sqref="H29:J29 H114:J114">
    <cfRule type="expression" dxfId="4641" priority="157" stopIfTrue="1">
      <formula>IF($AK8&lt;3,1,IF($AK7&lt;5,1,0))</formula>
    </cfRule>
  </conditionalFormatting>
  <conditionalFormatting sqref="K29:M29 K114:M114">
    <cfRule type="expression" dxfId="4640" priority="158" stopIfTrue="1">
      <formula>IF($AK8&lt;4,1,IF($AK7&lt;5,1,0))</formula>
    </cfRule>
  </conditionalFormatting>
  <conditionalFormatting sqref="N29:P29 N114:P114">
    <cfRule type="expression" dxfId="4639" priority="159" stopIfTrue="1">
      <formula>IF($AK8&lt;5,1,IF($AK7&lt;5,1,0))</formula>
    </cfRule>
  </conditionalFormatting>
  <conditionalFormatting sqref="Q29:S29 Q114:S114">
    <cfRule type="expression" dxfId="4638" priority="160" stopIfTrue="1">
      <formula>IF($AK8&lt;6,1,IF($AK7&lt;5,1,0))</formula>
    </cfRule>
  </conditionalFormatting>
  <conditionalFormatting sqref="T29:V29 T114:V114">
    <cfRule type="expression" dxfId="4637" priority="161" stopIfTrue="1">
      <formula>IF($AK8&lt;7,1,IF($AK7&lt;5,1,0))</formula>
    </cfRule>
  </conditionalFormatting>
  <conditionalFormatting sqref="W29:Y29 W114:Y114">
    <cfRule type="expression" dxfId="4636" priority="162" stopIfTrue="1">
      <formula>IF($AK8&lt;8,1,IF($AK7&lt;5,1,0))</formula>
    </cfRule>
  </conditionalFormatting>
  <conditionalFormatting sqref="Z29:AB29 Z114:AB114">
    <cfRule type="expression" dxfId="4635" priority="163" stopIfTrue="1">
      <formula>IF($AK8&lt;9,1,IF($AK7&lt;5,1,0))</formula>
    </cfRule>
  </conditionalFormatting>
  <conditionalFormatting sqref="AC29:AE29 AC114:AE114">
    <cfRule type="expression" dxfId="4634" priority="164" stopIfTrue="1">
      <formula>IF($AK8&lt;10,1,IF($AK7&lt;5,1,0))</formula>
    </cfRule>
  </conditionalFormatting>
  <conditionalFormatting sqref="R14:AB15 AF14:AF15 L14:P15 R99:AB100 AF99:AF100 L99:P100 AG14 AG99">
    <cfRule type="expression" dxfId="4633" priority="165" stopIfTrue="1">
      <formula>IF($AK9&gt;3,0,1)</formula>
    </cfRule>
  </conditionalFormatting>
  <conditionalFormatting sqref="R16:AB17 AF16:AF17 L16:P17 R101:AB102 AF101:AF102 L101:P102 AG16 AG101">
    <cfRule type="expression" dxfId="4632" priority="166" stopIfTrue="1">
      <formula>IF($AK9&gt;4,0,1)</formula>
    </cfRule>
  </conditionalFormatting>
  <conditionalFormatting sqref="R8:AB9 AF8:AF9 L8:P9 R93:AB94 AF93:AF94 L93:P94 AG8 AG93">
    <cfRule type="expression" dxfId="4631" priority="167" stopIfTrue="1">
      <formula>IF($AK9&gt;0,0,1)</formula>
    </cfRule>
  </conditionalFormatting>
  <conditionalFormatting sqref="R10:AB11 AF10:AF11 L10:P11 R95:AB96 AF95:AF96 L95:P96 AG10 AG95">
    <cfRule type="expression" dxfId="4630" priority="168" stopIfTrue="1">
      <formula>IF($AK9&gt;1,0,1)</formula>
    </cfRule>
  </conditionalFormatting>
  <conditionalFormatting sqref="R12:AB13 AF12:AF13 L12:P13 R97:AB98 AF97:AF98 L97:P98 AG12 AG97">
    <cfRule type="expression" dxfId="4629" priority="169" stopIfTrue="1">
      <formula>IF($AK9&gt;2,0,1)</formula>
    </cfRule>
  </conditionalFormatting>
  <conditionalFormatting sqref="E24 E109">
    <cfRule type="expression" dxfId="4628" priority="170" stopIfTrue="1">
      <formula>IF(AK8&gt;1,0,1)</formula>
    </cfRule>
  </conditionalFormatting>
  <conditionalFormatting sqref="H24 H109">
    <cfRule type="expression" dxfId="4627" priority="171" stopIfTrue="1">
      <formula>IF(AK8&gt;2,0,1)</formula>
    </cfRule>
  </conditionalFormatting>
  <conditionalFormatting sqref="K24 K109">
    <cfRule type="expression" dxfId="4626" priority="172" stopIfTrue="1">
      <formula>IF(AK8&gt;3,0,1)</formula>
    </cfRule>
  </conditionalFormatting>
  <conditionalFormatting sqref="N24 N109">
    <cfRule type="expression" dxfId="4625" priority="173" stopIfTrue="1">
      <formula>IF(AK8&gt;4,0,1)</formula>
    </cfRule>
  </conditionalFormatting>
  <conditionalFormatting sqref="Q24 Q109">
    <cfRule type="expression" dxfId="4624" priority="174" stopIfTrue="1">
      <formula>IF(AK8&gt;5,0,1)</formula>
    </cfRule>
  </conditionalFormatting>
  <conditionalFormatting sqref="T24 T109">
    <cfRule type="expression" dxfId="4623" priority="175" stopIfTrue="1">
      <formula>IF(AK8&gt;6,0,1)</formula>
    </cfRule>
  </conditionalFormatting>
  <conditionalFormatting sqref="W24 W109">
    <cfRule type="expression" dxfId="4622" priority="176" stopIfTrue="1">
      <formula>IF(AK8&gt;7,0,1)</formula>
    </cfRule>
  </conditionalFormatting>
  <conditionalFormatting sqref="Z24 Z109">
    <cfRule type="expression" dxfId="4621" priority="177" stopIfTrue="1">
      <formula>IF(AK8&gt;8,0,1)</formula>
    </cfRule>
  </conditionalFormatting>
  <conditionalFormatting sqref="AC24 AC109">
    <cfRule type="expression" dxfId="4620" priority="178" stopIfTrue="1">
      <formula>IF(AK8&gt;9,0,1)</formula>
    </cfRule>
  </conditionalFormatting>
  <conditionalFormatting sqref="AQ27 AQ112">
    <cfRule type="expression" dxfId="4619" priority="179" stopIfTrue="1">
      <formula>IF($AK9&gt;3,0,1)</formula>
    </cfRule>
  </conditionalFormatting>
  <conditionalFormatting sqref="E25:G25 E110:G110">
    <cfRule type="expression" dxfId="4618" priority="180" stopIfTrue="1">
      <formula>IF($AK8&gt;1,0,1)</formula>
    </cfRule>
  </conditionalFormatting>
  <conditionalFormatting sqref="B21:D21 B106:D106">
    <cfRule type="expression" dxfId="4617" priority="181" stopIfTrue="1">
      <formula>IF(AK8&gt;0,0,1)</formula>
    </cfRule>
  </conditionalFormatting>
  <conditionalFormatting sqref="E21:G21 E106:G106">
    <cfRule type="expression" dxfId="4616" priority="182" stopIfTrue="1">
      <formula>IF(AK8&gt;1,0,1)</formula>
    </cfRule>
  </conditionalFormatting>
  <conditionalFormatting sqref="H21:J21 H106:J106">
    <cfRule type="expression" dxfId="4615" priority="183" stopIfTrue="1">
      <formula>IF(AK8&gt;2,0,1)</formula>
    </cfRule>
  </conditionalFormatting>
  <conditionalFormatting sqref="K21:M21 K106:M106">
    <cfRule type="expression" dxfId="4614" priority="184" stopIfTrue="1">
      <formula>IF(AK8&gt;3,0,1)</formula>
    </cfRule>
  </conditionalFormatting>
  <conditionalFormatting sqref="N21:P21 N106:P106">
    <cfRule type="expression" dxfId="4613" priority="185" stopIfTrue="1">
      <formula>IF(AK8&gt;4,0,1)</formula>
    </cfRule>
  </conditionalFormatting>
  <conditionalFormatting sqref="Q21:S21 Q106:S106">
    <cfRule type="expression" dxfId="4612" priority="186" stopIfTrue="1">
      <formula>IF(AK8&gt;5,0,1)</formula>
    </cfRule>
  </conditionalFormatting>
  <conditionalFormatting sqref="T21:V21 T106:V106">
    <cfRule type="expression" dxfId="4611" priority="187" stopIfTrue="1">
      <formula>IF(AK8&gt;6,0,1)</formula>
    </cfRule>
  </conditionalFormatting>
  <conditionalFormatting sqref="W21:Y21 W106:Y106">
    <cfRule type="expression" dxfId="4610" priority="188" stopIfTrue="1">
      <formula>IF(AK8&gt;7,0,1)</formula>
    </cfRule>
  </conditionalFormatting>
  <conditionalFormatting sqref="Z21:AB21 Z106:AB106">
    <cfRule type="expression" dxfId="4609" priority="189" stopIfTrue="1">
      <formula>IF(AK8&gt;8,0,1)</formula>
    </cfRule>
  </conditionalFormatting>
  <conditionalFormatting sqref="AC21:AE21 AC106:AE106">
    <cfRule type="expression" dxfId="4608" priority="190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4607" priority="191" stopIfTrue="1">
      <formula>IF(#REF!&gt;0,0,1)</formula>
    </cfRule>
  </conditionalFormatting>
  <conditionalFormatting sqref="AA215:AB215 AB223 AA218:AB218 Z223 Z215:Z218 F215:G215 G223 F218:G218 E223 E215:E218">
    <cfRule type="expression" dxfId="4606" priority="192" stopIfTrue="1">
      <formula>IF(#REF!&gt;1,0,1)</formula>
    </cfRule>
  </conditionalFormatting>
  <conditionalFormatting sqref="AC215:AC218 AD215:AE215 AE223 AD218:AE218 AC223 H223 H215:H218 I215:J215 J223 I218:J218">
    <cfRule type="expression" dxfId="4605" priority="193" stopIfTrue="1">
      <formula>IF(#REF!&gt;2,0,1)</formula>
    </cfRule>
  </conditionalFormatting>
  <conditionalFormatting sqref="W224 Y224 B224 D224">
    <cfRule type="expression" dxfId="4604" priority="194" stopIfTrue="1">
      <formula>IF(#REF!&lt;1,1,IF(#REF!&lt;2,1,0))</formula>
    </cfRule>
  </conditionalFormatting>
  <conditionalFormatting sqref="Z224 AB224 E224 G224">
    <cfRule type="expression" dxfId="4603" priority="195" stopIfTrue="1">
      <formula>IF(#REF!&lt;2,1,IF(#REF!&lt;2,1,0))</formula>
    </cfRule>
  </conditionalFormatting>
  <conditionalFormatting sqref="AC224 AE224 H224 J224">
    <cfRule type="expression" dxfId="4602" priority="196" stopIfTrue="1">
      <formula>IF(#REF!&lt;3,1,IF(#REF!&lt;2,1,0))</formula>
    </cfRule>
  </conditionalFormatting>
  <conditionalFormatting sqref="Y225 B225 D225 W225">
    <cfRule type="expression" dxfId="4601" priority="197" stopIfTrue="1">
      <formula>IF(#REF!&lt;1,1,IF(#REF!&lt;3,1,0))</formula>
    </cfRule>
  </conditionalFormatting>
  <conditionalFormatting sqref="AB225 E225 G225 Z225">
    <cfRule type="expression" dxfId="4600" priority="198" stopIfTrue="1">
      <formula>IF(#REF!&lt;2,1,IF(#REF!&lt;3,1,0))</formula>
    </cfRule>
  </conditionalFormatting>
  <conditionalFormatting sqref="AE225 H225 J225 AC225">
    <cfRule type="expression" dxfId="4599" priority="199" stopIfTrue="1">
      <formula>IF(#REF!&lt;3,1,IF(#REF!&lt;3,1,0))</formula>
    </cfRule>
  </conditionalFormatting>
  <conditionalFormatting sqref="AG24:AP28 AG109:AP113">
    <cfRule type="cellIs" dxfId="4598" priority="200" stopIfTrue="1" operator="notBetween">
      <formula>-9999</formula>
      <formula>9999</formula>
    </cfRule>
  </conditionalFormatting>
  <conditionalFormatting sqref="AC7 AC92">
    <cfRule type="expression" dxfId="4597" priority="201" stopIfTrue="1">
      <formula>IF($AK$11=0,1,0)</formula>
    </cfRule>
  </conditionalFormatting>
  <conditionalFormatting sqref="B18">
    <cfRule type="expression" dxfId="4596" priority="202" stopIfTrue="1">
      <formula>IF($AK$9&gt;0,0,1)</formula>
    </cfRule>
  </conditionalFormatting>
  <conditionalFormatting sqref="B22:D23 B107:D108">
    <cfRule type="cellIs" dxfId="4595" priority="203" stopIfTrue="1" operator="equal">
      <formula>99</formula>
    </cfRule>
  </conditionalFormatting>
  <conditionalFormatting sqref="X226 AA226 C226 F226">
    <cfRule type="expression" dxfId="4594" priority="204" stopIfTrue="1">
      <formula>IF(#REF!&gt;0,0,1)</formula>
    </cfRule>
  </conditionalFormatting>
  <conditionalFormatting sqref="K215">
    <cfRule type="expression" dxfId="4593" priority="4" stopIfTrue="1">
      <formula>IF(#REF!&gt;2,0,1)</formula>
    </cfRule>
  </conditionalFormatting>
  <conditionalFormatting sqref="K215">
    <cfRule type="expression" dxfId="4592" priority="3" stopIfTrue="1">
      <formula>IF(ISNUMBER(K223),0,1)</formula>
    </cfRule>
  </conditionalFormatting>
  <conditionalFormatting sqref="AF215">
    <cfRule type="expression" dxfId="4591" priority="2" stopIfTrue="1">
      <formula>IF(ISNUMBER(AF223),0,1)</formula>
    </cfRule>
  </conditionalFormatting>
  <conditionalFormatting sqref="B103">
    <cfRule type="expression" dxfId="4590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1025" r:id="rId4" name="Pool1RecalcFinish">
          <controlPr defaultSize="0" autoLine="0" r:id="rId5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025" r:id="rId4" name="Pool1RecalcFinish"/>
      </mc:Fallback>
    </mc:AlternateContent>
    <mc:AlternateContent xmlns:mc="http://schemas.openxmlformats.org/markup-compatibility/2006">
      <mc:Choice Requires="x14">
        <control shapeId="1026" r:id="rId6" name="Pool2RecalcFinish">
          <controlPr defaultSize="0" autoLine="0" r:id="rId7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1026" r:id="rId6" name="Pool2RecalcFinish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theme="5" tint="0.39997558519241921"/>
  </sheetPr>
  <dimension ref="A1:BY658"/>
  <sheetViews>
    <sheetView topLeftCell="K1" zoomScale="68" zoomScaleNormal="68" workbookViewId="0">
      <selection activeCell="AS91" sqref="AS91:AS94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30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3"/>
      <c r="AW1" s="194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970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 t="s">
        <v>971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510</v>
      </c>
      <c r="AV3" s="15" t="s">
        <v>509</v>
      </c>
      <c r="AW3" s="16">
        <f>VLOOKUP(AV3,Initial!G:K,5,FALSE)</f>
        <v>1789.2595678161492</v>
      </c>
      <c r="AX3" s="17">
        <f t="shared" ref="AX3:AX12" si="0">VLOOKUP(AU3,AT$79:AU$174,2,FALSE)</f>
        <v>1825.8459652836571</v>
      </c>
      <c r="AY3" s="18">
        <f t="shared" ref="AY3:AY12" si="1">IF(ISNA(VLOOKUP(AU3,AT$182:AU$234,2,FALSE)),AX3,VLOOKUP(AU3,AT$182:AU$234,2,FALSE))</f>
        <v>1846.0824249958619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972</v>
      </c>
      <c r="F4" s="210"/>
      <c r="G4" s="210"/>
      <c r="H4" s="210"/>
      <c r="I4" s="210"/>
      <c r="J4" s="210"/>
      <c r="K4" s="210"/>
      <c r="L4" s="210"/>
      <c r="M4" s="211"/>
      <c r="N4" s="206" t="s">
        <v>27</v>
      </c>
      <c r="O4" s="207"/>
      <c r="P4" s="207"/>
      <c r="Q4" s="208"/>
      <c r="R4" s="212" t="s">
        <v>28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29</v>
      </c>
      <c r="AC4" s="207"/>
      <c r="AD4" s="207"/>
      <c r="AE4" s="208"/>
      <c r="AF4" s="407">
        <v>42759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498</v>
      </c>
      <c r="AV4" s="15" t="s">
        <v>497</v>
      </c>
      <c r="AW4" s="16">
        <f>VLOOKUP(AV4,Initial!G:K,5,FALSE)</f>
        <v>1728.1310461413079</v>
      </c>
      <c r="AX4" s="20">
        <f t="shared" si="0"/>
        <v>1814.1302494612644</v>
      </c>
      <c r="AY4" s="21">
        <f t="shared" si="1"/>
        <v>1804.7578750763826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494</v>
      </c>
      <c r="AV5" s="15" t="s">
        <v>493</v>
      </c>
      <c r="AW5" s="16">
        <f>VLOOKUP(AV5,Initial!G:K,5,FALSE)</f>
        <v>1657.3872938785414</v>
      </c>
      <c r="AX5" s="20">
        <f t="shared" si="0"/>
        <v>1673.9392165820072</v>
      </c>
      <c r="AY5" s="21">
        <f t="shared" si="1"/>
        <v>1669.2299346493558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526</v>
      </c>
      <c r="AV6" s="15" t="s">
        <v>525</v>
      </c>
      <c r="AW6" s="16">
        <f>VLOOKUP(AV6,Initial!G:K,5,FALSE)</f>
        <v>1647.4740230165003</v>
      </c>
      <c r="AX6" s="20">
        <f t="shared" si="0"/>
        <v>1732.5261660090864</v>
      </c>
      <c r="AY6" s="21">
        <f t="shared" si="1"/>
        <v>1726.3713626144149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Games Won</v>
      </c>
      <c r="M7" s="255"/>
      <c r="N7" s="255"/>
      <c r="O7" s="255"/>
      <c r="P7" s="255"/>
      <c r="Q7" s="256"/>
      <c r="R7" s="254" t="str">
        <f>IF($AK10=0,"Games Lost","Matches Lost")</f>
        <v>Games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496</v>
      </c>
      <c r="AV7" s="15" t="s">
        <v>495</v>
      </c>
      <c r="AW7" s="16">
        <f>VLOOKUP(AV7,Initial!G:K,5,FALSE)</f>
        <v>1641.6440767325234</v>
      </c>
      <c r="AX7" s="20">
        <f t="shared" si="0"/>
        <v>1599.1542081855082</v>
      </c>
      <c r="AY7" s="21">
        <f t="shared" si="1"/>
        <v>1623.8204049929316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Fort Mill 13 Purple</v>
      </c>
      <c r="F8" s="233"/>
      <c r="G8" s="233"/>
      <c r="H8" s="233"/>
      <c r="I8" s="233"/>
      <c r="J8" s="233"/>
      <c r="K8" s="234"/>
      <c r="L8" s="235">
        <f>IF($AK10=0,AF64,AF46)</f>
        <v>7</v>
      </c>
      <c r="M8" s="236"/>
      <c r="N8" s="236"/>
      <c r="O8" s="236"/>
      <c r="P8" s="236"/>
      <c r="Q8" s="256"/>
      <c r="R8" s="235">
        <f>IF($AK10=0,AG64,AG46)</f>
        <v>1</v>
      </c>
      <c r="S8" s="236"/>
      <c r="T8" s="236"/>
      <c r="U8" s="236"/>
      <c r="V8" s="236"/>
      <c r="W8" s="235">
        <f>AQ24</f>
        <v>70</v>
      </c>
      <c r="X8" s="236"/>
      <c r="Y8" s="236"/>
      <c r="Z8" s="239">
        <f>IF(AF58&gt;0,(AQ24/AF58),0)</f>
        <v>0.35</v>
      </c>
      <c r="AA8" s="240"/>
      <c r="AB8" s="240"/>
      <c r="AC8" s="262">
        <f>IF(AF72=0,0,(AF64/AF72))</f>
        <v>0.875</v>
      </c>
      <c r="AD8" s="263"/>
      <c r="AE8" s="264"/>
      <c r="AF8" s="268">
        <v>1</v>
      </c>
      <c r="AG8" s="268">
        <v>3</v>
      </c>
      <c r="AH8" s="270">
        <v>1</v>
      </c>
      <c r="AI8" s="271"/>
      <c r="AJ8" s="27"/>
      <c r="AK8" s="28">
        <v>10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529</v>
      </c>
      <c r="AV8" s="15" t="s">
        <v>527</v>
      </c>
      <c r="AW8" s="16">
        <f>VLOOKUP(AV8,Initial!G:K,5,FALSE)</f>
        <v>1639.4730821157075</v>
      </c>
      <c r="AX8" s="20">
        <f t="shared" si="0"/>
        <v>1621.4464196707468</v>
      </c>
      <c r="AY8" s="21">
        <f t="shared" si="1"/>
        <v>1613.0329052350071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fj3fortm1pm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5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512</v>
      </c>
      <c r="AV9" s="15" t="s">
        <v>511</v>
      </c>
      <c r="AW9" s="16">
        <f>VLOOKUP(AV9,Initial!G:K,5,FALSE)</f>
        <v>1624.823853549269</v>
      </c>
      <c r="AX9" s="20">
        <f t="shared" si="0"/>
        <v>1520.7107114660023</v>
      </c>
      <c r="AY9" s="21">
        <f t="shared" si="1"/>
        <v>1520.7107114660023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SCWE13WINGS</v>
      </c>
      <c r="F10" s="233"/>
      <c r="G10" s="233"/>
      <c r="H10" s="233"/>
      <c r="I10" s="233"/>
      <c r="J10" s="233"/>
      <c r="K10" s="234"/>
      <c r="L10" s="235">
        <f>IF($AK10=0,AF65,AF47)</f>
        <v>7</v>
      </c>
      <c r="M10" s="236"/>
      <c r="N10" s="236"/>
      <c r="O10" s="236"/>
      <c r="P10" s="236"/>
      <c r="Q10" s="256"/>
      <c r="R10" s="235">
        <f>IF($AK10=0,AG65,AG47)</f>
        <v>1</v>
      </c>
      <c r="S10" s="236"/>
      <c r="T10" s="236"/>
      <c r="U10" s="236"/>
      <c r="V10" s="236"/>
      <c r="W10" s="235">
        <f>AQ25</f>
        <v>62</v>
      </c>
      <c r="X10" s="236"/>
      <c r="Y10" s="236"/>
      <c r="Z10" s="239">
        <f>IF(AF59&gt;0,(AQ25/AF59),0)</f>
        <v>0.31</v>
      </c>
      <c r="AA10" s="240"/>
      <c r="AB10" s="240"/>
      <c r="AC10" s="262">
        <f>IF(AF73=0,0,(AF65/AF73))</f>
        <v>0.875</v>
      </c>
      <c r="AD10" s="263"/>
      <c r="AE10" s="264"/>
      <c r="AF10" s="268">
        <v>2</v>
      </c>
      <c r="AG10" s="268">
        <v>3</v>
      </c>
      <c r="AH10" s="270">
        <v>3</v>
      </c>
      <c r="AI10" s="271"/>
      <c r="AJ10" s="27"/>
      <c r="AK10" s="28">
        <v>0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973</v>
      </c>
      <c r="AV10" s="15" t="s">
        <v>974</v>
      </c>
      <c r="AW10" s="16">
        <f>VLOOKUP(AV10,Initial!G:K,5,FALSE)</f>
        <v>1600</v>
      </c>
      <c r="AX10" s="20">
        <f t="shared" si="0"/>
        <v>1534.2030414472588</v>
      </c>
      <c r="AY10" s="21">
        <f t="shared" si="1"/>
        <v>1534.2030414472588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fj3scwea1pm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5" t="s">
        <v>524</v>
      </c>
      <c r="AV11" s="15" t="s">
        <v>523</v>
      </c>
      <c r="AW11" s="16">
        <f>VLOOKUP(AV11,Initial!G:K,5,FALSE)</f>
        <v>1616.8234096527883</v>
      </c>
      <c r="AX11" s="20">
        <f t="shared" si="0"/>
        <v>1603.4716962924508</v>
      </c>
      <c r="AY11" s="21">
        <f t="shared" si="1"/>
        <v>1595.6889931925523</v>
      </c>
    </row>
    <row r="12" spans="1:53" ht="18.75" customHeight="1" thickBot="1" x14ac:dyDescent="0.25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Chas Jrs 13 Blue</v>
      </c>
      <c r="F12" s="233"/>
      <c r="G12" s="233"/>
      <c r="H12" s="233"/>
      <c r="I12" s="233"/>
      <c r="J12" s="233"/>
      <c r="K12" s="234"/>
      <c r="L12" s="235">
        <f>IF($AK10=0,AF66,AF48)</f>
        <v>2</v>
      </c>
      <c r="M12" s="236"/>
      <c r="N12" s="236"/>
      <c r="O12" s="236"/>
      <c r="P12" s="236"/>
      <c r="Q12" s="256"/>
      <c r="R12" s="235">
        <f>IF($AK10=0,AG66,AG48)</f>
        <v>6</v>
      </c>
      <c r="S12" s="236"/>
      <c r="T12" s="236"/>
      <c r="U12" s="236"/>
      <c r="V12" s="236"/>
      <c r="W12" s="235">
        <f>AQ26</f>
        <v>-17</v>
      </c>
      <c r="X12" s="236"/>
      <c r="Y12" s="236"/>
      <c r="Z12" s="239">
        <f>IF(AF60&gt;0,(AQ26/AF60),0)</f>
        <v>-8.5000000000000006E-2</v>
      </c>
      <c r="AA12" s="240"/>
      <c r="AB12" s="240"/>
      <c r="AC12" s="262">
        <f>IF(AF74=0,0,(AF66/AF74))</f>
        <v>0.25</v>
      </c>
      <c r="AD12" s="263"/>
      <c r="AE12" s="264"/>
      <c r="AF12" s="268">
        <v>4</v>
      </c>
      <c r="AG12" s="268">
        <v>1</v>
      </c>
      <c r="AH12" s="270">
        <v>5</v>
      </c>
      <c r="AI12" s="271"/>
      <c r="AJ12" s="31"/>
      <c r="AK12" s="28">
        <v>8</v>
      </c>
      <c r="AL12" s="32" t="s">
        <v>61</v>
      </c>
      <c r="AM12" s="29"/>
      <c r="AN12" s="29"/>
      <c r="AO12" s="29"/>
      <c r="AP12" s="29"/>
      <c r="AQ12" s="29"/>
      <c r="AR12" s="30"/>
      <c r="AT12" s="33">
        <v>10</v>
      </c>
      <c r="AU12" s="15" t="s">
        <v>514</v>
      </c>
      <c r="AV12" s="15" t="s">
        <v>513</v>
      </c>
      <c r="AW12" s="16">
        <f>VLOOKUP(AV12,Initial!G:K,5,FALSE)</f>
        <v>1600</v>
      </c>
      <c r="AX12" s="34">
        <f t="shared" si="0"/>
        <v>1619.5886785048051</v>
      </c>
      <c r="AY12" s="35">
        <f t="shared" si="1"/>
        <v>1611.1186992330199</v>
      </c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fj3charl2pm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39" t="s">
        <v>64</v>
      </c>
      <c r="AU13" s="340"/>
      <c r="AV13" s="340"/>
      <c r="AW13" s="340"/>
      <c r="AX13" s="340"/>
      <c r="AY13" s="341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LAVA 13U Purple</v>
      </c>
      <c r="F14" s="233"/>
      <c r="G14" s="233"/>
      <c r="H14" s="233"/>
      <c r="I14" s="233"/>
      <c r="J14" s="233"/>
      <c r="K14" s="234"/>
      <c r="L14" s="235">
        <f>IF($AK10=0,AF67,AF49)</f>
        <v>1</v>
      </c>
      <c r="M14" s="236"/>
      <c r="N14" s="236"/>
      <c r="O14" s="236"/>
      <c r="P14" s="236"/>
      <c r="Q14" s="256"/>
      <c r="R14" s="235">
        <f>IF($AK10=0,AG67,AG49)</f>
        <v>7</v>
      </c>
      <c r="S14" s="236"/>
      <c r="T14" s="236"/>
      <c r="U14" s="236"/>
      <c r="V14" s="236"/>
      <c r="W14" s="235">
        <f>AQ27</f>
        <v>-74</v>
      </c>
      <c r="X14" s="236"/>
      <c r="Y14" s="236"/>
      <c r="Z14" s="239">
        <f>IF(AF61&gt;0,(AQ27/AF61),0)</f>
        <v>-0.37</v>
      </c>
      <c r="AA14" s="240"/>
      <c r="AB14" s="240"/>
      <c r="AC14" s="262">
        <f>IF(AF75=0,0,(AF67/AF75))</f>
        <v>0.125</v>
      </c>
      <c r="AD14" s="263"/>
      <c r="AE14" s="264"/>
      <c r="AF14" s="268">
        <v>5</v>
      </c>
      <c r="AG14" s="268">
        <v>1</v>
      </c>
      <c r="AH14" s="270">
        <v>10</v>
      </c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42"/>
      <c r="AU14" s="343"/>
      <c r="AV14" s="343"/>
      <c r="AW14" s="343"/>
      <c r="AX14" s="343"/>
      <c r="AY14" s="344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fj3lavaf1cr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  <c r="AW15" s="97"/>
      <c r="AX15" s="97"/>
      <c r="AY15" s="97"/>
    </row>
    <row r="16" spans="1:53" ht="18.75" customHeight="1" x14ac:dyDescent="0.2">
      <c r="A16" s="227" t="str">
        <f>IF($AK9&gt;4,"5","")</f>
        <v>5</v>
      </c>
      <c r="B16" s="286" t="s">
        <v>10</v>
      </c>
      <c r="C16" s="287"/>
      <c r="D16" s="287"/>
      <c r="E16" s="232" t="str">
        <f>AU11</f>
        <v>SC Midlands 13 Black</v>
      </c>
      <c r="F16" s="233"/>
      <c r="G16" s="233"/>
      <c r="H16" s="233"/>
      <c r="I16" s="233"/>
      <c r="J16" s="233"/>
      <c r="K16" s="234"/>
      <c r="L16" s="235">
        <f>IF($AK10=0,AF68,AF50)</f>
        <v>3</v>
      </c>
      <c r="M16" s="236"/>
      <c r="N16" s="236"/>
      <c r="O16" s="236"/>
      <c r="P16" s="236"/>
      <c r="Q16" s="256"/>
      <c r="R16" s="235">
        <f>IF($AK10=0,AG68,AG50)</f>
        <v>5</v>
      </c>
      <c r="S16" s="236"/>
      <c r="T16" s="236"/>
      <c r="U16" s="236"/>
      <c r="V16" s="236"/>
      <c r="W16" s="235">
        <f>AQ28</f>
        <v>-41</v>
      </c>
      <c r="X16" s="236"/>
      <c r="Y16" s="236"/>
      <c r="Z16" s="239">
        <f>IF(AF62&gt;0,(AQ28/AF62),0)</f>
        <v>-0.20499999999999999</v>
      </c>
      <c r="AA16" s="240"/>
      <c r="AB16" s="240"/>
      <c r="AC16" s="262">
        <f>IF(AF76=0,0,(AF68/AF76))</f>
        <v>0.375</v>
      </c>
      <c r="AD16" s="263"/>
      <c r="AE16" s="264"/>
      <c r="AF16" s="268">
        <v>3</v>
      </c>
      <c r="AG16" s="268">
        <v>1</v>
      </c>
      <c r="AH16" s="270">
        <v>6</v>
      </c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T16" s="39"/>
      <c r="AU16" s="97"/>
      <c r="AV16" s="97"/>
      <c r="AW16" s="97"/>
      <c r="AX16" s="97"/>
      <c r="AY16" s="97"/>
    </row>
    <row r="17" spans="1:51" ht="18.75" customHeight="1" thickBot="1" x14ac:dyDescent="0.25">
      <c r="A17" s="228"/>
      <c r="B17" s="296" t="s">
        <v>11</v>
      </c>
      <c r="C17" s="297"/>
      <c r="D17" s="297"/>
      <c r="E17" s="410" t="str">
        <f>AV11</f>
        <v>fj3scmid2pm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T17" s="39"/>
      <c r="AU17" s="97"/>
      <c r="AV17" s="97"/>
      <c r="AW17" s="97"/>
      <c r="AX17" s="97"/>
      <c r="AY17" s="97"/>
    </row>
    <row r="18" spans="1:51" ht="21" customHeight="1" thickTop="1" thickBot="1" x14ac:dyDescent="0.25">
      <c r="A18" s="40"/>
      <c r="B18" s="305" t="s">
        <v>65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T18" s="39"/>
      <c r="AU18" s="97"/>
      <c r="AV18" s="97"/>
      <c r="AW18" s="4"/>
    </row>
    <row r="19" spans="1:51" ht="13.5" thickTop="1" x14ac:dyDescent="0.2">
      <c r="A19" s="4" t="s">
        <v>66</v>
      </c>
      <c r="B19" s="308">
        <v>0.35416666666666669</v>
      </c>
      <c r="C19" s="309"/>
      <c r="D19" s="310"/>
      <c r="E19" s="308">
        <v>0.38541666666666669</v>
      </c>
      <c r="F19" s="309"/>
      <c r="G19" s="310"/>
      <c r="H19" s="308">
        <v>0.41666666666666669</v>
      </c>
      <c r="I19" s="309"/>
      <c r="J19" s="310"/>
      <c r="K19" s="308">
        <v>0.44791666666666669</v>
      </c>
      <c r="L19" s="309"/>
      <c r="M19" s="310"/>
      <c r="N19" s="308">
        <v>0.47916666666666669</v>
      </c>
      <c r="O19" s="309"/>
      <c r="P19" s="310"/>
      <c r="Q19" s="308">
        <v>0.51041666666666663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T19" s="39"/>
      <c r="AU19" s="97"/>
      <c r="AV19" s="97"/>
      <c r="AW19" s="4"/>
    </row>
    <row r="20" spans="1:51" x14ac:dyDescent="0.2">
      <c r="A20" s="41" t="s">
        <v>68</v>
      </c>
      <c r="B20" s="319"/>
      <c r="C20" s="320"/>
      <c r="D20" s="321"/>
      <c r="E20" s="319"/>
      <c r="F20" s="320"/>
      <c r="G20" s="321"/>
      <c r="H20" s="319"/>
      <c r="I20" s="320"/>
      <c r="J20" s="321"/>
      <c r="K20" s="319"/>
      <c r="L20" s="320"/>
      <c r="M20" s="321"/>
      <c r="N20" s="319"/>
      <c r="O20" s="320"/>
      <c r="P20" s="321"/>
      <c r="Q20" s="319"/>
      <c r="R20" s="320"/>
      <c r="S20" s="321"/>
      <c r="T20" s="319"/>
      <c r="U20" s="320"/>
      <c r="V20" s="321"/>
      <c r="W20" s="319"/>
      <c r="X20" s="320"/>
      <c r="Y20" s="321"/>
      <c r="Z20" s="319"/>
      <c r="AA20" s="320"/>
      <c r="AB20" s="321"/>
      <c r="AC20" s="319"/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T20" s="39"/>
      <c r="AU20" s="97"/>
      <c r="AV20" s="97"/>
      <c r="AW20" s="4"/>
    </row>
    <row r="21" spans="1:51" x14ac:dyDescent="0.2">
      <c r="A21" s="41" t="s">
        <v>69</v>
      </c>
      <c r="B21" s="319"/>
      <c r="C21" s="320"/>
      <c r="D21" s="321"/>
      <c r="E21" s="319"/>
      <c r="F21" s="320"/>
      <c r="G21" s="321"/>
      <c r="H21" s="319"/>
      <c r="I21" s="320"/>
      <c r="J21" s="321"/>
      <c r="K21" s="319"/>
      <c r="L21" s="320"/>
      <c r="M21" s="321"/>
      <c r="N21" s="319"/>
      <c r="O21" s="320"/>
      <c r="P21" s="321"/>
      <c r="Q21" s="319"/>
      <c r="R21" s="320"/>
      <c r="S21" s="321"/>
      <c r="T21" s="319"/>
      <c r="U21" s="320"/>
      <c r="V21" s="321"/>
      <c r="W21" s="319"/>
      <c r="X21" s="320"/>
      <c r="Y21" s="321"/>
      <c r="Z21" s="319"/>
      <c r="AA21" s="320"/>
      <c r="AB21" s="321"/>
      <c r="AC21" s="319"/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T21" s="6"/>
      <c r="AU21" s="6"/>
      <c r="AV21" s="6"/>
      <c r="AW21" s="4"/>
    </row>
    <row r="22" spans="1:51" ht="13.5" thickBot="1" x14ac:dyDescent="0.25">
      <c r="A22" s="7"/>
      <c r="B22" s="322" t="s">
        <v>70</v>
      </c>
      <c r="C22" s="323"/>
      <c r="D22" s="324"/>
      <c r="E22" s="322" t="str">
        <f>IF($AK8&gt;1,"Match 2","")</f>
        <v>Match 2</v>
      </c>
      <c r="F22" s="323"/>
      <c r="G22" s="324"/>
      <c r="H22" s="322" t="str">
        <f>IF($AK8&gt;2,"Match 3","")</f>
        <v>Match 3</v>
      </c>
      <c r="I22" s="323"/>
      <c r="J22" s="324"/>
      <c r="K22" s="322" t="str">
        <f>IF($AK8&gt;3,"Match 4","")</f>
        <v>Match 4</v>
      </c>
      <c r="L22" s="323"/>
      <c r="M22" s="324"/>
      <c r="N22" s="322" t="str">
        <f>IF($AK8&gt;4,"Match 5","")</f>
        <v>Match 5</v>
      </c>
      <c r="O22" s="323"/>
      <c r="P22" s="324"/>
      <c r="Q22" s="322" t="str">
        <f>IF($AK8&gt;5,"Match 6","")</f>
        <v>Match 6</v>
      </c>
      <c r="R22" s="323"/>
      <c r="S22" s="324"/>
      <c r="T22" s="322" t="str">
        <f>IF($AK8&gt;6,"Match 7","")</f>
        <v>Match 7</v>
      </c>
      <c r="U22" s="323"/>
      <c r="V22" s="324"/>
      <c r="W22" s="322" t="str">
        <f>IF($AK8&gt;7,"Match 8","")</f>
        <v>Match 8</v>
      </c>
      <c r="X22" s="323"/>
      <c r="Y22" s="324"/>
      <c r="Z22" s="322" t="str">
        <f>IF($AK8&gt;8,"Match 9","")</f>
        <v>Match 9</v>
      </c>
      <c r="AA22" s="323"/>
      <c r="AB22" s="324"/>
      <c r="AC22" s="322" t="str">
        <f>IF($AK8&gt;9,"Match 10","")</f>
        <v>Match 10</v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T22" s="39"/>
      <c r="AU22" s="97"/>
      <c r="AV22" s="97"/>
      <c r="AW22" s="4"/>
    </row>
    <row r="23" spans="1:51" ht="15.75" x14ac:dyDescent="0.25">
      <c r="A23" s="7"/>
      <c r="B23" s="325" t="s">
        <v>71</v>
      </c>
      <c r="C23" s="326"/>
      <c r="D23" s="327"/>
      <c r="E23" s="325" t="s">
        <v>72</v>
      </c>
      <c r="F23" s="326"/>
      <c r="G23" s="327"/>
      <c r="H23" s="325" t="s">
        <v>73</v>
      </c>
      <c r="I23" s="326"/>
      <c r="J23" s="327"/>
      <c r="K23" s="325" t="s">
        <v>74</v>
      </c>
      <c r="L23" s="326"/>
      <c r="M23" s="327"/>
      <c r="N23" s="325" t="s">
        <v>75</v>
      </c>
      <c r="O23" s="326"/>
      <c r="P23" s="327"/>
      <c r="Q23" s="325" t="s">
        <v>73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74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9"/>
      <c r="AU23" s="97"/>
      <c r="AV23" s="97"/>
      <c r="AW23" s="97"/>
      <c r="AX23" s="97"/>
      <c r="AY23" s="97"/>
    </row>
    <row r="24" spans="1:51" ht="15.75" x14ac:dyDescent="0.25">
      <c r="A24" s="7"/>
      <c r="B24" s="45">
        <v>2</v>
      </c>
      <c r="C24" s="46" t="s">
        <v>78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2" t="str">
        <f>IF($AK9&gt;0,"Team 1","")</f>
        <v>Team 1</v>
      </c>
      <c r="AG24" s="48" t="str">
        <f>IF($AK9&lt;1,"",IF($AK8&lt;1,"",IF(B24=1,B30-D30,IF(D24=1,D30-B30,""))))</f>
        <v/>
      </c>
      <c r="AH24" s="48">
        <f>IF($AK9&lt;1,"",IF($AK8&lt;2,"",IF(E24=1,E30-G30,IF(G24=1,G30-E30,""))))</f>
        <v>27</v>
      </c>
      <c r="AI24" s="48" t="str">
        <f>IF($AK9&lt;1,"",IF($AK8&lt;3,"",IF(H24=1,H30-J30,IF(J24=1,J30-H30,""))))</f>
        <v/>
      </c>
      <c r="AJ24" s="48" t="str">
        <f>IF($AK9&lt;1,"",IF($AK8&lt;4,"",IF(K24=1,K30-M30,IF(M24=1,M30-K30,""))))</f>
        <v/>
      </c>
      <c r="AK24" s="48">
        <f>IF($AK9&lt;1,"",IF($AK8&lt;5,"",IF(N24=1,N30-P30,IF(P24=1,P30-N30,""))))</f>
        <v>11</v>
      </c>
      <c r="AL24" s="48" t="str">
        <f>IF($AK9&lt;1,"",IF($AK8&lt;6,"",IF(Q24=1,Q30-S30,IF(S24=1,S30-Q30,""))))</f>
        <v/>
      </c>
      <c r="AM24" s="48" t="str">
        <f>IF($AK9&lt;1,"",IF($AK8&lt;7,"",IF(T24=1,T30-V30,IF(V24=1,V30-T30,""))))</f>
        <v/>
      </c>
      <c r="AN24" s="48">
        <f>IF($AK9&lt;1,"",IF($AK8&lt;8,"",IF(W24=1,W30-Y30,IF(Y24=1,Y30-W30,""))))</f>
        <v>29</v>
      </c>
      <c r="AO24" s="48" t="str">
        <f>IF($AK9&lt;1,"",IF($AK8&lt;9,"",IF(Z24=1,Z30-AB30,IF(AB24=1,AB30-Z30,""))))</f>
        <v/>
      </c>
      <c r="AP24" s="48">
        <f>IF($AK9&lt;1,"",IF($AK8&lt;10,"",IF(AC24=1,AC30-AE30,IF(AE24=1,AE30-AC30,""))))</f>
        <v>3</v>
      </c>
      <c r="AQ24" s="44">
        <f>SUM(AG24:AP24)</f>
        <v>70</v>
      </c>
      <c r="AT24" s="39"/>
      <c r="AU24" s="97"/>
      <c r="AV24" s="97"/>
      <c r="AW24" s="97"/>
      <c r="AX24" s="97"/>
      <c r="AY24" s="97"/>
    </row>
    <row r="25" spans="1:51" ht="15" x14ac:dyDescent="0.2">
      <c r="A25" s="4" t="s">
        <v>79</v>
      </c>
      <c r="B25" s="49">
        <v>25</v>
      </c>
      <c r="C25" s="50" t="s">
        <v>80</v>
      </c>
      <c r="D25" s="51">
        <v>15</v>
      </c>
      <c r="E25" s="49">
        <v>25</v>
      </c>
      <c r="F25" s="50" t="str">
        <f>IF($AK8&gt;1,"/","")</f>
        <v>/</v>
      </c>
      <c r="G25" s="51">
        <v>10</v>
      </c>
      <c r="H25" s="49">
        <v>22</v>
      </c>
      <c r="I25" s="50" t="str">
        <f>IF($AK8&gt;2,"/","")</f>
        <v>/</v>
      </c>
      <c r="J25" s="51">
        <v>25</v>
      </c>
      <c r="K25" s="49">
        <v>25</v>
      </c>
      <c r="L25" s="50" t="str">
        <f>IF($AK8&gt;3,"/","")</f>
        <v>/</v>
      </c>
      <c r="M25" s="51">
        <v>13</v>
      </c>
      <c r="N25" s="49">
        <v>25</v>
      </c>
      <c r="O25" s="50" t="str">
        <f>IF($AK8&gt;4,"/","")</f>
        <v>/</v>
      </c>
      <c r="P25" s="51">
        <v>18</v>
      </c>
      <c r="Q25" s="49">
        <v>21</v>
      </c>
      <c r="R25" s="50" t="str">
        <f>IF($AK8&gt;5,"/","")</f>
        <v>/</v>
      </c>
      <c r="S25" s="51">
        <v>25</v>
      </c>
      <c r="T25" s="49">
        <v>25</v>
      </c>
      <c r="U25" s="50" t="str">
        <f>IF($AK8&gt;6,"/","")</f>
        <v>/</v>
      </c>
      <c r="V25" s="51">
        <v>13</v>
      </c>
      <c r="W25" s="49">
        <v>25</v>
      </c>
      <c r="X25" s="50" t="str">
        <f>IF($AK8&gt;7,"/","")</f>
        <v>/</v>
      </c>
      <c r="Y25" s="51">
        <v>10</v>
      </c>
      <c r="Z25" s="49">
        <v>25</v>
      </c>
      <c r="AA25" s="50" t="str">
        <f>IF($AK8&gt;8,"/","")</f>
        <v>/</v>
      </c>
      <c r="AB25" s="51">
        <v>17</v>
      </c>
      <c r="AC25" s="49">
        <v>25</v>
      </c>
      <c r="AD25" s="50" t="str">
        <f>IF($AK8&gt;9,"/","")</f>
        <v>/</v>
      </c>
      <c r="AE25" s="51">
        <v>20</v>
      </c>
      <c r="AF25" s="42" t="str">
        <f>IF($AK9&gt;1,"Team 2","")</f>
        <v>Team 2</v>
      </c>
      <c r="AG25" s="48">
        <f>IF($AK9&lt;2,"",IF($AK8&lt;1,"",IF(B24=2,B30-D30,IF(D24=2,D30-B30,""))))</f>
        <v>18</v>
      </c>
      <c r="AH25" s="48" t="str">
        <f>IF($AK9&lt;2,"",IF($AK8&lt;2,"",IF(E24=2,E30-G30,IF(G24=2,G30-E30,""))))</f>
        <v/>
      </c>
      <c r="AI25" s="48" t="str">
        <f>IF($AK9&lt;2,"",IF($AK8&lt;3,"",IF(H24=2,H30-J30,IF(J24=2,J30-H30,""))))</f>
        <v/>
      </c>
      <c r="AJ25" s="48">
        <f>IF($AK9&lt;2,"",IF($AK8&lt;4,"",IF(K24=2,K30-M30,IF(M24=2,M30-K30,""))))</f>
        <v>29</v>
      </c>
      <c r="AK25" s="48" t="str">
        <f>IF($AK9&lt;2,"",IF($AK8&lt;5,"",IF(N24=2,N30-P30,IF(P24=2,P30-N30,""))))</f>
        <v/>
      </c>
      <c r="AL25" s="48" t="str">
        <f>IF($AK9&lt;2,"",IF($AK8&lt;6,"",IF(Q24=2,Q30-S30,IF(S24=2,S30-Q30,""))))</f>
        <v/>
      </c>
      <c r="AM25" s="48">
        <f>IF($AK9&lt;2,"",IF($AK8&lt;7,"",IF(T24=2,T30-V30,IF(V24=2,V30-T30,""))))</f>
        <v>18</v>
      </c>
      <c r="AN25" s="48" t="str">
        <f>IF($AK9&lt;2,"",IF($AK8&lt;8,"",IF(W24=2,W30-Y30,IF(Y24=2,Y30-W30,""))))</f>
        <v/>
      </c>
      <c r="AO25" s="48" t="str">
        <f>IF($AK9&lt;2,"",IF($AK8&lt;9,"",IF(Z24=2,Z30-AB30,IF(AB24=2,AB30-Z30,""))))</f>
        <v/>
      </c>
      <c r="AP25" s="48">
        <f>IF($AK9&lt;2,"",IF($AK8&lt;10,"",IF(AC24=2,AC30-AE30,IF(AE24=2,AE30-AC30,""))))</f>
        <v>-3</v>
      </c>
      <c r="AQ25" s="44">
        <f>SUM(AG25:AP25)</f>
        <v>62</v>
      </c>
      <c r="AW25" s="4"/>
    </row>
    <row r="26" spans="1:51" ht="15" x14ac:dyDescent="0.2">
      <c r="A26" s="3" t="str">
        <f>IF($AK7&gt;1,"Game 2","")</f>
        <v>Game 2</v>
      </c>
      <c r="B26" s="49">
        <v>25</v>
      </c>
      <c r="C26" s="50" t="s">
        <v>80</v>
      </c>
      <c r="D26" s="51">
        <v>17</v>
      </c>
      <c r="E26" s="49">
        <v>25</v>
      </c>
      <c r="F26" s="50" t="str">
        <f>IF($AK8&gt;1,IF($AK7&gt;1,"/",""),"")</f>
        <v>/</v>
      </c>
      <c r="G26" s="51">
        <v>13</v>
      </c>
      <c r="H26" s="49">
        <v>23</v>
      </c>
      <c r="I26" s="50" t="str">
        <f>IF($AK8&gt;2,IF($AK7&gt;1,"/",""),"")</f>
        <v>/</v>
      </c>
      <c r="J26" s="51">
        <v>25</v>
      </c>
      <c r="K26" s="49">
        <v>25</v>
      </c>
      <c r="L26" s="50" t="str">
        <f>IF($AK8&gt;3,IF($AK7&gt;1,"/",""),"")</f>
        <v>/</v>
      </c>
      <c r="M26" s="51">
        <v>8</v>
      </c>
      <c r="N26" s="49">
        <v>25</v>
      </c>
      <c r="O26" s="50" t="str">
        <f>IF($AK8&gt;4,IF($AK7&gt;1,"/",""),"")</f>
        <v>/</v>
      </c>
      <c r="P26" s="51">
        <v>21</v>
      </c>
      <c r="Q26" s="49">
        <v>25</v>
      </c>
      <c r="R26" s="50" t="str">
        <f>IF($AK8&gt;5,IF($AK7&gt;1,"/",""),"")</f>
        <v>/</v>
      </c>
      <c r="S26" s="51">
        <v>22</v>
      </c>
      <c r="T26" s="49">
        <v>25</v>
      </c>
      <c r="U26" s="50" t="str">
        <f>IF($AK8&gt;6,IF($AK7&gt;1,"/",""),"")</f>
        <v>/</v>
      </c>
      <c r="V26" s="51">
        <v>19</v>
      </c>
      <c r="W26" s="49">
        <v>25</v>
      </c>
      <c r="X26" s="50" t="str">
        <f>IF($AK8&gt;7,IF($AK7&gt;1,"/",""),"")</f>
        <v>/</v>
      </c>
      <c r="Y26" s="51">
        <v>11</v>
      </c>
      <c r="Z26" s="49">
        <v>25</v>
      </c>
      <c r="AA26" s="50" t="str">
        <f>IF($AK8&gt;8,IF($AK7&gt;1,"/",""),"")</f>
        <v>/</v>
      </c>
      <c r="AB26" s="51">
        <v>16</v>
      </c>
      <c r="AC26" s="49">
        <v>23</v>
      </c>
      <c r="AD26" s="50" t="str">
        <f>IF($AK8&gt;9,IF($AK7&gt;1,"/",""),"")</f>
        <v>/</v>
      </c>
      <c r="AE26" s="51">
        <v>25</v>
      </c>
      <c r="AF26" s="42" t="str">
        <f>IF($AK9&gt;2,"Team 3","")</f>
        <v>Team 3</v>
      </c>
      <c r="AG26" s="48" t="str">
        <f>IF($AK9&lt;3,"",IF($AK8&lt;1,"",IF(B24=3,B30-D30,IF(D24=3,D30-B30,""))))</f>
        <v/>
      </c>
      <c r="AH26" s="48" t="str">
        <f>IF($AK9&lt;3,"",IF($AK8&lt;2,"",IF(E24=3,E30-G30,IF(G24=3,G30-E30,""))))</f>
        <v/>
      </c>
      <c r="AI26" s="48">
        <f>IF($AK9&lt;3,"",IF($AK8&lt;3,"",IF(H24=3,H30-J30,IF(J24=3,J30-H30,""))))</f>
        <v>-5</v>
      </c>
      <c r="AJ26" s="48" t="str">
        <f>IF($AK9&lt;3,"",IF($AK8&lt;4,"",IF(K24=3,K30-M30,IF(M24=3,M30-K30,""))))</f>
        <v/>
      </c>
      <c r="AK26" s="48">
        <f>IF($AK9&lt;3,"",IF($AK8&lt;5,"",IF(N24=3,N30-P30,IF(P24=3,P30-N30,""))))</f>
        <v>-11</v>
      </c>
      <c r="AL26" s="48" t="str">
        <f>IF($AK9&lt;3,"",IF($AK8&lt;6,"",IF(Q24=3,Q30-S30,IF(S24=3,S30-Q30,""))))</f>
        <v/>
      </c>
      <c r="AM26" s="48">
        <f>IF($AK9&lt;3,"",IF($AK8&lt;7,"",IF(T24=3,T30-V30,IF(V24=3,V30-T30,""))))</f>
        <v>-18</v>
      </c>
      <c r="AN26" s="48" t="str">
        <f>IF($AK9&lt;3,"",IF($AK8&lt;8,"",IF(W24=3,W30-Y30,IF(Y24=3,Y30-W30,""))))</f>
        <v/>
      </c>
      <c r="AO26" s="48">
        <f>IF($AK9&lt;3,"",IF($AK8&lt;9,"",IF(Z24=3,Z30-AB30,IF(AB24=3,AB30-Z30,""))))</f>
        <v>17</v>
      </c>
      <c r="AP26" s="48" t="str">
        <f>IF($AK9&lt;3,"",IF($AK8&lt;9,"",IF(AC24=3,AC30-AE30,IF(AE24=3,AE30-AC30,""))))</f>
        <v/>
      </c>
      <c r="AQ26" s="44">
        <f>SUM(AG26:AP26)</f>
        <v>-17</v>
      </c>
      <c r="AW26" s="4"/>
    </row>
    <row r="27" spans="1:51" ht="15" x14ac:dyDescent="0.2">
      <c r="A27" s="3" t="str">
        <f>IF($AK7&gt;2,"Game 3","")</f>
        <v/>
      </c>
      <c r="B27" s="49"/>
      <c r="C27" s="50" t="s">
        <v>80</v>
      </c>
      <c r="D27" s="51"/>
      <c r="E27" s="49"/>
      <c r="F27" s="50" t="str">
        <f>IF($AK8&gt;1,IF($AK7&gt;2,"/",""),"")</f>
        <v/>
      </c>
      <c r="G27" s="51"/>
      <c r="H27" s="49"/>
      <c r="I27" s="50" t="str">
        <f>IF($AK8&gt;2,IF($AK7&gt;2,"/",""),"")</f>
        <v/>
      </c>
      <c r="J27" s="51"/>
      <c r="K27" s="49"/>
      <c r="L27" s="50" t="str">
        <f>IF($AK8&gt;3,IF($AK7&gt;2,"/",""),"")</f>
        <v/>
      </c>
      <c r="M27" s="51"/>
      <c r="N27" s="49"/>
      <c r="O27" s="50" t="str">
        <f>IF($AK8&gt;4,IF($AK7&gt;2,"/",""),"")</f>
        <v/>
      </c>
      <c r="P27" s="51"/>
      <c r="Q27" s="49"/>
      <c r="R27" s="50" t="str">
        <f>IF($AK8&gt;5,IF($AK7&gt;2,"/",""),"")</f>
        <v/>
      </c>
      <c r="S27" s="51"/>
      <c r="T27" s="49"/>
      <c r="U27" s="50" t="str">
        <f>IF($AK8&gt;6,IF($AK7&gt;2,"/",""),"")</f>
        <v/>
      </c>
      <c r="V27" s="51"/>
      <c r="W27" s="49"/>
      <c r="X27" s="50" t="str">
        <f>IF($AK8&gt;7,IF($AK7&gt;2,"/",""),"")</f>
        <v/>
      </c>
      <c r="Y27" s="51"/>
      <c r="Z27" s="49"/>
      <c r="AA27" s="50" t="str">
        <f>IF($AK8&gt;8,IF($AK7&gt;2,"/",""),"")</f>
        <v/>
      </c>
      <c r="AB27" s="51"/>
      <c r="AC27" s="49"/>
      <c r="AD27" s="50" t="str">
        <f>IF($AK8&gt;9,IF($AK7&gt;2,"/",""),"")</f>
        <v/>
      </c>
      <c r="AE27" s="51"/>
      <c r="AF27" s="42" t="str">
        <f>IF($AK9&gt;3,"Team 4","")</f>
        <v>Team 4</v>
      </c>
      <c r="AG27" s="48" t="str">
        <f>IF($AK9&lt;4,"",IF($AK8&lt;1,"",IF(B24=4,B30-D30,IF(D24=4,D30-B30,""))))</f>
        <v/>
      </c>
      <c r="AH27" s="48">
        <f>IF($AK9&lt;4,"",IF($AK8&lt;2,"",IF(E24=4,E30-G30,IF(G24=4,G30-E30,""))))</f>
        <v>-27</v>
      </c>
      <c r="AI27" s="48" t="str">
        <f>IF($AK9&lt;4,"",IF($AK8&lt;3,"",IF(H24=4,H30-J30,IF(J24=4,J30-H30,""))))</f>
        <v/>
      </c>
      <c r="AJ27" s="48">
        <f>IF($AK9&lt;4,"",IF($AK8&lt;4,"",IF(K24=4,K30-M30,IF(M24=4,M30-K30,""))))</f>
        <v>-29</v>
      </c>
      <c r="AK27" s="48" t="str">
        <f>IF($AK9&lt;4,"",IF($AK8&lt;5,"",IF(N24=4,N30-P30,IF(P24=4,P30-N30,""))))</f>
        <v/>
      </c>
      <c r="AL27" s="48">
        <f>IF($AK9&lt;4,"",IF($AK8&lt;6,"",IF(Q24=4,Q30-S30,IF(S24=4,S30-Q30,""))))</f>
        <v>-1</v>
      </c>
      <c r="AM27" s="48" t="str">
        <f>IF($AK9&lt;4,"",IF($AK8&lt;7,"",IF(T24=4,T30-V30,IF(V24=4,V30-T30,""))))</f>
        <v/>
      </c>
      <c r="AN27" s="48" t="str">
        <f>IF($AK9&lt;4,"",IF($AK8&lt;8,"",IF(W24=4,W30-Y30,IF(Y24=4,Y30-W30,""))))</f>
        <v/>
      </c>
      <c r="AO27" s="48">
        <f>IF($AK9&lt;4,"",IF($AK8&lt;9,"",IF(Z24=4,Z30-AB30,IF(AB24=4,AB30-Z30,""))))</f>
        <v>-17</v>
      </c>
      <c r="AP27" s="48" t="str">
        <f>IF($AK9&lt;4,"",IF($AK8&lt;10,"",IF(AC24=4,AC30-AE30,IF(AE24=4,AE30-AC30,""))))</f>
        <v/>
      </c>
      <c r="AQ27" s="44">
        <f>SUM(AG27:AP27)</f>
        <v>-74</v>
      </c>
      <c r="AW27" s="4"/>
    </row>
    <row r="28" spans="1:51" ht="15" x14ac:dyDescent="0.2">
      <c r="A28" s="3" t="str">
        <f>IF($AK7&gt;3,"Game 4","")</f>
        <v/>
      </c>
      <c r="B28" s="49"/>
      <c r="C28" s="50" t="s">
        <v>80</v>
      </c>
      <c r="D28" s="51"/>
      <c r="E28" s="49"/>
      <c r="F28" s="50" t="str">
        <f>IF($AK8&gt;1,IF($AK7&gt;3,"/",""),"")</f>
        <v/>
      </c>
      <c r="G28" s="51"/>
      <c r="H28" s="49"/>
      <c r="I28" s="50" t="str">
        <f>IF($AK8&gt;2,IF($AK7&gt;3,"/",""),"")</f>
        <v/>
      </c>
      <c r="J28" s="51"/>
      <c r="K28" s="49"/>
      <c r="L28" s="50" t="str">
        <f>IF($AK8&gt;3,IF($AK7&gt;3,"/",""),"")</f>
        <v/>
      </c>
      <c r="M28" s="51"/>
      <c r="N28" s="49"/>
      <c r="O28" s="50" t="str">
        <f>IF($AK8&gt;4,IF($AK7&gt;3,"/",""),"")</f>
        <v/>
      </c>
      <c r="P28" s="51"/>
      <c r="Q28" s="49"/>
      <c r="R28" s="50" t="str">
        <f>IF($AK8&gt;5,IF($AK7&gt;3,"/",""),"")</f>
        <v/>
      </c>
      <c r="S28" s="51"/>
      <c r="T28" s="49"/>
      <c r="U28" s="50" t="str">
        <f>IF($AK8&gt;6,IF($AK7&gt;3,"/",""),"")</f>
        <v/>
      </c>
      <c r="V28" s="51"/>
      <c r="W28" s="49"/>
      <c r="X28" s="50" t="str">
        <f>IF($AK8&gt;7,IF($AK7&gt;3,"/",""),"")</f>
        <v/>
      </c>
      <c r="Y28" s="51"/>
      <c r="Z28" s="49"/>
      <c r="AA28" s="50" t="str">
        <f>IF($AK8&gt;8,IF($AK7&gt;3,"/",""),"")</f>
        <v/>
      </c>
      <c r="AB28" s="51"/>
      <c r="AC28" s="49"/>
      <c r="AD28" s="50" t="str">
        <f>IF($AK8&gt;9,IF($AK7&gt;3,"/",""),"")</f>
        <v/>
      </c>
      <c r="AE28" s="51"/>
      <c r="AF28" s="42" t="str">
        <f>IF($AK9&gt;4,"Team 5","")</f>
        <v>Team 5</v>
      </c>
      <c r="AG28" s="52">
        <f>IF($AK9&lt;5,"",IF($AK8&lt;1,"",IF(B24=5,B30-D30,IF(D24=5,D30-B30,""))))</f>
        <v>-18</v>
      </c>
      <c r="AH28" s="48" t="str">
        <f>IF($AK9&lt;5,"",IF($AK8&lt;2,"",IF(E24=5,E30-G30,IF(G24=5,G30-E30,""))))</f>
        <v/>
      </c>
      <c r="AI28" s="48">
        <f>IF($AK9&lt;5,"",IF($AK8&lt;3,"",IF(H24=5,H30-J30,IF(J24=5,J30-H30,""))))</f>
        <v>5</v>
      </c>
      <c r="AJ28" s="48" t="str">
        <f>IF($AK9&lt;5,"",IF($AK8&lt;4,"",IF(K24=5,K30-M30,IF(M24=5,M30-K30,""))))</f>
        <v/>
      </c>
      <c r="AK28" s="48" t="str">
        <f>IF($AK9&lt;5,"",IF($AK8&lt;5,"",IF(N24=5,N30-P30,IF(P24=5,P30-N30,""))))</f>
        <v/>
      </c>
      <c r="AL28" s="48">
        <f>IF($AK9&lt;5,"",IF($AK8&lt;6,"",IF(Q24=5,Q30-S30,IF(S24=5,S30-Q30,""))))</f>
        <v>1</v>
      </c>
      <c r="AM28" s="48" t="str">
        <f>IF($AK9&lt;5,"",IF($AK8&lt;7,"",IF(T24=5,T30-V30,IF(V24=5,V30-T30,""))))</f>
        <v/>
      </c>
      <c r="AN28" s="48">
        <f>IF($AK9&lt;5,"",IF($AK8&lt;8,"",IF(W24=5,W30-Y30,IF(Y24=5,Y30-W30,""))))</f>
        <v>-29</v>
      </c>
      <c r="AO28" s="48" t="str">
        <f>IF($AK9&lt;5,"",IF($AK8&lt;9,"",IF(Z24=5,Z30-AB30,IF(AB24=5,AB30-Z30,""))))</f>
        <v/>
      </c>
      <c r="AP28" s="48" t="str">
        <f>IF($AK9&lt;5,"",IF($AK8&lt;10,"",IF(AC24=5,AC30-AE30,IF(AE24=5,AE30-AC30,""))))</f>
        <v/>
      </c>
      <c r="AQ28" s="44">
        <f>SUM(AG28:AP28)</f>
        <v>-41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49"/>
      <c r="C29" s="50" t="s">
        <v>80</v>
      </c>
      <c r="D29" s="51"/>
      <c r="E29" s="49"/>
      <c r="F29" s="50" t="str">
        <f>IF($AK8&gt;1,IF($AK7&gt;4,"/",""),"")</f>
        <v/>
      </c>
      <c r="G29" s="51"/>
      <c r="H29" s="49"/>
      <c r="I29" s="50" t="str">
        <f>IF($AK8&gt;2,IF($AK7&gt;4,"/",""),"")</f>
        <v/>
      </c>
      <c r="J29" s="51"/>
      <c r="K29" s="49"/>
      <c r="L29" s="50" t="str">
        <f>IF($AK8&gt;3,IF($AK7&gt;4,"/",""),"")</f>
        <v/>
      </c>
      <c r="M29" s="51"/>
      <c r="N29" s="49"/>
      <c r="O29" s="50" t="str">
        <f>IF($AK8&gt;4,IF($AK7&gt;4,"/",""),"")</f>
        <v/>
      </c>
      <c r="P29" s="51"/>
      <c r="Q29" s="49"/>
      <c r="R29" s="50" t="str">
        <f>IF($AK8&gt;5,IF($AK7&gt;4,"/",""),"")</f>
        <v/>
      </c>
      <c r="S29" s="51"/>
      <c r="T29" s="49"/>
      <c r="U29" s="50" t="str">
        <f>IF($AK8&gt;6,IF($AK7&gt;4,"/",""),"")</f>
        <v/>
      </c>
      <c r="V29" s="51"/>
      <c r="W29" s="49"/>
      <c r="X29" s="50" t="str">
        <f>IF($AK8&gt;7,IF($AK7&gt;4,"/",""),"")</f>
        <v/>
      </c>
      <c r="Y29" s="51"/>
      <c r="Z29" s="49"/>
      <c r="AA29" s="50" t="str">
        <f>IF($AK8&gt;8,IF($AK7&gt;4,"/",""),"")</f>
        <v/>
      </c>
      <c r="AB29" s="51"/>
      <c r="AC29" s="49"/>
      <c r="AD29" s="50" t="str">
        <f>IF($AK8&gt;9,IF($AK7&gt;4,"/",""),"")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3"/>
      <c r="B30" s="53">
        <f>IF($AK7=5,SUM(B25:B29),IF($AK7=4,SUM(B25:B28),IF($AK7=3,SUM(B25:B27),IF($AK7=2,SUM(B25:B26),B25))))</f>
        <v>50</v>
      </c>
      <c r="C30" s="53"/>
      <c r="D30" s="53">
        <f>IF($AK7=5,SUM(D25:D29),IF($AK7=4,SUM(D25:D28),IF($AK7=3,SUM(D25:D27),IF($AK7=2,SUM(D25:D26),D25))))</f>
        <v>32</v>
      </c>
      <c r="E30" s="53">
        <f>IF($AK7=5,SUM(E25:E29),IF($AK7=4,SUM(E25:E28),IF($AK7=3,SUM(E25:E27),IF($AK7=2,SUM(E25:E26),E25))))</f>
        <v>50</v>
      </c>
      <c r="F30" s="53"/>
      <c r="G30" s="53">
        <f>IF($AK7=5,SUM(G25:G29),IF($AK7=4,SUM(G25:G28),IF($AK7=3,SUM(G25:G27),IF($AK7=2,SUM(G25:G26),G25))))</f>
        <v>23</v>
      </c>
      <c r="H30" s="53">
        <f>IF($AK7=5,SUM(H25:H29),IF($AK7=4,SUM(H25:H28),IF($AK7=3,SUM(H25:H27),IF($AK7=2,SUM(H25:H26),H25))))</f>
        <v>45</v>
      </c>
      <c r="I30" s="53"/>
      <c r="J30" s="53">
        <f>IF($AK7=5,SUM(J25:J29),IF($AK7=4,SUM(J25:J28),IF($AK7=3,SUM(J25:J27),IF($AK7=2,SUM(J25:J26),J25))))</f>
        <v>50</v>
      </c>
      <c r="K30" s="53">
        <f>IF($AK7=5,SUM(K25:K29),IF($AK7=4,SUM(K25:K28),IF($AK7=3,SUM(K25:K27),IF($AK7=2,SUM(K25:K26),K25))))</f>
        <v>50</v>
      </c>
      <c r="L30" s="53"/>
      <c r="M30" s="53">
        <f>IF($AK7=5,SUM(M25:M29),IF($AK7=4,SUM(M25:M28),IF($AK7=3,SUM(M25:M27),IF($AK7=2,SUM(M25:M26),M25))))</f>
        <v>21</v>
      </c>
      <c r="N30" s="53">
        <f>IF($AK7=5,SUM(N25:N29),IF($AK7=4,SUM(N25:N28),IF($AK7=3,SUM(N25:N27),IF($AK7=2,SUM(N25:N26),N25))))</f>
        <v>50</v>
      </c>
      <c r="O30" s="53"/>
      <c r="P30" s="53">
        <f>IF($AK7=5,SUM(P25:P29),IF($AK7=4,SUM(P25:P28),IF($AK7=3,SUM(P25:P27),IF($AK7=2,SUM(P25:P26),P25))))</f>
        <v>39</v>
      </c>
      <c r="Q30" s="53">
        <f>IF($AK7=5,SUM(Q25:Q29),IF($AK7=4,SUM(Q25:Q28),IF($AK7=3,SUM(Q25:Q27),IF($AK7=2,SUM(Q25:Q26),Q25))))</f>
        <v>46</v>
      </c>
      <c r="R30" s="53"/>
      <c r="S30" s="53">
        <f>IF($AK7=5,SUM(S25:S29),IF($AK7=4,SUM(S25:S28),IF($AK7=3,SUM(S25:S27),IF($AK7=2,SUM(S25:S26),S25))))</f>
        <v>47</v>
      </c>
      <c r="T30" s="53">
        <f>IF($AK7=5,SUM(T25:T29),IF($AK7=4,SUM(T25:T28),IF($AK7=3,SUM(T25:T27),IF($AK7=2,SUM(T25:T26),T25))))</f>
        <v>50</v>
      </c>
      <c r="U30" s="53"/>
      <c r="V30" s="53">
        <f>IF($AK7=5,SUM(V25:V29),IF($AK7=4,SUM(V25:V28),IF($AK7=3,SUM(V25:V27),IF($AK7=2,SUM(V25:V26),V25))))</f>
        <v>32</v>
      </c>
      <c r="W30" s="53">
        <f>IF($AK7=5,SUM(W25:W29),IF($AK7=4,SUM(W25:W28),IF($AK7=3,SUM(W25:W27),IF($AK7=2,SUM(W25:W26),W25))))</f>
        <v>50</v>
      </c>
      <c r="X30" s="53"/>
      <c r="Y30" s="53">
        <f>IF($AK7=5,SUM(Y25:Y29),IF($AK7=4,SUM(Y25:Y28),IF($AK7=3,SUM(Y25:Y27),IF($AK7=2,SUM(Y25:Y26),Y25))))</f>
        <v>21</v>
      </c>
      <c r="Z30" s="53">
        <f>IF($AK7=5,SUM(Z25:Z29),IF($AK7=4,SUM(Z25:Z28),IF($AK7=3,SUM(Z25:Z27),IF($AK7=2,SUM(Z25:Z26),Z25))))</f>
        <v>50</v>
      </c>
      <c r="AA30" s="53"/>
      <c r="AB30" s="53">
        <f>IF($AK7=5,SUM(AB25:AB29),IF($AK7=4,SUM(AB25:AB28),IF($AK7=3,SUM(AB25:AB27),IF($AK7=2,SUM(AB25:AB26),AB25))))</f>
        <v>33</v>
      </c>
      <c r="AC30" s="53">
        <f>IF($AK7=5,SUM(AC25:AC29),IF($AK7=4,SUM(AC25:AC28),IF($AK7=3,SUM(AC25:AC27),IF($AK7=2,SUM(AC25:AC26),AC25))))</f>
        <v>48</v>
      </c>
      <c r="AD30" s="53"/>
      <c r="AE30" s="53">
        <f>IF($AK7=5,SUM(AE25:AE29),IF($AK7=4,SUM(AE25:AE28),IF($AK7=3,SUM(AE25:AE27),IF($AK7=2,SUM(AE25:AE26),AE25))))</f>
        <v>45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5" customFormat="1" ht="12.75" hidden="1" customHeight="1" x14ac:dyDescent="0.2">
      <c r="A31" s="55" t="s">
        <v>81</v>
      </c>
      <c r="B31" s="56">
        <f>IF(AND(B25&gt;D25,$AK8&gt;0,ISNUMBER(B25),ISNUMBER(D25)),1,0)</f>
        <v>1</v>
      </c>
      <c r="C31" s="56"/>
      <c r="D31" s="57">
        <f>IF(AND(D25&gt;B25,$AK8&gt;0,ISNUMBER(B25),ISNUMBER(D25)),1,0)</f>
        <v>0</v>
      </c>
      <c r="E31" s="56">
        <f>IF(AND(E25&gt;G25,$AK8&gt;1,ISNUMBER(E25),ISNUMBER(G25)),1,0)</f>
        <v>1</v>
      </c>
      <c r="F31" s="56"/>
      <c r="G31" s="57">
        <f>IF(AND(G25&gt;E25,$AK8&gt;1,ISNUMBER(E25),ISNUMBER(G25)),1,0)</f>
        <v>0</v>
      </c>
      <c r="H31" s="56">
        <f>IF(AND(H25&gt;J25,$AK8&gt;2,ISNUMBER(H25),ISNUMBER(J25)),1,0)</f>
        <v>0</v>
      </c>
      <c r="I31" s="56"/>
      <c r="J31" s="57">
        <f>IF(AND(J25&gt;H25,$AK8&gt;2,ISNUMBER(H25),ISNUMBER(J25)),1,0)</f>
        <v>1</v>
      </c>
      <c r="K31" s="56">
        <f>IF(AND(K25&gt;M25,$AK8&gt;3,ISNUMBER(K25),ISNUMBER(M25)),1,0)</f>
        <v>1</v>
      </c>
      <c r="L31" s="56"/>
      <c r="M31" s="57">
        <f>IF(AND(M25&gt;K25,$AK8&gt;3,ISNUMBER(K25),ISNUMBER(M25)),1,0)</f>
        <v>0</v>
      </c>
      <c r="N31" s="56">
        <f>IF(AND(N25&gt;P25,$AK8&gt;4,ISNUMBER(N25),ISNUMBER(P25)),1,0)</f>
        <v>1</v>
      </c>
      <c r="O31" s="56"/>
      <c r="P31" s="57">
        <f>IF(AND(P25&gt;N25,$AK8&gt;4,ISNUMBER(N25),ISNUMBER(P25)),1,0)</f>
        <v>0</v>
      </c>
      <c r="Q31" s="56">
        <f>IF(AND(Q25&gt;S25,$AK8&gt;5,ISNUMBER(Q25),ISNUMBER(S25)),1,0)</f>
        <v>0</v>
      </c>
      <c r="R31" s="56"/>
      <c r="S31" s="57">
        <f>IF(AND(S25&gt;Q25,$AK8&gt;5,ISNUMBER(Q25),ISNUMBER(S25)),1,0)</f>
        <v>1</v>
      </c>
      <c r="T31" s="56">
        <f>IF(AND(T25&gt;V25,$AK8&gt;6,ISNUMBER(T25),ISNUMBER(V25)),1,0)</f>
        <v>1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1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1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1</v>
      </c>
      <c r="AD31" s="56"/>
      <c r="AE31" s="57">
        <f>IF(AND(AE25&gt;AC25,$AK8&gt;9,ISNUMBER(AC25),ISNUMBER(AE25)),1,0)</f>
        <v>0</v>
      </c>
      <c r="AW31" s="58"/>
    </row>
    <row r="32" spans="1:51" s="55" customFormat="1" ht="12.75" hidden="1" customHeight="1" x14ac:dyDescent="0.2">
      <c r="A32" s="55" t="s">
        <v>82</v>
      </c>
      <c r="B32" s="56">
        <f>IF(AND(B26&gt;D26,$AK8&gt;0,$AK7&gt;1,ISNUMBER(B26),ISNUMBER(D26)),1,0)</f>
        <v>1</v>
      </c>
      <c r="C32" s="56"/>
      <c r="D32" s="57">
        <f>IF(AND(D26&gt;B26,$AK8&gt;0,$AK7&gt;1,ISNUMBER(B26),ISNUMBER(D26)),1,0)</f>
        <v>0</v>
      </c>
      <c r="E32" s="56">
        <f>IF(AND(E26&gt;G26,$AK8&gt;1,$AK7&gt;1,ISNUMBER(E26),ISNUMBER(G26)),1,0)</f>
        <v>1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0</v>
      </c>
      <c r="I32" s="56"/>
      <c r="J32" s="57">
        <f>IF(AND(J26&gt;H26,$AK8&gt;2,$AK7&gt;1,ISNUMBER(H26),ISNUMBER(J26)),1,0)</f>
        <v>1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1</v>
      </c>
      <c r="O32" s="56"/>
      <c r="P32" s="57">
        <f>IF(AND(P26&gt;N26,$AK8&gt;4,$AK7&gt;1,ISNUMBER(N26),ISNUMBER(P26)),1,0)</f>
        <v>0</v>
      </c>
      <c r="Q32" s="56">
        <f>IF(AND(Q26&gt;S26,$AK8&gt;5,$AK7&gt;1,ISNUMBER(Q26),ISNUMBER(S26)),1,0)</f>
        <v>1</v>
      </c>
      <c r="R32" s="56"/>
      <c r="S32" s="57">
        <f>IF(AND(S26&gt;Q26,$AK8&gt;5,$AK7&gt;1,ISNUMBER(Q26),ISNUMBER(S26)),1,0)</f>
        <v>0</v>
      </c>
      <c r="T32" s="56">
        <f>IF(AND(T26&gt;V26,$AK8&gt;6,$AK7&gt;1,ISNUMBER(T26),ISNUMBER(V26)),1,0)</f>
        <v>1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1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1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1</v>
      </c>
      <c r="AW32" s="58"/>
    </row>
    <row r="33" spans="1:49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  <c r="AW33" s="58"/>
    </row>
    <row r="34" spans="1:49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  <c r="AW34" s="58"/>
    </row>
    <row r="35" spans="1:49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  <c r="AW35" s="58"/>
    </row>
    <row r="36" spans="1:49" s="55" customFormat="1" ht="38.25" hidden="1" customHeight="1" x14ac:dyDescent="0.2">
      <c r="A36" s="59" t="s">
        <v>86</v>
      </c>
      <c r="B36" s="55">
        <f>SUM(B31:B35)</f>
        <v>2</v>
      </c>
      <c r="D36" s="60">
        <f>SUM(D31:D35)</f>
        <v>0</v>
      </c>
      <c r="E36" s="55">
        <f>SUM(E31:E35)</f>
        <v>2</v>
      </c>
      <c r="G36" s="60">
        <f>SUM(G31:G35)</f>
        <v>0</v>
      </c>
      <c r="H36" s="55">
        <f>SUM(H31:H35)</f>
        <v>0</v>
      </c>
      <c r="J36" s="60">
        <f>SUM(J31:J35)</f>
        <v>2</v>
      </c>
      <c r="K36" s="55">
        <f>SUM(K31:K35)</f>
        <v>2</v>
      </c>
      <c r="M36" s="60">
        <f>SUM(M31:M35)</f>
        <v>0</v>
      </c>
      <c r="N36" s="55">
        <f>SUM(N31:N35)</f>
        <v>2</v>
      </c>
      <c r="P36" s="60">
        <f>SUM(P31:P35)</f>
        <v>0</v>
      </c>
      <c r="Q36" s="55">
        <f>SUM(Q31:Q35)</f>
        <v>1</v>
      </c>
      <c r="S36" s="60">
        <f>SUM(S31:S35)</f>
        <v>1</v>
      </c>
      <c r="T36" s="55">
        <f>SUM(T31:T35)</f>
        <v>2</v>
      </c>
      <c r="V36" s="60">
        <f>SUM(V31:V35)</f>
        <v>0</v>
      </c>
      <c r="W36" s="55">
        <f>SUM(W31:W35)</f>
        <v>2</v>
      </c>
      <c r="Y36" s="60">
        <f>SUM(Y31:Y35)</f>
        <v>0</v>
      </c>
      <c r="Z36" s="55">
        <f>SUM(Z31:Z35)</f>
        <v>2</v>
      </c>
      <c r="AB36" s="60">
        <f>SUM(AB31:AB35)</f>
        <v>0</v>
      </c>
      <c r="AC36" s="55">
        <f>SUM(AC31:AC35)</f>
        <v>1</v>
      </c>
      <c r="AE36" s="60">
        <f>SUM(AE31:AE35)</f>
        <v>1</v>
      </c>
      <c r="AW36" s="58"/>
    </row>
    <row r="37" spans="1:49" s="55" customFormat="1" ht="25.5" hidden="1" customHeight="1" x14ac:dyDescent="0.2">
      <c r="A37" s="59" t="s">
        <v>87</v>
      </c>
      <c r="B37" s="55">
        <f>IF(B36&gt;D36,IF(C71=AK7,1,IF(C71=AK7-1,1,0)),0)</f>
        <v>1</v>
      </c>
      <c r="C37" s="55">
        <f>B37+D37</f>
        <v>1</v>
      </c>
      <c r="D37" s="60">
        <f>IF(D36&gt;B36,IF(C71=AK7,1,IF(C71=AK7-1,1,0)),0)</f>
        <v>0</v>
      </c>
      <c r="E37" s="55">
        <f>IF(E36&gt;G36,IF(F71=AK7,1,IF(F71=AK7-1,1,0)),0)</f>
        <v>1</v>
      </c>
      <c r="F37" s="55">
        <f>E37+G37</f>
        <v>1</v>
      </c>
      <c r="G37" s="60">
        <f>IF(G36&gt;E36,IF(F71=AK7,1,IF(F71=AK7-1,1,0)),0)</f>
        <v>0</v>
      </c>
      <c r="H37" s="55">
        <f>IF(H36&gt;J36,IF(I71=AK7,1,IF(I71=AK7-1,1,0)),0)</f>
        <v>0</v>
      </c>
      <c r="I37" s="55">
        <f>H37+J37</f>
        <v>1</v>
      </c>
      <c r="J37" s="60">
        <f>IF(J36&gt;H36,IF(I71=AK7,1,IF(I71=AK7-1,1,0)),0)</f>
        <v>1</v>
      </c>
      <c r="K37" s="55">
        <f>IF(K36&gt;M36,IF(L71=AK7,1,IF(L71=AK7-1,1,0)),0)</f>
        <v>1</v>
      </c>
      <c r="L37" s="55">
        <f>K37+M37</f>
        <v>1</v>
      </c>
      <c r="M37" s="60">
        <f>IF(M36&gt;K36,IF(L71=AK7,1,IF(L71=AK7-1,1,0)),0)</f>
        <v>0</v>
      </c>
      <c r="N37" s="55">
        <f>IF(N36&gt;P36,IF(O71=AK7,1,IF(O71=AK7-1,1,0)),0)</f>
        <v>1</v>
      </c>
      <c r="O37" s="55">
        <f>N37+P37</f>
        <v>1</v>
      </c>
      <c r="P37" s="60">
        <f>IF(P36&gt;N36,IF(O71=AK7,1,IF(O71=AK7-1,1,0)),0)</f>
        <v>0</v>
      </c>
      <c r="Q37" s="55">
        <f>IF(Q36&gt;S36,IF(R71=AK7,1,IF(R71=AK7-1,1,0)),0)</f>
        <v>0</v>
      </c>
      <c r="R37" s="55">
        <f>Q37+S37</f>
        <v>0</v>
      </c>
      <c r="S37" s="60">
        <f>IF(S36&gt;Q36,IF(R71=AK7,1,IF(R71=AK7-1,1,0)),0)</f>
        <v>0</v>
      </c>
      <c r="T37" s="55">
        <f>IF(T36&gt;V36,IF(U71=AK7,1,IF(U71=AK7-1,1,0)),0)</f>
        <v>1</v>
      </c>
      <c r="U37" s="55">
        <f>T37+V37</f>
        <v>1</v>
      </c>
      <c r="V37" s="60">
        <f>IF(V36&gt;T36,IF(U71=AK7,1,IF(U71=AK7-1,1,0)),0)</f>
        <v>0</v>
      </c>
      <c r="W37" s="55">
        <f>IF(W36&gt;Y36,IF(X71=AK7,1,IF(X71=AK7-1,1,0)),0)</f>
        <v>1</v>
      </c>
      <c r="X37" s="55">
        <f>W37+Y37</f>
        <v>1</v>
      </c>
      <c r="Y37" s="60">
        <f>IF(Y36&gt;W36,IF(X71=AK7,1,IF(X71=AK7-1,1,0)),0)</f>
        <v>0</v>
      </c>
      <c r="Z37" s="55">
        <f>IF(Z36&gt;AB36,IF(AA71=AK7,1,IF(AA71=AK7-1,1,0)),0)</f>
        <v>1</v>
      </c>
      <c r="AA37" s="55">
        <f>Z37+AB37</f>
        <v>1</v>
      </c>
      <c r="AB37" s="60">
        <f>IF(AB36&gt;Z36,IF(AA71=AK7,1,IF(AA71=AK7-1,1,0)),0)</f>
        <v>0</v>
      </c>
      <c r="AC37" s="55">
        <f>IF(AC36&gt;AE36,IF(AD71=AK7,1,IF(AD71=AK7-1,1,0)),0)</f>
        <v>0</v>
      </c>
      <c r="AD37" s="55">
        <f>AC37+AE37</f>
        <v>0</v>
      </c>
      <c r="AE37" s="60">
        <f>IF(AE36&gt;AC36,IF(AD71=AK7,1,IF(AD71=AK7-1,1,0)),0)</f>
        <v>0</v>
      </c>
      <c r="AW37" s="58"/>
    </row>
    <row r="38" spans="1:49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  <c r="AW38" s="58"/>
    </row>
    <row r="39" spans="1:49" s="55" customFormat="1" ht="12.75" hidden="1" customHeight="1" x14ac:dyDescent="0.2">
      <c r="A39" s="55" t="s">
        <v>88</v>
      </c>
      <c r="B39" s="55">
        <f>IF(B31=1,B25,0)</f>
        <v>25</v>
      </c>
      <c r="D39" s="60">
        <f t="shared" ref="D39:E43" si="2">IF(D31=1,D25,0)</f>
        <v>0</v>
      </c>
      <c r="E39" s="55">
        <f t="shared" si="2"/>
        <v>25</v>
      </c>
      <c r="G39" s="60">
        <f t="shared" ref="G39:H43" si="3">IF(G31=1,G25,0)</f>
        <v>0</v>
      </c>
      <c r="H39" s="55">
        <f t="shared" si="3"/>
        <v>0</v>
      </c>
      <c r="J39" s="60">
        <f t="shared" ref="J39:K43" si="4">IF(J31=1,J25,0)</f>
        <v>25</v>
      </c>
      <c r="K39" s="55">
        <f t="shared" si="4"/>
        <v>25</v>
      </c>
      <c r="M39" s="60">
        <f t="shared" ref="M39:N43" si="5">IF(M31=1,M25,0)</f>
        <v>0</v>
      </c>
      <c r="N39" s="55">
        <f t="shared" si="5"/>
        <v>25</v>
      </c>
      <c r="P39" s="60">
        <f t="shared" ref="P39:Q43" si="6">IF(P31=1,P25,0)</f>
        <v>0</v>
      </c>
      <c r="Q39" s="55">
        <f t="shared" si="6"/>
        <v>0</v>
      </c>
      <c r="S39" s="60">
        <f t="shared" ref="S39:T43" si="7">IF(S31=1,S25,0)</f>
        <v>25</v>
      </c>
      <c r="T39" s="55">
        <f t="shared" si="7"/>
        <v>25</v>
      </c>
      <c r="V39" s="60">
        <f t="shared" ref="V39:W43" si="8">IF(V31=1,V25,0)</f>
        <v>0</v>
      </c>
      <c r="W39" s="55">
        <f t="shared" si="8"/>
        <v>25</v>
      </c>
      <c r="Y39" s="60">
        <f t="shared" ref="Y39:Z43" si="9">IF(Y31=1,Y25,0)</f>
        <v>0</v>
      </c>
      <c r="Z39" s="55">
        <f t="shared" si="9"/>
        <v>25</v>
      </c>
      <c r="AB39" s="60">
        <f t="shared" ref="AB39:AC43" si="10">IF(AB31=1,AB25,0)</f>
        <v>0</v>
      </c>
      <c r="AC39" s="55">
        <f t="shared" si="10"/>
        <v>25</v>
      </c>
      <c r="AE39" s="60">
        <f>IF(AE31=1,AE25,0)</f>
        <v>0</v>
      </c>
      <c r="AW39" s="58"/>
    </row>
    <row r="40" spans="1:49" s="55" customFormat="1" ht="12.75" hidden="1" customHeight="1" x14ac:dyDescent="0.2">
      <c r="A40" s="55" t="s">
        <v>89</v>
      </c>
      <c r="B40" s="55">
        <f>IF(B32=1,B26,0)</f>
        <v>25</v>
      </c>
      <c r="D40" s="60">
        <f t="shared" si="2"/>
        <v>0</v>
      </c>
      <c r="E40" s="55">
        <f t="shared" si="2"/>
        <v>25</v>
      </c>
      <c r="G40" s="60">
        <f t="shared" si="3"/>
        <v>0</v>
      </c>
      <c r="H40" s="55">
        <f t="shared" si="3"/>
        <v>0</v>
      </c>
      <c r="J40" s="60">
        <f t="shared" si="4"/>
        <v>25</v>
      </c>
      <c r="K40" s="55">
        <f t="shared" si="4"/>
        <v>25</v>
      </c>
      <c r="M40" s="60">
        <f t="shared" si="5"/>
        <v>0</v>
      </c>
      <c r="N40" s="55">
        <f t="shared" si="5"/>
        <v>25</v>
      </c>
      <c r="P40" s="60">
        <f t="shared" si="6"/>
        <v>0</v>
      </c>
      <c r="Q40" s="55">
        <f t="shared" si="6"/>
        <v>25</v>
      </c>
      <c r="S40" s="60">
        <f t="shared" si="7"/>
        <v>0</v>
      </c>
      <c r="T40" s="55">
        <f t="shared" si="7"/>
        <v>25</v>
      </c>
      <c r="V40" s="60">
        <f t="shared" si="8"/>
        <v>0</v>
      </c>
      <c r="W40" s="55">
        <f t="shared" si="8"/>
        <v>25</v>
      </c>
      <c r="Y40" s="60">
        <f t="shared" si="9"/>
        <v>0</v>
      </c>
      <c r="Z40" s="55">
        <f t="shared" si="9"/>
        <v>25</v>
      </c>
      <c r="AB40" s="60">
        <f t="shared" si="10"/>
        <v>0</v>
      </c>
      <c r="AC40" s="55">
        <f t="shared" si="10"/>
        <v>0</v>
      </c>
      <c r="AE40" s="60">
        <f>IF(AE32=1,AE26,0)</f>
        <v>25</v>
      </c>
      <c r="AW40" s="58"/>
    </row>
    <row r="41" spans="1:49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  <c r="AW41" s="58"/>
    </row>
    <row r="42" spans="1:49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  <c r="AW42" s="58"/>
    </row>
    <row r="43" spans="1:49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  <c r="AW43" s="58"/>
    </row>
    <row r="44" spans="1:49" s="55" customFormat="1" ht="38.25" hidden="1" customHeight="1" x14ac:dyDescent="0.2">
      <c r="A44" s="59" t="s">
        <v>93</v>
      </c>
      <c r="B44" s="55">
        <f>SUM(B39:D43)</f>
        <v>50</v>
      </c>
      <c r="D44" s="60"/>
      <c r="E44" s="55">
        <f>SUM(E39:G43)</f>
        <v>50</v>
      </c>
      <c r="G44" s="60"/>
      <c r="H44" s="55">
        <f>SUM(H39:J43)</f>
        <v>50</v>
      </c>
      <c r="J44" s="60"/>
      <c r="K44" s="55">
        <f>SUM(K39:M43)</f>
        <v>50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50</v>
      </c>
      <c r="V44" s="60"/>
      <c r="W44" s="55">
        <f>SUM(W39:Y43)</f>
        <v>50</v>
      </c>
      <c r="Y44" s="60"/>
      <c r="Z44" s="55">
        <f>SUM(Z39:AB43)</f>
        <v>50</v>
      </c>
      <c r="AB44" s="60"/>
      <c r="AC44" s="55">
        <f>SUM(AC39:AE43)</f>
        <v>50</v>
      </c>
      <c r="AE44" s="60"/>
      <c r="AW44" s="58"/>
    </row>
    <row r="45" spans="1:49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  <c r="AW45" s="58"/>
    </row>
    <row r="46" spans="1:49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1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1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1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3</v>
      </c>
      <c r="AG46" s="55">
        <f>AF52-AF46</f>
        <v>0</v>
      </c>
      <c r="AW46" s="58"/>
    </row>
    <row r="47" spans="1:49" s="55" customFormat="1" ht="12.75" hidden="1" customHeight="1" x14ac:dyDescent="0.2">
      <c r="A47" s="55" t="s">
        <v>98</v>
      </c>
      <c r="B47" s="55">
        <f>IF(B24=2,IF(B37=1,1,0),0)</f>
        <v>1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1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1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3</v>
      </c>
      <c r="AG47" s="55">
        <f>AF53-AF47</f>
        <v>0</v>
      </c>
      <c r="AW47" s="58"/>
    </row>
    <row r="48" spans="1:49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1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1</v>
      </c>
      <c r="AG48" s="55">
        <f>AF54-AF48</f>
        <v>3</v>
      </c>
      <c r="AW48" s="58"/>
    </row>
    <row r="49" spans="1:49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0</v>
      </c>
      <c r="AG49" s="55">
        <f>AF55-AF49</f>
        <v>3</v>
      </c>
      <c r="AW49" s="58"/>
    </row>
    <row r="50" spans="1:49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1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1</v>
      </c>
      <c r="AG50" s="55">
        <f>AF56-AF50</f>
        <v>2</v>
      </c>
      <c r="AW50" s="58"/>
    </row>
    <row r="51" spans="1:49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  <c r="AW51" s="58"/>
    </row>
    <row r="52" spans="1:49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1</v>
      </c>
      <c r="P52" s="60">
        <f>IF(P24=1,IF(O37=1,1,0),0)</f>
        <v>0</v>
      </c>
      <c r="Q52" s="55">
        <f>IF(Q24=1,IF(R37=1,1,0),0)</f>
        <v>0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1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0</v>
      </c>
      <c r="AE52" s="60">
        <f>IF(AE24=1,IF(AD37=1,1,0),0)</f>
        <v>0</v>
      </c>
      <c r="AF52" s="55">
        <f>SUM(B52:AE52)</f>
        <v>3</v>
      </c>
      <c r="AW52" s="58"/>
    </row>
    <row r="53" spans="1:49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0</v>
      </c>
      <c r="J53" s="60">
        <f>IF(J24=2,IF(I37=1,1,0),0)</f>
        <v>0</v>
      </c>
      <c r="K53" s="55">
        <f>IF(K24=2,IF(L37=1,1,0),0)</f>
        <v>1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0</v>
      </c>
      <c r="T53" s="55">
        <f>IF(T24=2,IF(U37=1,1,0),0)</f>
        <v>1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0</v>
      </c>
      <c r="AF53" s="55">
        <f>SUM(B53:AE53)</f>
        <v>3</v>
      </c>
      <c r="AW53" s="58"/>
    </row>
    <row r="54" spans="1:49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0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1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1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1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1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4</v>
      </c>
      <c r="AW54" s="58"/>
    </row>
    <row r="55" spans="1:49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0</v>
      </c>
      <c r="K55" s="55">
        <f>IF(K24=4,IF(L37=1,1,0),0)</f>
        <v>0</v>
      </c>
      <c r="M55" s="60">
        <f>IF(M24=4,IF(L37=1,1,0),0)</f>
        <v>1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0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1</v>
      </c>
      <c r="AC55" s="55">
        <f>IF(AC24=4,IF(AD37=1,1,0),0)</f>
        <v>0</v>
      </c>
      <c r="AE55" s="60">
        <f>IF(AE24=4,IF(AD37=1,1,0),0)</f>
        <v>0</v>
      </c>
      <c r="AF55" s="55">
        <f>SUM(B55:AE55)</f>
        <v>3</v>
      </c>
      <c r="AW55" s="58"/>
    </row>
    <row r="56" spans="1:49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1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1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0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1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3</v>
      </c>
      <c r="AW56" s="58"/>
    </row>
    <row r="57" spans="1:49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  <c r="AW57" s="58"/>
    </row>
    <row r="58" spans="1:49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50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0</v>
      </c>
      <c r="M58" s="60">
        <f>IF(M24=1,K44,0)</f>
        <v>0</v>
      </c>
      <c r="N58" s="55">
        <f>IF(N24=1,N44,0)</f>
        <v>50</v>
      </c>
      <c r="P58" s="60">
        <f>IF(P24=1,N44,0)</f>
        <v>0</v>
      </c>
      <c r="Q58" s="55">
        <f>IF(Q24=1,Q44,0)</f>
        <v>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50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50</v>
      </c>
      <c r="AE58" s="60">
        <f>IF(AE24=1,AC44,0)</f>
        <v>0</v>
      </c>
      <c r="AF58" s="55">
        <f>SUM(B58:AE58)</f>
        <v>200</v>
      </c>
      <c r="AW58" s="58"/>
    </row>
    <row r="59" spans="1:49" s="55" customFormat="1" ht="12.75" hidden="1" customHeight="1" x14ac:dyDescent="0.2">
      <c r="A59" s="55" t="s">
        <v>104</v>
      </c>
      <c r="B59" s="55">
        <f>IF(B24=2,B44,0)</f>
        <v>50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0</v>
      </c>
      <c r="J59" s="60">
        <f>IF(J24=2,H44,0)</f>
        <v>0</v>
      </c>
      <c r="K59" s="55">
        <f>IF(K24=2,K44,0)</f>
        <v>50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0</v>
      </c>
      <c r="T59" s="55">
        <f>IF(T24=2,T44,0)</f>
        <v>50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50</v>
      </c>
      <c r="AF59" s="55">
        <f>SUM(B59:AE59)</f>
        <v>200</v>
      </c>
      <c r="AW59" s="58"/>
    </row>
    <row r="60" spans="1:49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0</v>
      </c>
      <c r="E60" s="55">
        <f>IF(E24=3,E44,0)</f>
        <v>0</v>
      </c>
      <c r="G60" s="60">
        <f>IF(G24=3,E44,0)</f>
        <v>0</v>
      </c>
      <c r="H60" s="55">
        <f>IF(H24=3,H44,0)</f>
        <v>50</v>
      </c>
      <c r="J60" s="60">
        <f>IF(J24=3,H44,0)</f>
        <v>0</v>
      </c>
      <c r="K60" s="55">
        <f>IF(K24=3,K44,0)</f>
        <v>0</v>
      </c>
      <c r="M60" s="60">
        <f>IF(M24=3,K44,0)</f>
        <v>0</v>
      </c>
      <c r="N60" s="55">
        <f>IF(N24=3,N44,0)</f>
        <v>0</v>
      </c>
      <c r="P60" s="60">
        <f>IF(P24=3,N44,0)</f>
        <v>50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50</v>
      </c>
      <c r="W60" s="55">
        <f>IF(W24=3,W44,0)</f>
        <v>0</v>
      </c>
      <c r="Y60" s="60">
        <f>IF(Y24=3,W44,0)</f>
        <v>0</v>
      </c>
      <c r="Z60" s="55">
        <f>IF(Z24=3,Z44,0)</f>
        <v>50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200</v>
      </c>
      <c r="AW60" s="58"/>
    </row>
    <row r="61" spans="1:49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50</v>
      </c>
      <c r="H61" s="55">
        <f>IF(H24=4,H44,0)</f>
        <v>0</v>
      </c>
      <c r="J61" s="60">
        <f>IF(J24=4,H44,0)</f>
        <v>0</v>
      </c>
      <c r="K61" s="55">
        <f>IF(K24=4,K44,0)</f>
        <v>0</v>
      </c>
      <c r="M61" s="60">
        <f>IF(M24=4,K44,0)</f>
        <v>50</v>
      </c>
      <c r="N61" s="55">
        <f>IF(N24=4,N44,0)</f>
        <v>0</v>
      </c>
      <c r="P61" s="60">
        <f>IF(P24=4,N44,0)</f>
        <v>0</v>
      </c>
      <c r="Q61" s="55">
        <f>IF(Q24=4,Q44,0)</f>
        <v>50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50</v>
      </c>
      <c r="AC61" s="55">
        <f>IF(AC24=4,AC44,0)</f>
        <v>0</v>
      </c>
      <c r="AE61" s="60">
        <f>IF(AE24=4,AC44,0)</f>
        <v>0</v>
      </c>
      <c r="AF61" s="55">
        <f>SUM(B61:AE61)</f>
        <v>200</v>
      </c>
      <c r="AW61" s="58"/>
    </row>
    <row r="62" spans="1:49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50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50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50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50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200</v>
      </c>
      <c r="AW62" s="58"/>
    </row>
    <row r="63" spans="1:49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  <c r="AW63" s="58"/>
    </row>
    <row r="64" spans="1:49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2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2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2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1</v>
      </c>
      <c r="AE64" s="60">
        <f>IF(AE24=1,SUMIF(AE31:AE35,"&gt;0"),0)</f>
        <v>0</v>
      </c>
      <c r="AF64" s="55">
        <f>SUM(B64:AE64)</f>
        <v>7</v>
      </c>
      <c r="AG64" s="55">
        <f>AF72-AF64</f>
        <v>1</v>
      </c>
      <c r="AW64" s="58"/>
    </row>
    <row r="65" spans="1:54" s="55" customFormat="1" ht="12.75" hidden="1" customHeight="1" x14ac:dyDescent="0.2">
      <c r="A65" s="55" t="s">
        <v>98</v>
      </c>
      <c r="B65" s="55">
        <f>IF(B24=2,SUMIF(B31:B35,"&gt;0"),0)</f>
        <v>2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2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2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1</v>
      </c>
      <c r="AF65" s="55">
        <f>SUM(B65:AE65)</f>
        <v>7</v>
      </c>
      <c r="AG65" s="55">
        <f>AF73-AF65</f>
        <v>1</v>
      </c>
      <c r="AW65" s="58"/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0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2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2</v>
      </c>
      <c r="AG66" s="55">
        <f>AF74-AF66</f>
        <v>6</v>
      </c>
      <c r="AW66" s="58"/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0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1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0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1</v>
      </c>
      <c r="AG67" s="55">
        <f>AF75-AF67</f>
        <v>7</v>
      </c>
      <c r="AW67" s="58"/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2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1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3</v>
      </c>
      <c r="AG68" s="55">
        <f>AF76-AF68</f>
        <v>5</v>
      </c>
      <c r="AW68" s="58"/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  <c r="AW69" s="58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  <c r="AW70" s="58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2</v>
      </c>
      <c r="V71" s="60"/>
      <c r="X71" s="55">
        <f>SUMIF(W64:Y68,"&gt;0")</f>
        <v>2</v>
      </c>
      <c r="Y71" s="60"/>
      <c r="AA71" s="55">
        <f>SUMIF(Z64:AB68,"&gt;0")</f>
        <v>2</v>
      </c>
      <c r="AB71" s="60"/>
      <c r="AD71" s="55">
        <f>SUMIF(AC64:AE68,"&gt;0")</f>
        <v>2</v>
      </c>
      <c r="AE71" s="60"/>
      <c r="AF71" s="59" t="s">
        <v>113</v>
      </c>
      <c r="AW71" s="58"/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0</v>
      </c>
      <c r="M72" s="60">
        <f>IF(M24=1,L71,0)</f>
        <v>0</v>
      </c>
      <c r="N72" s="55">
        <f>IF(N24=1,O71,0)</f>
        <v>2</v>
      </c>
      <c r="P72" s="60">
        <f>IF(P24=1,O71,0)</f>
        <v>0</v>
      </c>
      <c r="Q72" s="55">
        <f>IF(Q24=1,R71,0)</f>
        <v>0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2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2</v>
      </c>
      <c r="AE72" s="60">
        <f>IF(AE24=1,AD71,0)</f>
        <v>0</v>
      </c>
      <c r="AF72" s="55">
        <f>SUM(B72:AE72)</f>
        <v>8</v>
      </c>
      <c r="AW72" s="58"/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0</v>
      </c>
      <c r="J73" s="60">
        <f>IF(J24=2,I71,0)</f>
        <v>0</v>
      </c>
      <c r="K73" s="55">
        <f>IF(K24=2,L71,0)</f>
        <v>2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0</v>
      </c>
      <c r="T73" s="55">
        <f>IF(T24=2,U71,0)</f>
        <v>2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2</v>
      </c>
      <c r="AF73" s="55">
        <f>SUM(B73:AE73)</f>
        <v>8</v>
      </c>
      <c r="AW73" s="58"/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0</v>
      </c>
      <c r="E74" s="55">
        <f>IF(E24=3,F71,0)</f>
        <v>0</v>
      </c>
      <c r="G74" s="60">
        <f>IF(G24=3,F71,0)</f>
        <v>0</v>
      </c>
      <c r="H74" s="55">
        <f>IF(H24=3,I71,0)</f>
        <v>2</v>
      </c>
      <c r="J74" s="60">
        <f>IF(J24=3,I71,0)</f>
        <v>0</v>
      </c>
      <c r="K74" s="55">
        <f>IF(K24=3,L71,0)</f>
        <v>0</v>
      </c>
      <c r="M74" s="60">
        <f>IF(M24=3,L71,0)</f>
        <v>0</v>
      </c>
      <c r="N74" s="55">
        <f>IF(N24=3,O71,0)</f>
        <v>0</v>
      </c>
      <c r="P74" s="60">
        <f>IF(P24=3,O71,0)</f>
        <v>2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2</v>
      </c>
      <c r="W74" s="55">
        <f>IF(W24=3,X71,0)</f>
        <v>0</v>
      </c>
      <c r="Y74" s="60">
        <f>IF(Y24=3,X71,0)</f>
        <v>0</v>
      </c>
      <c r="Z74" s="55">
        <f>IF(Z24=3,AA71,0)</f>
        <v>2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  <c r="AW74" s="58"/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0</v>
      </c>
      <c r="K75" s="55">
        <f>IF(K24=4,L71,0)</f>
        <v>0</v>
      </c>
      <c r="M75" s="60">
        <f>IF(M24=4,L71,0)</f>
        <v>2</v>
      </c>
      <c r="N75" s="55">
        <f>IF(N24=4,O71,0)</f>
        <v>0</v>
      </c>
      <c r="P75" s="60">
        <f>IF(P24=4,O71,0)</f>
        <v>0</v>
      </c>
      <c r="Q75" s="55">
        <f>IF(Q24=4,R71,0)</f>
        <v>2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2</v>
      </c>
      <c r="AC75" s="55">
        <f>IF(AC24=4,AD71,0)</f>
        <v>0</v>
      </c>
      <c r="AE75" s="60">
        <f>IF(AE24=4,AD71,0)</f>
        <v>0</v>
      </c>
      <c r="AF75" s="55">
        <f>SUM(B75:AE75)</f>
        <v>8</v>
      </c>
      <c r="AW75" s="58"/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2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2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2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2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8</v>
      </c>
      <c r="AW76" s="58"/>
    </row>
    <row r="77" spans="1:54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BB77" s="130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Fort Mill 13 Purple</v>
      </c>
      <c r="C79" s="67">
        <f>VLOOKUP(B79,AU$3:AY$12,3,FALSE)</f>
        <v>1789.2595678161492</v>
      </c>
      <c r="D79" s="67">
        <f>IF(B72,B87,IF(D72,D87,C79))</f>
        <v>1789.2595678161492</v>
      </c>
      <c r="E79" s="67"/>
      <c r="F79" s="67"/>
      <c r="G79" s="67">
        <f>IF(E72,E87,IF(G72,G87,D79))</f>
        <v>1805.3695782829307</v>
      </c>
      <c r="H79" s="67"/>
      <c r="I79" s="67"/>
      <c r="J79" s="67">
        <f>IF(H72,H87,IF(J72,J87,G79))</f>
        <v>1805.3695782829307</v>
      </c>
      <c r="K79" s="67"/>
      <c r="L79" s="67"/>
      <c r="M79" s="67">
        <f>IF(K72,K87,IF(M72,M87,J79))</f>
        <v>1805.3695782829307</v>
      </c>
      <c r="N79" s="67"/>
      <c r="O79" s="67"/>
      <c r="P79" s="67">
        <f>IF(N72,N87,IF(P72,P87,M79))</f>
        <v>1820.7014448023233</v>
      </c>
      <c r="Q79" s="67"/>
      <c r="R79" s="67"/>
      <c r="S79" s="67">
        <f>IF(Q72,Q87,IF(S72,S87,P79))</f>
        <v>1820.7014448023233</v>
      </c>
      <c r="T79" s="67"/>
      <c r="U79" s="67"/>
      <c r="V79" s="67">
        <f>IF(T72,T87,IF(V72,V87,S79))</f>
        <v>1820.7014448023233</v>
      </c>
      <c r="W79" s="67"/>
      <c r="X79" s="67"/>
      <c r="Y79" s="67">
        <f>IF(W72,W87,IF(Y72,Y87,V79))</f>
        <v>1835.9444349133269</v>
      </c>
      <c r="Z79" s="67"/>
      <c r="AA79" s="67"/>
      <c r="AB79" s="67">
        <f>IF(Z72,Z87,IF(AB72,AB87,Y79))</f>
        <v>1835.9444349133269</v>
      </c>
      <c r="AC79" s="67"/>
      <c r="AD79" s="67"/>
      <c r="AE79" s="67">
        <f>IF(AC72,AC87,IF(AE72,AE87,AB79))</f>
        <v>1825.8459652836571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Fort Mill 13 Purple</v>
      </c>
      <c r="AU79" s="63">
        <f>AE79</f>
        <v>1825.8459652836571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SCWE13WINGS</v>
      </c>
      <c r="C80" s="67">
        <f>VLOOKUP(B80,AU$3:AY$12,3,FALSE)</f>
        <v>1647.4740230165003</v>
      </c>
      <c r="D80" s="67">
        <f>IF(B73,B87,IF(D73,D87,C80))</f>
        <v>1676.6582980507922</v>
      </c>
      <c r="E80" s="67"/>
      <c r="F80" s="67"/>
      <c r="G80" s="67">
        <f>IF(E73,E87,IF(G73,G87,D80))</f>
        <v>1676.6582980507922</v>
      </c>
      <c r="H80" s="67"/>
      <c r="I80" s="67"/>
      <c r="J80" s="67">
        <f>IF(H73,H87,IF(J73,J87,G80))</f>
        <v>1676.6582980507922</v>
      </c>
      <c r="K80" s="67"/>
      <c r="L80" s="67"/>
      <c r="M80" s="67">
        <f>IF(K73,K87,IF(M73,M87,J80))</f>
        <v>1700.3114438093819</v>
      </c>
      <c r="N80" s="67"/>
      <c r="O80" s="67"/>
      <c r="P80" s="67">
        <f>IF(N73,N87,IF(P73,P87,M80))</f>
        <v>1700.3114438093819</v>
      </c>
      <c r="Q80" s="67"/>
      <c r="R80" s="67"/>
      <c r="S80" s="67">
        <f>IF(Q73,Q87,IF(S73,S87,P80))</f>
        <v>1700.3114438093819</v>
      </c>
      <c r="T80" s="67"/>
      <c r="U80" s="67"/>
      <c r="V80" s="67">
        <f>IF(T73,T87,IF(V73,V87,S80))</f>
        <v>1722.4276963794166</v>
      </c>
      <c r="W80" s="67"/>
      <c r="X80" s="67"/>
      <c r="Y80" s="67">
        <f>IF(W73,W87,IF(Y73,Y87,V80))</f>
        <v>1722.4276963794166</v>
      </c>
      <c r="Z80" s="67"/>
      <c r="AA80" s="67"/>
      <c r="AB80" s="67">
        <f>IF(Z73,Z87,IF(AB73,AB87,Y80))</f>
        <v>1722.4276963794166</v>
      </c>
      <c r="AC80" s="67"/>
      <c r="AD80" s="67"/>
      <c r="AE80" s="67">
        <f>IF(AC73,AC87,IF(AE73,AE87,AB80))</f>
        <v>1732.5261660090864</v>
      </c>
      <c r="AF80" s="4"/>
      <c r="AG80" s="4"/>
      <c r="AJ80" s="4"/>
      <c r="AL80" s="4"/>
      <c r="AM80" s="4"/>
      <c r="AN80" s="4"/>
      <c r="AO80" s="4"/>
      <c r="AT80" s="63" t="str">
        <f>B80</f>
        <v>SCWE13WINGS</v>
      </c>
      <c r="AU80" s="63">
        <f>AE80</f>
        <v>1732.5261660090864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Chas Jrs 13 Blue</v>
      </c>
      <c r="C81" s="67">
        <f>VLOOKUP(B81,AU$3:AY$12,3,FALSE)</f>
        <v>1641.6440767325234</v>
      </c>
      <c r="D81" s="67">
        <f>IF(B74,B87,IF(D74,D87,C81))</f>
        <v>1641.6440767325234</v>
      </c>
      <c r="E81" s="67"/>
      <c r="F81" s="67"/>
      <c r="G81" s="67">
        <f>IF(E74,E87,IF(G74,G87,D81))</f>
        <v>1641.6440767325234</v>
      </c>
      <c r="H81" s="67"/>
      <c r="I81" s="67"/>
      <c r="J81" s="67">
        <f>IF(H74,H87,IF(J74,J87,G81))</f>
        <v>1604.7097139162786</v>
      </c>
      <c r="K81" s="67"/>
      <c r="L81" s="67"/>
      <c r="M81" s="67">
        <f>IF(K74,K87,IF(M74,M87,J81))</f>
        <v>1604.7097139162786</v>
      </c>
      <c r="N81" s="67"/>
      <c r="O81" s="67"/>
      <c r="P81" s="67">
        <f>IF(N74,N87,IF(P74,P87,M81))</f>
        <v>1589.377847396886</v>
      </c>
      <c r="Q81" s="67"/>
      <c r="R81" s="67"/>
      <c r="S81" s="67">
        <f>IF(Q74,Q87,IF(S74,S87,P81))</f>
        <v>1589.377847396886</v>
      </c>
      <c r="T81" s="67"/>
      <c r="U81" s="67"/>
      <c r="V81" s="67">
        <f>IF(T74,T87,IF(V74,V87,S81))</f>
        <v>1567.2615948268513</v>
      </c>
      <c r="W81" s="67"/>
      <c r="X81" s="67"/>
      <c r="Y81" s="67">
        <f>IF(W74,W87,IF(Y74,Y87,V81))</f>
        <v>1567.2615948268513</v>
      </c>
      <c r="Z81" s="67"/>
      <c r="AA81" s="67"/>
      <c r="AB81" s="67">
        <f>IF(Z74,Z87,IF(AB74,AB87,Y81))</f>
        <v>1599.1542081855082</v>
      </c>
      <c r="AC81" s="67"/>
      <c r="AD81" s="67"/>
      <c r="AE81" s="67">
        <f>IF(AC74,AC87,IF(AE74,AE87,AB81))</f>
        <v>1599.1542081855082</v>
      </c>
      <c r="AF81" s="4"/>
      <c r="AG81" s="4"/>
      <c r="AJ81" s="4"/>
      <c r="AL81" s="4"/>
      <c r="AM81" s="4"/>
      <c r="AN81" s="4"/>
      <c r="AO81" s="4"/>
      <c r="AT81" s="63" t="str">
        <f>B81</f>
        <v>Chas Jrs 13 Blue</v>
      </c>
      <c r="AU81" s="63">
        <f>AE81</f>
        <v>1599.1542081855082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LAVA 13U Purple</v>
      </c>
      <c r="C82" s="67">
        <f>VLOOKUP(B82,AU$3:AY$12,3,FALSE)</f>
        <v>1600</v>
      </c>
      <c r="D82" s="67">
        <f>IF(B75,B87,IF(D75,D87,C82))</f>
        <v>1600</v>
      </c>
      <c r="E82" s="67"/>
      <c r="F82" s="67"/>
      <c r="G82" s="67">
        <f>IF(E75,E87,IF(G75,G87,D82))</f>
        <v>1583.8899895332186</v>
      </c>
      <c r="H82" s="67"/>
      <c r="I82" s="67"/>
      <c r="J82" s="67">
        <f>IF(H75,H87,IF(J75,J87,G82))</f>
        <v>1583.8899895332186</v>
      </c>
      <c r="K82" s="67"/>
      <c r="L82" s="67"/>
      <c r="M82" s="67">
        <f>IF(K75,K87,IF(M75,M87,J82))</f>
        <v>1560.2368437746288</v>
      </c>
      <c r="N82" s="67"/>
      <c r="O82" s="67"/>
      <c r="P82" s="67">
        <f>IF(N75,N87,IF(P75,P87,M82))</f>
        <v>1560.2368437746288</v>
      </c>
      <c r="Q82" s="67"/>
      <c r="R82" s="67"/>
      <c r="S82" s="67">
        <f>IF(Q75,Q87,IF(S75,S87,P82))</f>
        <v>1566.0956548059157</v>
      </c>
      <c r="T82" s="67"/>
      <c r="U82" s="67"/>
      <c r="V82" s="67">
        <f>IF(T75,T87,IF(V75,V87,S82))</f>
        <v>1566.0956548059157</v>
      </c>
      <c r="W82" s="67"/>
      <c r="X82" s="67"/>
      <c r="Y82" s="67">
        <f>IF(W75,W87,IF(Y75,Y87,V82))</f>
        <v>1566.0956548059157</v>
      </c>
      <c r="Z82" s="67"/>
      <c r="AA82" s="67"/>
      <c r="AB82" s="67">
        <f>IF(Z75,Z87,IF(AB75,AB87,Y82))</f>
        <v>1534.2030414472588</v>
      </c>
      <c r="AC82" s="67"/>
      <c r="AD82" s="67"/>
      <c r="AE82" s="67">
        <f>IF(AC75,AC87,IF(AE75,AE87,AB82))</f>
        <v>1534.2030414472588</v>
      </c>
      <c r="AF82" s="4"/>
      <c r="AG82" s="4"/>
      <c r="AJ82" s="4"/>
      <c r="AL82" s="4"/>
      <c r="AM82" s="4"/>
      <c r="AN82" s="4"/>
      <c r="AO82" s="4"/>
      <c r="AT82" s="63" t="str">
        <f>B82</f>
        <v>LAVA 13U Purple</v>
      </c>
      <c r="AU82" s="63">
        <f>AE82</f>
        <v>1534.2030414472588</v>
      </c>
      <c r="AW82" s="66"/>
      <c r="BB82" s="66"/>
    </row>
    <row r="83" spans="1:54" s="63" customFormat="1" hidden="1" x14ac:dyDescent="0.2">
      <c r="A83" s="67">
        <v>5</v>
      </c>
      <c r="B83" s="67" t="str">
        <f>E16</f>
        <v>SC Midlands 13 Black</v>
      </c>
      <c r="C83" s="67">
        <f>VLOOKUP(B83,AU$3:AY$12,3,FALSE)</f>
        <v>1616.8234096527883</v>
      </c>
      <c r="D83" s="67">
        <f>IF(B76,B87,IF(D76,D87,C83))</f>
        <v>1587.6391346184964</v>
      </c>
      <c r="E83" s="67"/>
      <c r="F83" s="67"/>
      <c r="G83" s="67">
        <f>IF(E76,E87,IF(G76,G87,D83))</f>
        <v>1587.6391346184964</v>
      </c>
      <c r="H83" s="67"/>
      <c r="I83" s="67"/>
      <c r="J83" s="67">
        <f>IF(H76,H87,IF(J76,J87,G83))</f>
        <v>1624.5734974347413</v>
      </c>
      <c r="K83" s="67"/>
      <c r="L83" s="67"/>
      <c r="M83" s="67">
        <f>IF(K76,K87,IF(M76,M87,J83))</f>
        <v>1624.5734974347413</v>
      </c>
      <c r="N83" s="67"/>
      <c r="O83" s="67"/>
      <c r="P83" s="67">
        <f>IF(N76,N87,IF(P76,P87,M83))</f>
        <v>1624.5734974347413</v>
      </c>
      <c r="Q83" s="67"/>
      <c r="R83" s="67"/>
      <c r="S83" s="67">
        <f>IF(Q76,Q87,IF(S76,S87,P83))</f>
        <v>1618.7146864034544</v>
      </c>
      <c r="T83" s="67"/>
      <c r="U83" s="67"/>
      <c r="V83" s="67">
        <f>IF(T76,T87,IF(V76,V87,S83))</f>
        <v>1618.7146864034544</v>
      </c>
      <c r="W83" s="67"/>
      <c r="X83" s="67"/>
      <c r="Y83" s="67">
        <f>IF(W76,W87,IF(Y76,Y87,V83))</f>
        <v>1603.4716962924508</v>
      </c>
      <c r="Z83" s="67"/>
      <c r="AA83" s="67"/>
      <c r="AB83" s="67">
        <f>IF(Z76,Z87,IF(AB76,AB87,Y83))</f>
        <v>1603.4716962924508</v>
      </c>
      <c r="AC83" s="67"/>
      <c r="AD83" s="67"/>
      <c r="AE83" s="67">
        <f>IF(AC76,AC87,IF(AE76,AE87,AB83))</f>
        <v>1603.4716962924508</v>
      </c>
      <c r="AF83" s="4"/>
      <c r="AG83" s="4"/>
      <c r="AJ83" s="4"/>
      <c r="AL83" s="4"/>
      <c r="AM83" s="4"/>
      <c r="AN83" s="4"/>
      <c r="AO83" s="4"/>
      <c r="AT83" s="63" t="str">
        <f>B83</f>
        <v>SC Midlands 13 Black</v>
      </c>
      <c r="AU83" s="63">
        <f>AE83</f>
        <v>1603.4716962924508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1647.4740230165003</v>
      </c>
      <c r="C85" s="67">
        <v>1</v>
      </c>
      <c r="D85" s="67">
        <f>VLOOKUP(D24,$A79:$AE83,3,FALSE)</f>
        <v>1616.8234096527883</v>
      </c>
      <c r="E85" s="67">
        <f>VLOOKUP(E24,$A79:$AE83,4,FALSE)</f>
        <v>1789.2595678161492</v>
      </c>
      <c r="F85" s="67">
        <v>2</v>
      </c>
      <c r="G85" s="67">
        <f>VLOOKUP(G24,$A79:$AE83,4,FALSE)</f>
        <v>1600</v>
      </c>
      <c r="H85" s="67">
        <f>VLOOKUP(H24,$A79:$AE83,7,FALSE)</f>
        <v>1641.6440767325234</v>
      </c>
      <c r="I85" s="67">
        <v>3</v>
      </c>
      <c r="J85" s="67">
        <f>VLOOKUP(J24,$A79:$AE83,7,FALSE)</f>
        <v>1587.6391346184964</v>
      </c>
      <c r="K85" s="67">
        <f>VLOOKUP(K24,$A79:$AE83,10,FALSE)</f>
        <v>1676.6582980507922</v>
      </c>
      <c r="L85" s="67">
        <v>4</v>
      </c>
      <c r="M85" s="67">
        <f>VLOOKUP(M24,$A79:$AE83,10,FALSE)</f>
        <v>1583.8899895332186</v>
      </c>
      <c r="N85" s="67">
        <f>VLOOKUP(N24,$A79:$AE83,13,FALSE)</f>
        <v>1805.3695782829307</v>
      </c>
      <c r="O85" s="67">
        <v>5</v>
      </c>
      <c r="P85" s="67">
        <f>VLOOKUP(P24,$A79:$AE83,13,FALSE)</f>
        <v>1604.7097139162786</v>
      </c>
      <c r="Q85" s="67">
        <f>VLOOKUP(Q24,$A79:$AE83,16,FALSE)</f>
        <v>1560.2368437746288</v>
      </c>
      <c r="R85" s="67">
        <v>6</v>
      </c>
      <c r="S85" s="67">
        <f>VLOOKUP(S24,$A79:$AE83,16,FALSE)</f>
        <v>1624.5734974347413</v>
      </c>
      <c r="T85" s="67">
        <f>VLOOKUP(T24,$A79:$AE83,19,FALSE)</f>
        <v>1700.3114438093819</v>
      </c>
      <c r="U85" s="67">
        <v>7</v>
      </c>
      <c r="V85" s="67">
        <f>VLOOKUP(V24,$A79:$AE83,19,FALSE)</f>
        <v>1589.377847396886</v>
      </c>
      <c r="W85" s="67">
        <f>VLOOKUP(W24,$A79:$AE83,22,FALSE)</f>
        <v>1820.7014448023233</v>
      </c>
      <c r="X85" s="67">
        <v>8</v>
      </c>
      <c r="Y85" s="67">
        <f>VLOOKUP(Y24,$A79:$AE83,22,FALSE)</f>
        <v>1618.7146864034544</v>
      </c>
      <c r="Z85" s="67">
        <f>VLOOKUP(Z24,$A79:$AE83,25,FALSE)</f>
        <v>1567.2615948268513</v>
      </c>
      <c r="AA85" s="67">
        <v>9</v>
      </c>
      <c r="AB85" s="67">
        <f>VLOOKUP(AB24,$A79:$AE83,25,FALSE)</f>
        <v>1566.0956548059157</v>
      </c>
      <c r="AC85" s="67">
        <f>VLOOKUP(AC24,$A79:$AE83,28,FALSE)</f>
        <v>1835.9444349133269</v>
      </c>
      <c r="AD85" s="67">
        <v>10</v>
      </c>
      <c r="AE85" s="67">
        <f>VLOOKUP(AE24,$A79:$AE83,28,FALSE)</f>
        <v>1722.4276963794166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1.0879914051783772</v>
      </c>
      <c r="C86" s="68"/>
      <c r="D86" s="68">
        <f>1/(1+(10^-((D85-B85)/400)))*(B36+D36)</f>
        <v>0.91200859482162278</v>
      </c>
      <c r="E86" s="68">
        <f>1/(1+(10^-((E85-G85)/400)))*(E36+G36)</f>
        <v>1.4965621729130778</v>
      </c>
      <c r="F86" s="68"/>
      <c r="G86" s="68">
        <f>1/(1+(10^-((G85-E85)/400)))*(E36+G36)</f>
        <v>0.50343782708692209</v>
      </c>
      <c r="H86" s="68">
        <f>1/(1+(10^-((H85-J85)/400)))*(H36+J36)</f>
        <v>1.1541988380076489</v>
      </c>
      <c r="I86" s="68"/>
      <c r="J86" s="68">
        <f>1/(1+(10^-((J85-H85)/400)))*(H36+J36)</f>
        <v>0.84580116199235111</v>
      </c>
      <c r="K86" s="68">
        <f>1/(1+(10^-((K85-M85)/400)))*(K36+M36)</f>
        <v>1.2608391950440707</v>
      </c>
      <c r="L86" s="68"/>
      <c r="M86" s="68">
        <f>1/(1+(10^-((M85-K85)/400)))*(K36+M36)</f>
        <v>0.7391608049559294</v>
      </c>
      <c r="N86" s="68">
        <f>1/(1+(10^-((N85-P85)/400)))*(N36+P36)</f>
        <v>1.5208791712689833</v>
      </c>
      <c r="O86" s="68"/>
      <c r="P86" s="68">
        <f>1/(1+(10^-((P85-N85)/400)))*(N36+P36)</f>
        <v>0.47912082873101652</v>
      </c>
      <c r="Q86" s="68">
        <f>1/(1+(10^-((Q85-S85)/400)))*(Q36+S36)</f>
        <v>0.81691215527228256</v>
      </c>
      <c r="R86" s="68"/>
      <c r="S86" s="68">
        <f>1/(1+(10^-((S85-Q85)/400)))*(Q36+S36)</f>
        <v>1.1830878447277176</v>
      </c>
      <c r="T86" s="68">
        <f>1/(1+(10^-((T85-V85)/400)))*(T36+V36)</f>
        <v>1.3088671071864146</v>
      </c>
      <c r="U86" s="68"/>
      <c r="V86" s="68">
        <f>1/(1+(10^-((V85-T85)/400)))*(T36+V36)</f>
        <v>0.69113289281358536</v>
      </c>
      <c r="W86" s="68">
        <f>1/(1+(10^-((W85-Y85)/400)))*(W36+Y36)</f>
        <v>1.5236565590311366</v>
      </c>
      <c r="X86" s="68"/>
      <c r="Y86" s="68">
        <f>1/(1+(10^-((Y85-W85)/400)))*(W36+Y36)</f>
        <v>0.47634344096886344</v>
      </c>
      <c r="Z86" s="68">
        <f>1/(1+(10^-((Z85-AB85)/400)))*(Z36+AB36)</f>
        <v>1.0033558325419676</v>
      </c>
      <c r="AA86" s="68"/>
      <c r="AB86" s="68">
        <f>1/(1+(10^-((AB85-Z85)/400)))*(Z36+AB36)</f>
        <v>0.9966441674580323</v>
      </c>
      <c r="AC86" s="68">
        <f>1/(1+(10^-((AC85-AE85)/400)))*(AC36+AE36)</f>
        <v>1.3155771759271819</v>
      </c>
      <c r="AD86" s="68"/>
      <c r="AE86" s="68">
        <f>1/(1+(10^-((AE85-AC85)/400)))*(AC36+AE36)</f>
        <v>0.68442282407281818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1676.6582980507922</v>
      </c>
      <c r="C87" s="74"/>
      <c r="D87" s="74">
        <f>D85+(D36-D86)*$BA$1</f>
        <v>1587.6391346184964</v>
      </c>
      <c r="E87" s="74">
        <f>E85+(E36-E86)*$BA$1</f>
        <v>1805.3695782829307</v>
      </c>
      <c r="F87" s="74"/>
      <c r="G87" s="74">
        <f>G85+(G36-G86)*$BA$1</f>
        <v>1583.8899895332186</v>
      </c>
      <c r="H87" s="74">
        <f>H85+(H36-H86)*$BA$1</f>
        <v>1604.7097139162786</v>
      </c>
      <c r="I87" s="74"/>
      <c r="J87" s="74">
        <f>J85+(J36-J86)*$BA$1</f>
        <v>1624.5734974347413</v>
      </c>
      <c r="K87" s="74">
        <f>K85+(K36-K86)*$BA$1</f>
        <v>1700.3114438093819</v>
      </c>
      <c r="L87" s="74"/>
      <c r="M87" s="74">
        <f>M85+(M36-M86)*$BA$1</f>
        <v>1560.2368437746288</v>
      </c>
      <c r="N87" s="74">
        <f>N85+(N36-N86)*$BA$1</f>
        <v>1820.7014448023233</v>
      </c>
      <c r="O87" s="74"/>
      <c r="P87" s="74">
        <f>P85+(P36-P86)*$BA$1</f>
        <v>1589.377847396886</v>
      </c>
      <c r="Q87" s="74">
        <f>Q85+(Q36-Q86)*$BA$1</f>
        <v>1566.0956548059157</v>
      </c>
      <c r="R87" s="74"/>
      <c r="S87" s="74">
        <f>S85+(S36-S86)*$BA$1</f>
        <v>1618.7146864034544</v>
      </c>
      <c r="T87" s="74">
        <f>T85+(T36-T86)*$BA$1</f>
        <v>1722.4276963794166</v>
      </c>
      <c r="U87" s="74"/>
      <c r="V87" s="74">
        <f>V85+(V36-V86)*$BA$1</f>
        <v>1567.2615948268513</v>
      </c>
      <c r="W87" s="74">
        <f>W85+(W36-W86)*$BA$1</f>
        <v>1835.9444349133269</v>
      </c>
      <c r="X87" s="74"/>
      <c r="Y87" s="74">
        <f>Y85+(Y36-Y86)*$BA$1</f>
        <v>1603.4716962924508</v>
      </c>
      <c r="Z87" s="74">
        <f>Z85+(Z36-Z86)*$BA$1</f>
        <v>1599.1542081855082</v>
      </c>
      <c r="AA87" s="74"/>
      <c r="AB87" s="74">
        <f>AB85+(AB36-AB86)*$BA$1</f>
        <v>1534.2030414472588</v>
      </c>
      <c r="AC87" s="74">
        <f>AC85+(AC36-AC86)*$BA$1</f>
        <v>1825.8459652836571</v>
      </c>
      <c r="AD87" s="74"/>
      <c r="AE87" s="74">
        <f>AE85+(AE36-AE86)*$BA$1</f>
        <v>1732.5261660090864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  <c r="AW89" s="66"/>
    </row>
    <row r="90" spans="1:54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W90" s="66"/>
    </row>
    <row r="91" spans="1:54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Games Won</v>
      </c>
      <c r="M92" s="255"/>
      <c r="N92" s="255"/>
      <c r="O92" s="255"/>
      <c r="P92" s="255"/>
      <c r="Q92" s="256"/>
      <c r="R92" s="254" t="str">
        <f>IF($AK95=0,"Games Lost","Matches Lost")</f>
        <v>Games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Fort Mill 13 Green</v>
      </c>
      <c r="F93" s="233"/>
      <c r="G93" s="233"/>
      <c r="H93" s="233"/>
      <c r="I93" s="233"/>
      <c r="J93" s="233"/>
      <c r="K93" s="234"/>
      <c r="L93" s="235">
        <f>IF($AK95=0,AF149,AF131)</f>
        <v>8</v>
      </c>
      <c r="M93" s="236"/>
      <c r="N93" s="236"/>
      <c r="O93" s="236"/>
      <c r="P93" s="236"/>
      <c r="Q93" s="256"/>
      <c r="R93" s="235">
        <f>IF($AK95=0,AG149,AG131)</f>
        <v>0</v>
      </c>
      <c r="S93" s="236"/>
      <c r="T93" s="236"/>
      <c r="U93" s="236"/>
      <c r="V93" s="236"/>
      <c r="W93" s="235">
        <f>AQ109</f>
        <v>101</v>
      </c>
      <c r="X93" s="236"/>
      <c r="Y93" s="236"/>
      <c r="Z93" s="239">
        <f>IF(AF143&gt;0,(AQ109/AF143),0)</f>
        <v>0.505</v>
      </c>
      <c r="AA93" s="240"/>
      <c r="AB93" s="240"/>
      <c r="AC93" s="262">
        <f>IF(AF157=0,0,(AF149/AF157))</f>
        <v>1</v>
      </c>
      <c r="AD93" s="263"/>
      <c r="AE93" s="264"/>
      <c r="AF93" s="268">
        <v>1</v>
      </c>
      <c r="AG93" s="268">
        <v>1</v>
      </c>
      <c r="AH93" s="270">
        <v>2</v>
      </c>
      <c r="AI93" s="271"/>
      <c r="AJ93" s="27"/>
      <c r="AK93" s="28">
        <v>10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228"/>
      <c r="B94" s="274" t="s">
        <v>11</v>
      </c>
      <c r="C94" s="275"/>
      <c r="D94" s="276"/>
      <c r="E94" s="277" t="str">
        <f>AV4</f>
        <v>fj3fortm2pm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5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Palm Strikers 13 Select</v>
      </c>
      <c r="F95" s="233"/>
      <c r="G95" s="233"/>
      <c r="H95" s="233"/>
      <c r="I95" s="233"/>
      <c r="J95" s="233"/>
      <c r="K95" s="234"/>
      <c r="L95" s="235">
        <f>IF($AK95=0,AF150,AF132)</f>
        <v>5</v>
      </c>
      <c r="M95" s="236"/>
      <c r="N95" s="236"/>
      <c r="O95" s="236"/>
      <c r="P95" s="236"/>
      <c r="Q95" s="256"/>
      <c r="R95" s="235">
        <f>IF($AK95=0,AG150,AG132)</f>
        <v>3</v>
      </c>
      <c r="S95" s="236"/>
      <c r="T95" s="236"/>
      <c r="U95" s="236"/>
      <c r="V95" s="236"/>
      <c r="W95" s="235">
        <f>AQ110</f>
        <v>-3</v>
      </c>
      <c r="X95" s="236"/>
      <c r="Y95" s="236"/>
      <c r="Z95" s="239">
        <f>IF(AF144&gt;0,(AQ110/AF144),0)</f>
        <v>-1.4851485148514851E-2</v>
      </c>
      <c r="AA95" s="240"/>
      <c r="AB95" s="240"/>
      <c r="AC95" s="262">
        <f>IF(AF158=0,0,(AF150/AF158))</f>
        <v>0.625</v>
      </c>
      <c r="AD95" s="263"/>
      <c r="AE95" s="264"/>
      <c r="AF95" s="268">
        <v>2</v>
      </c>
      <c r="AG95" s="268">
        <v>1</v>
      </c>
      <c r="AH95" s="270">
        <v>3</v>
      </c>
      <c r="AI95" s="271"/>
      <c r="AJ95" s="27"/>
      <c r="AK95" s="28">
        <v>0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228"/>
      <c r="B96" s="284" t="s">
        <v>11</v>
      </c>
      <c r="C96" s="285"/>
      <c r="D96" s="285"/>
      <c r="E96" s="277" t="str">
        <f>AV5</f>
        <v>fj3pstri3pm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Sumter VBC 13</v>
      </c>
      <c r="F97" s="233"/>
      <c r="G97" s="233"/>
      <c r="H97" s="233"/>
      <c r="I97" s="233"/>
      <c r="J97" s="233"/>
      <c r="K97" s="234"/>
      <c r="L97" s="235">
        <f>IF($AK95=0,AF151,AF133)</f>
        <v>3</v>
      </c>
      <c r="M97" s="236"/>
      <c r="N97" s="236"/>
      <c r="O97" s="236"/>
      <c r="P97" s="236"/>
      <c r="Q97" s="256"/>
      <c r="R97" s="235">
        <f>IF($AK95=0,AG151,AG133)</f>
        <v>5</v>
      </c>
      <c r="S97" s="236"/>
      <c r="T97" s="236"/>
      <c r="U97" s="236"/>
      <c r="V97" s="236"/>
      <c r="W97" s="235">
        <f>AQ111</f>
        <v>-37</v>
      </c>
      <c r="X97" s="236"/>
      <c r="Y97" s="236"/>
      <c r="Z97" s="239">
        <f>IF(AF145&gt;0,(AQ111/AF145),0)</f>
        <v>-0.18316831683168316</v>
      </c>
      <c r="AA97" s="240"/>
      <c r="AB97" s="240"/>
      <c r="AC97" s="262">
        <f>IF(AF159=0,0,(AF151/AF159))</f>
        <v>0.375</v>
      </c>
      <c r="AD97" s="263"/>
      <c r="AE97" s="264"/>
      <c r="AF97" s="268">
        <v>4</v>
      </c>
      <c r="AG97" s="268">
        <v>1</v>
      </c>
      <c r="AH97" s="270">
        <v>7</v>
      </c>
      <c r="AI97" s="271"/>
      <c r="AJ97" s="31"/>
      <c r="AK97" s="28">
        <v>8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fj3sumtr1pm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Intense 13 Rock Hill</v>
      </c>
      <c r="F99" s="233"/>
      <c r="G99" s="233"/>
      <c r="H99" s="233"/>
      <c r="I99" s="233"/>
      <c r="J99" s="233"/>
      <c r="K99" s="234"/>
      <c r="L99" s="235">
        <f>IF($AK95=0,AF152,AF134)</f>
        <v>0</v>
      </c>
      <c r="M99" s="236"/>
      <c r="N99" s="236"/>
      <c r="O99" s="236"/>
      <c r="P99" s="236"/>
      <c r="Q99" s="256"/>
      <c r="R99" s="235">
        <f>IF($AK95=0,AG152,AG134)</f>
        <v>8</v>
      </c>
      <c r="S99" s="236"/>
      <c r="T99" s="236"/>
      <c r="U99" s="236"/>
      <c r="V99" s="236"/>
      <c r="W99" s="235">
        <f>AQ112</f>
        <v>-52</v>
      </c>
      <c r="X99" s="236"/>
      <c r="Y99" s="236"/>
      <c r="Z99" s="239">
        <f>IF(AF146&gt;0,(AQ112/AF146),0)</f>
        <v>-0.26</v>
      </c>
      <c r="AA99" s="240"/>
      <c r="AB99" s="240"/>
      <c r="AC99" s="262">
        <f>IF(AF160=0,0,(AF152/AF160))</f>
        <v>0</v>
      </c>
      <c r="AD99" s="263"/>
      <c r="AE99" s="264"/>
      <c r="AF99" s="268">
        <v>5</v>
      </c>
      <c r="AG99" s="268">
        <v>1</v>
      </c>
      <c r="AH99" s="270">
        <v>9</v>
      </c>
      <c r="AI99" s="271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fj3inten4pm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227" t="str">
        <f>IF($AK94&gt;4,"5","")</f>
        <v>5</v>
      </c>
      <c r="B101" s="286" t="s">
        <v>10</v>
      </c>
      <c r="C101" s="287"/>
      <c r="D101" s="287"/>
      <c r="E101" s="232" t="str">
        <f>AU12</f>
        <v>Kershaw 13 Black</v>
      </c>
      <c r="F101" s="233"/>
      <c r="G101" s="233"/>
      <c r="H101" s="233"/>
      <c r="I101" s="233"/>
      <c r="J101" s="233"/>
      <c r="K101" s="234"/>
      <c r="L101" s="235">
        <f>IF($AK95=0,AF153,AF135)</f>
        <v>4</v>
      </c>
      <c r="M101" s="236"/>
      <c r="N101" s="236"/>
      <c r="O101" s="236"/>
      <c r="P101" s="236"/>
      <c r="Q101" s="256"/>
      <c r="R101" s="235">
        <f>IF($AK95=0,AG153,AG135)</f>
        <v>4</v>
      </c>
      <c r="S101" s="236"/>
      <c r="T101" s="236"/>
      <c r="U101" s="236"/>
      <c r="V101" s="236"/>
      <c r="W101" s="235">
        <f>AQ113</f>
        <v>-9</v>
      </c>
      <c r="X101" s="236"/>
      <c r="Y101" s="236"/>
      <c r="Z101" s="239">
        <f>IF(AF147&gt;0,(AQ113/AF147),0)</f>
        <v>-4.4117647058823532E-2</v>
      </c>
      <c r="AA101" s="240"/>
      <c r="AB101" s="240"/>
      <c r="AC101" s="262">
        <f>IF(AF161=0,0,(AF153/AF161))</f>
        <v>0.5</v>
      </c>
      <c r="AD101" s="263"/>
      <c r="AE101" s="264"/>
      <c r="AF101" s="268">
        <v>3</v>
      </c>
      <c r="AG101" s="268">
        <v>1</v>
      </c>
      <c r="AH101" s="270">
        <v>7</v>
      </c>
      <c r="AI101" s="271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410" t="str">
        <f>AV12</f>
        <v>fj3kersh1pm</v>
      </c>
      <c r="F102" s="411"/>
      <c r="G102" s="411"/>
      <c r="H102" s="411"/>
      <c r="I102" s="411"/>
      <c r="J102" s="411"/>
      <c r="K102" s="411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305" t="s">
        <v>65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thickTop="1" x14ac:dyDescent="0.2">
      <c r="A104" s="4" t="s">
        <v>66</v>
      </c>
      <c r="B104" s="308">
        <v>0.35416666666666669</v>
      </c>
      <c r="C104" s="309"/>
      <c r="D104" s="310"/>
      <c r="E104" s="308">
        <v>0.38541666666666669</v>
      </c>
      <c r="F104" s="309"/>
      <c r="G104" s="310"/>
      <c r="H104" s="308">
        <v>0.41666666666666669</v>
      </c>
      <c r="I104" s="309"/>
      <c r="J104" s="310"/>
      <c r="K104" s="308">
        <v>0.44791666666666669</v>
      </c>
      <c r="L104" s="309"/>
      <c r="M104" s="310"/>
      <c r="N104" s="308">
        <v>0.47916666666666669</v>
      </c>
      <c r="O104" s="309"/>
      <c r="P104" s="310"/>
      <c r="Q104" s="308">
        <v>0.51041666666666663</v>
      </c>
      <c r="R104" s="309"/>
      <c r="S104" s="310"/>
      <c r="T104" s="308">
        <v>4.1666666666666664E-2</v>
      </c>
      <c r="U104" s="309"/>
      <c r="V104" s="310"/>
      <c r="W104" s="308">
        <v>7.2916666666666671E-2</v>
      </c>
      <c r="X104" s="309"/>
      <c r="Y104" s="310"/>
      <c r="Z104" s="308">
        <v>0.10416666666666667</v>
      </c>
      <c r="AA104" s="309"/>
      <c r="AB104" s="310"/>
      <c r="AC104" s="308">
        <v>0.13541666666666666</v>
      </c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/>
      <c r="C105" s="320"/>
      <c r="D105" s="321"/>
      <c r="E105" s="319"/>
      <c r="F105" s="320"/>
      <c r="G105" s="321"/>
      <c r="H105" s="319"/>
      <c r="I105" s="320"/>
      <c r="J105" s="321"/>
      <c r="K105" s="319"/>
      <c r="L105" s="320"/>
      <c r="M105" s="321"/>
      <c r="N105" s="319"/>
      <c r="O105" s="320"/>
      <c r="P105" s="321"/>
      <c r="Q105" s="319"/>
      <c r="R105" s="320"/>
      <c r="S105" s="321"/>
      <c r="T105" s="319"/>
      <c r="U105" s="320"/>
      <c r="V105" s="321"/>
      <c r="W105" s="319"/>
      <c r="X105" s="320"/>
      <c r="Y105" s="321"/>
      <c r="Z105" s="319"/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/>
      <c r="C106" s="320"/>
      <c r="D106" s="321"/>
      <c r="E106" s="319"/>
      <c r="F106" s="320"/>
      <c r="G106" s="321"/>
      <c r="H106" s="319"/>
      <c r="I106" s="320"/>
      <c r="J106" s="321"/>
      <c r="K106" s="319"/>
      <c r="L106" s="320"/>
      <c r="M106" s="321"/>
      <c r="N106" s="319"/>
      <c r="O106" s="320"/>
      <c r="P106" s="321"/>
      <c r="Q106" s="319"/>
      <c r="R106" s="320"/>
      <c r="S106" s="321"/>
      <c r="T106" s="319"/>
      <c r="U106" s="320"/>
      <c r="V106" s="321"/>
      <c r="W106" s="319"/>
      <c r="X106" s="320"/>
      <c r="Y106" s="321"/>
      <c r="Z106" s="319"/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7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>Match 7</v>
      </c>
      <c r="U107" s="323"/>
      <c r="V107" s="324"/>
      <c r="W107" s="322" t="str">
        <f>IF(AK93&gt;7,"Match 8","")</f>
        <v>Match 8</v>
      </c>
      <c r="X107" s="323"/>
      <c r="Y107" s="324"/>
      <c r="Z107" s="322" t="str">
        <f>IF(AK93&gt;8,"Match 9","")</f>
        <v>Match 9</v>
      </c>
      <c r="AA107" s="323"/>
      <c r="AB107" s="324"/>
      <c r="AC107" s="322" t="str">
        <f>IF(AK93&gt;9,"Match 10","")</f>
        <v>Match 10</v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7"/>
      <c r="B108" s="325" t="s">
        <v>71</v>
      </c>
      <c r="C108" s="326"/>
      <c r="D108" s="327"/>
      <c r="E108" s="325" t="s">
        <v>72</v>
      </c>
      <c r="F108" s="326"/>
      <c r="G108" s="327"/>
      <c r="H108" s="325" t="s">
        <v>73</v>
      </c>
      <c r="I108" s="326"/>
      <c r="J108" s="327"/>
      <c r="K108" s="325" t="s">
        <v>74</v>
      </c>
      <c r="L108" s="326"/>
      <c r="M108" s="327"/>
      <c r="N108" s="325" t="s">
        <v>75</v>
      </c>
      <c r="O108" s="326"/>
      <c r="P108" s="327"/>
      <c r="Q108" s="325" t="s">
        <v>73</v>
      </c>
      <c r="R108" s="326"/>
      <c r="S108" s="327"/>
      <c r="T108" s="325" t="s">
        <v>71</v>
      </c>
      <c r="U108" s="326"/>
      <c r="V108" s="327"/>
      <c r="W108" s="325" t="s">
        <v>75</v>
      </c>
      <c r="X108" s="326"/>
      <c r="Y108" s="327"/>
      <c r="Z108" s="325" t="s">
        <v>74</v>
      </c>
      <c r="AA108" s="326"/>
      <c r="AB108" s="327"/>
      <c r="AC108" s="325" t="s">
        <v>72</v>
      </c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23</v>
      </c>
      <c r="AI109" s="48" t="str">
        <f>IF(AK94&lt;1,"",IF(AK93&lt;3,"",IF(H109=1,H115-J115,IF(J109=1,J115-H115,""))))</f>
        <v/>
      </c>
      <c r="AJ109" s="48" t="str">
        <f>IF(AK94&lt;1,"",IF(AK93&lt;4,"",IF(K109=1,K115-M115,IF(M109=1,M115-K115,""))))</f>
        <v/>
      </c>
      <c r="AK109" s="48">
        <f>IF(AK94&lt;1,"",IF(AK93&lt;5,"",IF(N109=1,N115-P115,IF(P109=1,P115-N115,""))))</f>
        <v>29</v>
      </c>
      <c r="AL109" s="48" t="str">
        <f>IF(AK94&lt;1,"",IF(AK93&lt;6,"",IF(Q109=1,Q115-S115,IF(S109=1,S115-Q115,""))))</f>
        <v/>
      </c>
      <c r="AM109" s="48" t="str">
        <f>IF(AK94&lt;1,"",IF(AK93&lt;7,"",IF(T109=1,T115-V115,IF(V109=1,V115-T115,""))))</f>
        <v/>
      </c>
      <c r="AN109" s="48">
        <f>IF(AK94&lt;1,"",IF(AK93&lt;8,"",IF(W109=1,W115-Y115,IF(Y109=1,Y115-W115,""))))</f>
        <v>26</v>
      </c>
      <c r="AO109" s="48" t="str">
        <f>IF(AK94&lt;1,"",IF(AK93&lt;9,"",IF(Z109=1,Z115-AB115,IF(AB109=1,AB115-Z115,""))))</f>
        <v/>
      </c>
      <c r="AP109" s="48">
        <f>IF(AK94&lt;1,"",IF(AK93&lt;10,"",IF(AC109=1,AC115-AE115,IF(AE109=1,AE115-AC115,""))))</f>
        <v>23</v>
      </c>
      <c r="AQ109" s="44">
        <f>SUM(AG109:AP109)</f>
        <v>101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16</v>
      </c>
      <c r="E110" s="49">
        <v>25</v>
      </c>
      <c r="F110" s="50" t="str">
        <f>IF(AK93&gt;1,"/","")</f>
        <v>/</v>
      </c>
      <c r="G110" s="51">
        <v>10</v>
      </c>
      <c r="H110" s="49">
        <v>26</v>
      </c>
      <c r="I110" s="50" t="str">
        <f>IF(AK93&gt;2,"/","")</f>
        <v>/</v>
      </c>
      <c r="J110" s="51">
        <v>27</v>
      </c>
      <c r="K110" s="49">
        <v>25</v>
      </c>
      <c r="L110" s="50" t="str">
        <f>IF(AK93&gt;3,"/","")</f>
        <v>/</v>
      </c>
      <c r="M110" s="51">
        <v>21</v>
      </c>
      <c r="N110" s="49">
        <v>25</v>
      </c>
      <c r="O110" s="50" t="str">
        <f>IF(AK93&gt;4,"/","")</f>
        <v>/</v>
      </c>
      <c r="P110" s="51">
        <v>8</v>
      </c>
      <c r="Q110" s="49">
        <v>22</v>
      </c>
      <c r="R110" s="50" t="str">
        <f>IF(AK93&gt;5,"/","")</f>
        <v>/</v>
      </c>
      <c r="S110" s="51">
        <v>25</v>
      </c>
      <c r="T110" s="49">
        <v>25</v>
      </c>
      <c r="U110" s="50" t="str">
        <f>IF(AK93&gt;6,"/","")</f>
        <v>/</v>
      </c>
      <c r="V110" s="51">
        <v>22</v>
      </c>
      <c r="W110" s="49">
        <v>25</v>
      </c>
      <c r="X110" s="50" t="str">
        <f>IF(AK93&gt;7,"/","")</f>
        <v>/</v>
      </c>
      <c r="Y110" s="51">
        <v>9</v>
      </c>
      <c r="Z110" s="49">
        <v>25</v>
      </c>
      <c r="AA110" s="50" t="str">
        <f>IF(AK93&gt;8,"/","")</f>
        <v>/</v>
      </c>
      <c r="AB110" s="51">
        <v>23</v>
      </c>
      <c r="AC110" s="49">
        <v>25</v>
      </c>
      <c r="AD110" s="50" t="str">
        <f>IF(AK93&gt;9,"/","")</f>
        <v>/</v>
      </c>
      <c r="AE110" s="51">
        <v>15</v>
      </c>
      <c r="AF110" s="42" t="str">
        <f>IF(AK94&gt;1,"Team 2","")</f>
        <v>Team 2</v>
      </c>
      <c r="AG110" s="48">
        <f>IF(AK94&lt;2,"",IF(AK93&lt;1,"",IF(B109=2,B115-D115,IF(D109=2,D115-B115,""))))</f>
        <v>11</v>
      </c>
      <c r="AH110" s="48" t="str">
        <f>IF(AK94&lt;2,"",IF(AK93&lt;2,"",IF(E109=2,E115-G115,IF(G109=2,G115-E115,""))))</f>
        <v/>
      </c>
      <c r="AI110" s="48" t="str">
        <f>IF(AK94&lt;2,"",IF(AK93&lt;3,"",IF(H109=2,H115-J115,IF(J109=2,J115-H115,""))))</f>
        <v/>
      </c>
      <c r="AJ110" s="48">
        <f>IF(AK94&lt;2,"",IF(AK93&lt;4,"",IF(K109=2,K115-M115,IF(M109=2,M115-K115,""))))</f>
        <v>8</v>
      </c>
      <c r="AK110" s="48" t="str">
        <f>IF(AK94&lt;2,"",IF(AK93&lt;5,"",IF(N109=2,N115-P115,IF(P109=2,P115-N115,""))))</f>
        <v/>
      </c>
      <c r="AL110" s="48" t="str">
        <f>IF(AK94&lt;2,"",IF(AK93&lt;6,"",IF(Q109=2,Q115-S115,IF(S109=2,S115-Q115,""))))</f>
        <v/>
      </c>
      <c r="AM110" s="48">
        <f>IF(AK94&lt;2,"",IF(AK93&lt;7,"",IF(T109=2,T115-V115,IF(V109=2,V115-T115,""))))</f>
        <v>1</v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>
        <f>IF(AK94&lt;2,"",IF(AK93&lt;10,"",IF(AC109=2,AC115-AE115,IF(AE109=2,AE115-AC115,""))))</f>
        <v>-23</v>
      </c>
      <c r="AQ110" s="44">
        <f>SUM(AG110:AP110)</f>
        <v>-3</v>
      </c>
    </row>
    <row r="111" spans="1:44" ht="15" x14ac:dyDescent="0.2">
      <c r="A111" s="3" t="str">
        <f>IF(AK92&gt;1,"Game 2","")</f>
        <v>Game 2</v>
      </c>
      <c r="B111" s="49">
        <v>27</v>
      </c>
      <c r="C111" s="50" t="s">
        <v>80</v>
      </c>
      <c r="D111" s="51">
        <v>25</v>
      </c>
      <c r="E111" s="49">
        <v>25</v>
      </c>
      <c r="F111" s="50" t="str">
        <f>IF(AK93&gt;1,IF(AK92&gt;1,"/",""),"")</f>
        <v>/</v>
      </c>
      <c r="G111" s="51">
        <v>17</v>
      </c>
      <c r="H111" s="49">
        <v>13</v>
      </c>
      <c r="I111" s="50" t="str">
        <f>IF(AK93&gt;2,IF(AK92&gt;1,"/",""),"")</f>
        <v>/</v>
      </c>
      <c r="J111" s="51">
        <v>25</v>
      </c>
      <c r="K111" s="49">
        <v>25</v>
      </c>
      <c r="L111" s="50" t="str">
        <f>IF(AK93&gt;3,IF(AK92&gt;1,"/",""),"")</f>
        <v>/</v>
      </c>
      <c r="M111" s="51">
        <v>21</v>
      </c>
      <c r="N111" s="49">
        <v>25</v>
      </c>
      <c r="O111" s="50" t="str">
        <f>IF(AK93&gt;4,IF(AK92&gt;1,"/",""),"")</f>
        <v>/</v>
      </c>
      <c r="P111" s="51">
        <v>13</v>
      </c>
      <c r="Q111" s="49">
        <v>13</v>
      </c>
      <c r="R111" s="50" t="str">
        <f>IF(AK93&gt;5,IF(AK92&gt;1,"/",""),"")</f>
        <v>/</v>
      </c>
      <c r="S111" s="51">
        <v>25</v>
      </c>
      <c r="T111" s="49">
        <v>23</v>
      </c>
      <c r="U111" s="50" t="str">
        <f>IF(AK93&gt;6,IF(AK92&gt;1,"/",""),"")</f>
        <v>/</v>
      </c>
      <c r="V111" s="51">
        <v>25</v>
      </c>
      <c r="W111" s="49">
        <v>25</v>
      </c>
      <c r="X111" s="50" t="str">
        <f>IF(AK93&gt;7,IF(AK92&gt;1,"/",""),"")</f>
        <v>/</v>
      </c>
      <c r="Y111" s="51">
        <v>15</v>
      </c>
      <c r="Z111" s="49">
        <v>25</v>
      </c>
      <c r="AA111" s="50" t="str">
        <f>IF(AK93&gt;8,IF(AK92&gt;1,"/",""),"")</f>
        <v>/</v>
      </c>
      <c r="AB111" s="51">
        <v>21</v>
      </c>
      <c r="AC111" s="49">
        <v>25</v>
      </c>
      <c r="AD111" s="50" t="str">
        <f>IF(AK93&gt;9,IF(AK92&gt;1,"/",""),"")</f>
        <v>/</v>
      </c>
      <c r="AE111" s="51">
        <v>12</v>
      </c>
      <c r="AF111" s="42" t="str">
        <f>IF(AK94&gt;2,"Team 3","")</f>
        <v>Team 3</v>
      </c>
      <c r="AG111" s="48" t="str">
        <f>IF(AK94&lt;3,"",IF(AK93&lt;1,"",IF(B109=3,B115-D115,IF(D109=3,D115-B115,""))))</f>
        <v/>
      </c>
      <c r="AH111" s="48" t="str">
        <f>IF(AK94&lt;3,"",IF(AK93&lt;2,"",IF(E109=3,E115-G115,IF(G109=3,G115-E115,""))))</f>
        <v/>
      </c>
      <c r="AI111" s="48">
        <f>IF(AK94&lt;3,"",IF(AK93&lt;3,"",IF(H109=3,H115-J115,IF(J109=3,J115-H115,""))))</f>
        <v>-13</v>
      </c>
      <c r="AJ111" s="48" t="str">
        <f>IF(AK94&lt;3,"",IF(AK93&lt;4,"",IF(K109=3,K115-M115,IF(M109=3,M115-K115,""))))</f>
        <v/>
      </c>
      <c r="AK111" s="48">
        <f>IF(AK94&lt;3,"",IF(AK93&lt;5,"",IF(N109=3,N115-P115,IF(P109=3,P115-N115,""))))</f>
        <v>-29</v>
      </c>
      <c r="AL111" s="48" t="str">
        <f>IF(AK94&lt;3,"",IF(AK93&lt;6,"",IF(Q109=3,Q115-S115,IF(S109=3,S115-Q115,""))))</f>
        <v/>
      </c>
      <c r="AM111" s="48">
        <f>IF(AK94&lt;3,"",IF(AK93&lt;7,"",IF(T109=3,T115-V115,IF(V109=3,V115-T115,""))))</f>
        <v>-1</v>
      </c>
      <c r="AN111" s="48" t="str">
        <f>IF(AK94&lt;3,"",IF(AK93&lt;8,"",IF(W109=3,W115-Y115,IF(Y109=3,Y115-W115,""))))</f>
        <v/>
      </c>
      <c r="AO111" s="48">
        <f>IF(AK94&lt;3,"",IF(AK93&lt;9,"",IF(Z109=3,Z115-AB115,IF(AB109=3,AB115-Z115,""))))</f>
        <v>6</v>
      </c>
      <c r="AP111" s="48" t="str">
        <f>IF(AK94&lt;3,"",IF(AK93&lt;9,"",IF(AC109=3,AC115-AE115,IF(AE109=3,AE115-AC115,""))))</f>
        <v/>
      </c>
      <c r="AQ111" s="44">
        <f>SUM(AG111:AP111)</f>
        <v>-37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-23</v>
      </c>
      <c r="AI112" s="48" t="str">
        <f>IF(AK94&lt;4,"",IF(AK93&lt;3,"",IF(H109=4,H115-J115,IF(J109=4,J115-H115,""))))</f>
        <v/>
      </c>
      <c r="AJ112" s="48">
        <f>IF(AK94&lt;4,"",IF(AK93&lt;4,"",IF(K109=4,K115-M115,IF(M109=4,M115-K115,""))))</f>
        <v>-8</v>
      </c>
      <c r="AK112" s="48" t="str">
        <f>IF(AK94&lt;4,"",IF(AK93&lt;5,"",IF(N109=4,N115-P115,IF(P109=4,P115-N115,""))))</f>
        <v/>
      </c>
      <c r="AL112" s="48">
        <f>IF(AK94&lt;4,"",IF(AK93&lt;6,"",IF(Q109=4,Q115-S115,IF(S109=4,S115-Q115,""))))</f>
        <v>-15</v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>
        <f>IF(AK94&lt;4,"",IF(AK93&lt;9,"",IF(Z109=4,Z115-AB115,IF(AB109=4,AB115-Z115,""))))</f>
        <v>-6</v>
      </c>
      <c r="AP112" s="48" t="str">
        <f>IF(AK94&lt;4,"",IF(AK93&lt;10,"",IF(AC109=4,AC115-AE115,IF(AE109=4,AE115-AC115,""))))</f>
        <v/>
      </c>
      <c r="AQ112" s="44">
        <f>SUM(AG112:AP112)</f>
        <v>-52</v>
      </c>
    </row>
    <row r="113" spans="1:49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>Team 5</v>
      </c>
      <c r="AG113" s="52">
        <f>IF(AK94&lt;5,"",IF(AK93&lt;1,"",IF(B109=5,B115-D115,IF(D109=5,D115-B115,""))))</f>
        <v>-11</v>
      </c>
      <c r="AH113" s="48" t="str">
        <f>IF(AK94&lt;5,"",IF(AK93&lt;2,"",IF(E109=5,E115-G115,IF(G109=5,G115-E115,""))))</f>
        <v/>
      </c>
      <c r="AI113" s="48">
        <f>IF(AK94&lt;5,"",IF(AK93&lt;3,"",IF(H109=5,H115-J115,IF(J109=5,J115-H115,""))))</f>
        <v>13</v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>
        <f>IF(AK94&lt;5,"",IF(AK93&lt;6,"",IF(Q109=5,Q115-S115,IF(S109=5,S115-Q115,""))))</f>
        <v>15</v>
      </c>
      <c r="AM113" s="48" t="str">
        <f>IF(AK94&lt;5,"",IF(AK93&lt;7,"",IF(T109=5,T115-V115,IF(V109=5,V115-T115,""))))</f>
        <v/>
      </c>
      <c r="AN113" s="48">
        <f>IF(AK94&lt;5,"",IF(AK93&lt;8,"",IF(W109=5,W115-Y115,IF(Y109=5,Y115-W115,""))))</f>
        <v>-26</v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-9</v>
      </c>
    </row>
    <row r="114" spans="1:49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3"/>
      <c r="B115" s="53">
        <f>IF($AK92=5,SUM(B110:B114),IF($AK92=4,SUM(B110:B113),IF($AK92=3,SUM(B110:B112),IF($AK92=2,SUM(B110:B111),B110))))</f>
        <v>52</v>
      </c>
      <c r="C115" s="53"/>
      <c r="D115" s="53">
        <f>IF($AK92=5,SUM(D110:D114),IF($AK92=4,SUM(D110:D113),IF($AK92=3,SUM(D110:D112),IF($AK92=2,SUM(D110:D111),D110))))</f>
        <v>41</v>
      </c>
      <c r="E115" s="53">
        <f>IF($AK92=5,SUM(E110:E114),IF($AK92=4,SUM(E110:E113),IF($AK92=3,SUM(E110:E112),IF($AK92=2,SUM(E110:E111),E110))))</f>
        <v>50</v>
      </c>
      <c r="F115" s="53"/>
      <c r="G115" s="53">
        <f>IF($AK92=5,SUM(G110:G114),IF($AK92=4,SUM(G110:G113),IF($AK92=3,SUM(G110:G112),IF($AK92=2,SUM(G110:G111),G110))))</f>
        <v>27</v>
      </c>
      <c r="H115" s="53">
        <f>IF($AK92=5,SUM(H110:H114),IF($AK92=4,SUM(H110:H113),IF($AK92=3,SUM(H110:H112),IF($AK92=2,SUM(H110:H111),H110))))</f>
        <v>39</v>
      </c>
      <c r="I115" s="53"/>
      <c r="J115" s="53">
        <f>IF($AK92=5,SUM(J110:J114),IF($AK92=4,SUM(J110:J113),IF($AK92=3,SUM(J110:J112),IF($AK92=2,SUM(J110:J111),J110))))</f>
        <v>52</v>
      </c>
      <c r="K115" s="53">
        <f>IF($AK92=5,SUM(K110:K114),IF($AK92=4,SUM(K110:K113),IF($AK92=3,SUM(K110:K112),IF($AK92=2,SUM(K110:K111),K110))))</f>
        <v>50</v>
      </c>
      <c r="L115" s="53"/>
      <c r="M115" s="53">
        <f>IF($AK92=5,SUM(M110:M114),IF($AK92=4,SUM(M110:M113),IF($AK92=3,SUM(M110:M112),IF($AK92=2,SUM(M110:M111),M110))))</f>
        <v>42</v>
      </c>
      <c r="N115" s="53">
        <f>IF($AK92=5,SUM(N110:N114),IF($AK92=4,SUM(N110:N113),IF($AK92=3,SUM(N110:N112),IF($AK92=2,SUM(N110:N111),N110))))</f>
        <v>50</v>
      </c>
      <c r="O115" s="53"/>
      <c r="P115" s="53">
        <f>IF($AK92=5,SUM(P110:P114),IF($AK92=4,SUM(P110:P113),IF($AK92=3,SUM(P110:P112),IF($AK92=2,SUM(P110:P111),P110))))</f>
        <v>21</v>
      </c>
      <c r="Q115" s="53">
        <f>IF($AK92=5,SUM(Q110:Q114),IF($AK92=4,SUM(Q110:Q113),IF($AK92=3,SUM(Q110:Q112),IF($AK92=2,SUM(Q110:Q111),Q110))))</f>
        <v>35</v>
      </c>
      <c r="R115" s="53"/>
      <c r="S115" s="53">
        <f>IF($AK92=5,SUM(S110:S114),IF($AK92=4,SUM(S110:S113),IF($AK92=3,SUM(S110:S112),IF($AK92=2,SUM(S110:S111),S110))))</f>
        <v>50</v>
      </c>
      <c r="T115" s="53">
        <f>IF($AK92=5,SUM(T110:T114),IF($AK92=4,SUM(T110:T113),IF($AK92=3,SUM(T110:T112),IF($AK92=2,SUM(T110:T111),T110))))</f>
        <v>48</v>
      </c>
      <c r="U115" s="53"/>
      <c r="V115" s="53">
        <f>IF($AK92=5,SUM(V110:V114),IF($AK92=4,SUM(V110:V113),IF($AK92=3,SUM(V110:V112),IF($AK92=2,SUM(V110:V111),V110))))</f>
        <v>47</v>
      </c>
      <c r="W115" s="53">
        <f>IF($AK92=5,SUM(W110:W114),IF($AK92=4,SUM(W110:W113),IF($AK92=3,SUM(W110:W112),IF($AK92=2,SUM(W110:W111),W110))))</f>
        <v>50</v>
      </c>
      <c r="X115" s="53"/>
      <c r="Y115" s="53">
        <f>IF($AK92=5,SUM(Y110:Y114),IF($AK92=4,SUM(Y110:Y113),IF($AK92=3,SUM(Y110:Y112),IF($AK92=2,SUM(Y110:Y111),Y110))))</f>
        <v>24</v>
      </c>
      <c r="Z115" s="53">
        <f>IF($AK92=5,SUM(Z110:Z114),IF($AK92=4,SUM(Z110:Z113),IF($AK92=3,SUM(Z110:Z112),IF($AK92=2,SUM(Z110:Z111),Z110))))</f>
        <v>50</v>
      </c>
      <c r="AA115" s="53"/>
      <c r="AB115" s="53">
        <f>IF($AK92=5,SUM(AB110:AB114),IF($AK92=4,SUM(AB110:AB113),IF($AK92=3,SUM(AB110:AB112),IF($AK92=2,SUM(AB110:AB111),AB110))))</f>
        <v>44</v>
      </c>
      <c r="AC115" s="53">
        <f>IF($AK92=5,SUM(AC110:AC114),IF($AK92=4,SUM(AC110:AC113),IF($AK92=3,SUM(AC110:AC112),IF($AK92=2,SUM(AC110:AC111),AC110))))</f>
        <v>50</v>
      </c>
      <c r="AD115" s="53"/>
      <c r="AE115" s="53">
        <f>IF($AK92=5,SUM(AE110:AE114),IF($AK92=4,SUM(AE110:AE113),IF($AK92=3,SUM(AE110:AE112),IF($AK92=2,SUM(AE110:AE111),AE110))))</f>
        <v>27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1</v>
      </c>
      <c r="F116" s="56"/>
      <c r="G116" s="57">
        <f>IF(AND(G110&gt;E110,$AK93&gt;1,ISNUMBER(E110),ISNUMBER(G110)),1,0)</f>
        <v>0</v>
      </c>
      <c r="H116" s="56">
        <f>IF(AND(H110&gt;J110,$AK93&gt;2,ISNUMBER(H110),ISNUMBER(J110)),1,0)</f>
        <v>0</v>
      </c>
      <c r="I116" s="56"/>
      <c r="J116" s="57">
        <f>IF(AND(J110&gt;H110,$AK93&gt;2,ISNUMBER(H110),ISNUMBER(J110)),1,0)</f>
        <v>1</v>
      </c>
      <c r="K116" s="56">
        <f>IF(AND(K110&gt;M110,$AK93&gt;3,ISNUMBER(K110),ISNUMBER(M110)),1,0)</f>
        <v>1</v>
      </c>
      <c r="L116" s="56"/>
      <c r="M116" s="57">
        <f>IF(AND(M110&gt;K110,$AK93&gt;3,ISNUMBER(K110),ISNUMBER(M110)),1,0)</f>
        <v>0</v>
      </c>
      <c r="N116" s="56">
        <f>IF(AND(N110&gt;P110,$AK93&gt;4,ISNUMBER(N110),ISNUMBER(P110)),1,0)</f>
        <v>1</v>
      </c>
      <c r="O116" s="56"/>
      <c r="P116" s="57">
        <f>IF(AND(P110&gt;N110,$AK93&gt;4,ISNUMBER(N110),ISNUMBER(P110)),1,0)</f>
        <v>0</v>
      </c>
      <c r="Q116" s="56">
        <f>IF(AND(Q110&gt;S110,$AK93&gt;5,ISNUMBER(Q110),ISNUMBER(S110)),1,0)</f>
        <v>0</v>
      </c>
      <c r="R116" s="56"/>
      <c r="S116" s="57">
        <f>IF(AND(S110&gt;Q110,$AK93&gt;5,ISNUMBER(Q110),ISNUMBER(S110)),1,0)</f>
        <v>1</v>
      </c>
      <c r="T116" s="56">
        <f>IF(AND(T110&gt;V110,$AK93&gt;6,ISNUMBER(T110),ISNUMBER(V110)),1,0)</f>
        <v>1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1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1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1</v>
      </c>
      <c r="AD116" s="56"/>
      <c r="AE116" s="57">
        <f>IF(AND(AE110&gt;AC110,$AK93&gt;9,ISNUMBER(AC110),ISNUMBER(AE110)),1,0)</f>
        <v>0</v>
      </c>
      <c r="AW116" s="58"/>
    </row>
    <row r="117" spans="1:49" s="55" customFormat="1" ht="12.75" hidden="1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1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0</v>
      </c>
      <c r="I117" s="56"/>
      <c r="J117" s="57">
        <f>IF(AND(J111&gt;H111,$AK93&gt;2,$AK92&gt;1,ISNUMBER(H111),ISNUMBER(J111)),1,0)</f>
        <v>1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1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0</v>
      </c>
      <c r="R117" s="56"/>
      <c r="S117" s="57">
        <f>IF(AND(S111&gt;Q111,$AK93&gt;5,$AK92&gt;1,ISNUMBER(Q111),ISNUMBER(S111)),1,0)</f>
        <v>1</v>
      </c>
      <c r="T117" s="56">
        <f>IF(AND(T111&gt;V111,$AK93&gt;6,$AK92&gt;1,ISNUMBER(T111),ISNUMBER(V111)),1,0)</f>
        <v>0</v>
      </c>
      <c r="U117" s="56"/>
      <c r="V117" s="57">
        <f>IF(AND(V111&gt;T111,$AK93&gt;6,$AK92&gt;1,ISNUMBER(T111),ISNUMBER(V111)),1,0)</f>
        <v>1</v>
      </c>
      <c r="W117" s="56">
        <f>IF(AND(W111&gt;Y111,$AK93&gt;7,$AK92&gt;1,ISNUMBER(W111),ISNUMBER(Y111)),1,0)</f>
        <v>1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1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1</v>
      </c>
      <c r="AD117" s="56"/>
      <c r="AE117" s="57">
        <f>IF(AND(AE111&gt;AC111,$AK93&gt;9,$AK92&gt;1,ISNUMBER(AC111),ISNUMBER(AE111)),1,0)</f>
        <v>0</v>
      </c>
      <c r="AW117" s="58"/>
    </row>
    <row r="118" spans="1:49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  <c r="AW118" s="58"/>
    </row>
    <row r="119" spans="1:49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  <c r="AW119" s="58"/>
    </row>
    <row r="120" spans="1:49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  <c r="AW120" s="58"/>
    </row>
    <row r="121" spans="1:49" s="55" customFormat="1" ht="38.25" hidden="1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2</v>
      </c>
      <c r="G121" s="60">
        <f>SUM(G116:G120)</f>
        <v>0</v>
      </c>
      <c r="H121" s="55">
        <f>SUM(H116:H120)</f>
        <v>0</v>
      </c>
      <c r="J121" s="60">
        <f>SUM(J116:J120)</f>
        <v>2</v>
      </c>
      <c r="K121" s="55">
        <f>SUM(K116:K120)</f>
        <v>2</v>
      </c>
      <c r="M121" s="60">
        <f>SUM(M116:M120)</f>
        <v>0</v>
      </c>
      <c r="N121" s="55">
        <f>SUM(N116:N120)</f>
        <v>2</v>
      </c>
      <c r="P121" s="60">
        <f>SUM(P116:P120)</f>
        <v>0</v>
      </c>
      <c r="Q121" s="55">
        <f>SUM(Q116:Q120)</f>
        <v>0</v>
      </c>
      <c r="S121" s="60">
        <f>SUM(S116:S120)</f>
        <v>2</v>
      </c>
      <c r="T121" s="55">
        <f>SUM(T116:T120)</f>
        <v>1</v>
      </c>
      <c r="V121" s="60">
        <f>SUM(V116:V120)</f>
        <v>1</v>
      </c>
      <c r="W121" s="55">
        <f>SUM(W116:W120)</f>
        <v>2</v>
      </c>
      <c r="Y121" s="60">
        <f>SUM(Y116:Y120)</f>
        <v>0</v>
      </c>
      <c r="Z121" s="55">
        <f>SUM(Z116:Z120)</f>
        <v>2</v>
      </c>
      <c r="AB121" s="60">
        <f>SUM(AB116:AB120)</f>
        <v>0</v>
      </c>
      <c r="AC121" s="55">
        <f>SUM(AC116:AC120)</f>
        <v>2</v>
      </c>
      <c r="AE121" s="60">
        <f>SUM(AE116:AE120)</f>
        <v>0</v>
      </c>
      <c r="AW121" s="58"/>
    </row>
    <row r="122" spans="1:49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1</v>
      </c>
      <c r="F122" s="55">
        <f>E122+G122</f>
        <v>1</v>
      </c>
      <c r="G122" s="60">
        <f>IF(G121&gt;E121,IF(F156=AK92,1,IF(F156=AK92-1,1,0)),0)</f>
        <v>0</v>
      </c>
      <c r="H122" s="55">
        <f>IF(H121&gt;J121,IF(I156=AK92,1,IF(I156=AK92-1,1,0)),0)</f>
        <v>0</v>
      </c>
      <c r="I122" s="55">
        <f>H122+J122</f>
        <v>1</v>
      </c>
      <c r="J122" s="60">
        <f>IF(J121&gt;H121,IF(I156=AK92,1,IF(I156=AK92-1,1,0)),0)</f>
        <v>1</v>
      </c>
      <c r="K122" s="55">
        <f>IF(K121&gt;M121,IF(L156=AK92,1,IF(L156=AK92-1,1,0)),0)</f>
        <v>1</v>
      </c>
      <c r="L122" s="55">
        <f>K122+M122</f>
        <v>1</v>
      </c>
      <c r="M122" s="60">
        <f>IF(M121&gt;K121,IF(L156=AK92,1,IF(L156=AK92-1,1,0)),0)</f>
        <v>0</v>
      </c>
      <c r="N122" s="55">
        <f>IF(N121&gt;P121,IF(O156=AK92,1,IF(O156=AK92-1,1,0)),0)</f>
        <v>1</v>
      </c>
      <c r="O122" s="55">
        <f>N122+P122</f>
        <v>1</v>
      </c>
      <c r="P122" s="60">
        <f>IF(P121&gt;N121,IF(O156=AK92,1,IF(O156=AK92-1,1,0)),0)</f>
        <v>0</v>
      </c>
      <c r="Q122" s="55">
        <f>IF(Q121&gt;S121,IF(R156=AK92,1,IF(R156=AK92-1,1,0)),0)</f>
        <v>0</v>
      </c>
      <c r="R122" s="55">
        <f>Q122+S122</f>
        <v>1</v>
      </c>
      <c r="S122" s="60">
        <f>IF(S121&gt;Q121,IF(R156=AK92,1,IF(R156=AK92-1,1,0)),0)</f>
        <v>1</v>
      </c>
      <c r="T122" s="55">
        <f>IF(T121&gt;V121,IF(U156=AK92,1,IF(U156=AK92-1,1,0)),0)</f>
        <v>0</v>
      </c>
      <c r="U122" s="55">
        <f>T122+V122</f>
        <v>0</v>
      </c>
      <c r="V122" s="60">
        <f>IF(V121&gt;T121,IF(U156=AK92,1,IF(U156=AK92-1,1,0)),0)</f>
        <v>0</v>
      </c>
      <c r="W122" s="55">
        <f>IF(W121&gt;Y121,IF(X156=AK92,1,IF(X156=AK92-1,1,0)),0)</f>
        <v>1</v>
      </c>
      <c r="X122" s="55">
        <f>W122+Y122</f>
        <v>1</v>
      </c>
      <c r="Y122" s="60">
        <f>IF(Y121&gt;W121,IF(X156=AK92,1,IF(X156=AK92-1,1,0)),0)</f>
        <v>0</v>
      </c>
      <c r="Z122" s="55">
        <f>IF(Z121&gt;AB121,IF(AA156=AK92,1,IF(AA156=AK92-1,1,0)),0)</f>
        <v>1</v>
      </c>
      <c r="AA122" s="55">
        <f>Z122+AB122</f>
        <v>1</v>
      </c>
      <c r="AB122" s="60">
        <f>IF(AB121&gt;Z121,IF(AA156=AK92,1,IF(AA156=AK92-1,1,0)),0)</f>
        <v>0</v>
      </c>
      <c r="AC122" s="55">
        <f>IF(AC121&gt;AE121,IF(AD156=AK92,1,IF(AD156=AK92-1,1,0)),0)</f>
        <v>1</v>
      </c>
      <c r="AD122" s="55">
        <f>AC122+AE122</f>
        <v>1</v>
      </c>
      <c r="AE122" s="60">
        <f>IF(AE121&gt;AC121,IF(AD156=AK92,1,IF(AD156=AK92-1,1,0)),0)</f>
        <v>0</v>
      </c>
      <c r="AW122" s="58"/>
    </row>
    <row r="123" spans="1:49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  <c r="AW123" s="58"/>
    </row>
    <row r="124" spans="1:49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25</v>
      </c>
      <c r="G124" s="60">
        <f t="shared" ref="G124:H128" si="12">IF(G116=1,G110,0)</f>
        <v>0</v>
      </c>
      <c r="H124" s="55">
        <f t="shared" si="12"/>
        <v>0</v>
      </c>
      <c r="J124" s="60">
        <f t="shared" ref="J124:K128" si="13">IF(J116=1,J110,0)</f>
        <v>27</v>
      </c>
      <c r="K124" s="55">
        <f t="shared" si="13"/>
        <v>25</v>
      </c>
      <c r="M124" s="60">
        <f t="shared" ref="M124:N128" si="14">IF(M116=1,M110,0)</f>
        <v>0</v>
      </c>
      <c r="N124" s="55">
        <f t="shared" si="14"/>
        <v>25</v>
      </c>
      <c r="P124" s="60">
        <f t="shared" ref="P124:Q128" si="15">IF(P116=1,P110,0)</f>
        <v>0</v>
      </c>
      <c r="Q124" s="55">
        <f t="shared" si="15"/>
        <v>0</v>
      </c>
      <c r="S124" s="60">
        <f t="shared" ref="S124:T128" si="16">IF(S116=1,S110,0)</f>
        <v>25</v>
      </c>
      <c r="T124" s="55">
        <f t="shared" si="16"/>
        <v>25</v>
      </c>
      <c r="V124" s="60">
        <f t="shared" ref="V124:W128" si="17">IF(V116=1,V110,0)</f>
        <v>0</v>
      </c>
      <c r="W124" s="55">
        <f t="shared" si="17"/>
        <v>25</v>
      </c>
      <c r="Y124" s="60">
        <f t="shared" ref="Y124:Z128" si="18">IF(Y116=1,Y110,0)</f>
        <v>0</v>
      </c>
      <c r="Z124" s="55">
        <f t="shared" si="18"/>
        <v>25</v>
      </c>
      <c r="AB124" s="60">
        <f t="shared" ref="AB124:AC128" si="19">IF(AB116=1,AB110,0)</f>
        <v>0</v>
      </c>
      <c r="AC124" s="55">
        <f t="shared" si="19"/>
        <v>25</v>
      </c>
      <c r="AE124" s="60">
        <f>IF(AE116=1,AE110,0)</f>
        <v>0</v>
      </c>
      <c r="AW124" s="58"/>
    </row>
    <row r="125" spans="1:49" s="55" customFormat="1" ht="12.75" hidden="1" customHeight="1" x14ac:dyDescent="0.2">
      <c r="A125" s="55" t="s">
        <v>89</v>
      </c>
      <c r="B125" s="55">
        <f>IF(B117=1,B111,0)</f>
        <v>27</v>
      </c>
      <c r="D125" s="60">
        <f t="shared" si="11"/>
        <v>0</v>
      </c>
      <c r="E125" s="55">
        <f t="shared" si="11"/>
        <v>25</v>
      </c>
      <c r="G125" s="60">
        <f t="shared" si="12"/>
        <v>0</v>
      </c>
      <c r="H125" s="55">
        <f t="shared" si="12"/>
        <v>0</v>
      </c>
      <c r="J125" s="60">
        <f t="shared" si="13"/>
        <v>25</v>
      </c>
      <c r="K125" s="55">
        <f t="shared" si="13"/>
        <v>25</v>
      </c>
      <c r="M125" s="60">
        <f t="shared" si="14"/>
        <v>0</v>
      </c>
      <c r="N125" s="55">
        <f t="shared" si="14"/>
        <v>25</v>
      </c>
      <c r="P125" s="60">
        <f t="shared" si="15"/>
        <v>0</v>
      </c>
      <c r="Q125" s="55">
        <f t="shared" si="15"/>
        <v>0</v>
      </c>
      <c r="S125" s="60">
        <f t="shared" si="16"/>
        <v>25</v>
      </c>
      <c r="T125" s="55">
        <f t="shared" si="16"/>
        <v>0</v>
      </c>
      <c r="V125" s="60">
        <f t="shared" si="17"/>
        <v>25</v>
      </c>
      <c r="W125" s="55">
        <f t="shared" si="17"/>
        <v>25</v>
      </c>
      <c r="Y125" s="60">
        <f t="shared" si="18"/>
        <v>0</v>
      </c>
      <c r="Z125" s="55">
        <f t="shared" si="18"/>
        <v>25</v>
      </c>
      <c r="AB125" s="60">
        <f t="shared" si="19"/>
        <v>0</v>
      </c>
      <c r="AC125" s="55">
        <f t="shared" si="19"/>
        <v>25</v>
      </c>
      <c r="AE125" s="60">
        <f>IF(AE117=1,AE111,0)</f>
        <v>0</v>
      </c>
      <c r="AW125" s="58"/>
    </row>
    <row r="126" spans="1:49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  <c r="AW126" s="58"/>
    </row>
    <row r="127" spans="1:49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  <c r="AW127" s="58"/>
    </row>
    <row r="128" spans="1:49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  <c r="AW128" s="58"/>
    </row>
    <row r="129" spans="1:49" s="55" customFormat="1" ht="38.25" hidden="1" customHeight="1" x14ac:dyDescent="0.2">
      <c r="A129" s="59" t="s">
        <v>93</v>
      </c>
      <c r="B129" s="55">
        <f>SUM(B124:D128)</f>
        <v>52</v>
      </c>
      <c r="D129" s="60"/>
      <c r="E129" s="55">
        <f>SUM(E124:G128)</f>
        <v>50</v>
      </c>
      <c r="G129" s="60"/>
      <c r="H129" s="55">
        <f>SUM(H124:J128)</f>
        <v>52</v>
      </c>
      <c r="J129" s="60"/>
      <c r="K129" s="55">
        <f>SUM(K124:M128)</f>
        <v>50</v>
      </c>
      <c r="M129" s="60"/>
      <c r="N129" s="55">
        <f>SUM(N124:P128)</f>
        <v>50</v>
      </c>
      <c r="P129" s="60"/>
      <c r="Q129" s="55">
        <f>SUM(Q124:S128)</f>
        <v>50</v>
      </c>
      <c r="S129" s="60"/>
      <c r="T129" s="55">
        <f>SUM(T124:V128)</f>
        <v>50</v>
      </c>
      <c r="V129" s="60"/>
      <c r="W129" s="55">
        <f>SUM(W124:Y128)</f>
        <v>50</v>
      </c>
      <c r="Y129" s="60"/>
      <c r="Z129" s="55">
        <f>SUM(Z124:AB128)</f>
        <v>50</v>
      </c>
      <c r="AB129" s="60"/>
      <c r="AC129" s="55">
        <f>SUM(AC124:AE128)</f>
        <v>50</v>
      </c>
      <c r="AE129" s="60"/>
      <c r="AW129" s="58"/>
    </row>
    <row r="130" spans="1:49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  <c r="AW130" s="58"/>
    </row>
    <row r="131" spans="1:49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1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1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1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1</v>
      </c>
      <c r="AE131" s="60">
        <f>IF(AE109=1,IF(AE122=1,1,0),0)</f>
        <v>0</v>
      </c>
      <c r="AF131" s="55">
        <f>SUM(B131:AE131)</f>
        <v>4</v>
      </c>
      <c r="AG131" s="55">
        <f>AF137-AF131</f>
        <v>0</v>
      </c>
      <c r="AW131" s="58"/>
    </row>
    <row r="132" spans="1:49" s="55" customFormat="1" ht="12.75" hidden="1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1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0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2</v>
      </c>
      <c r="AG132" s="55">
        <f>AF138-AF132</f>
        <v>1</v>
      </c>
      <c r="AW132" s="58"/>
    </row>
    <row r="133" spans="1:49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1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1</v>
      </c>
      <c r="AG133" s="55">
        <f>AF139-AF133</f>
        <v>2</v>
      </c>
      <c r="AW133" s="58"/>
    </row>
    <row r="134" spans="1:49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0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0</v>
      </c>
      <c r="AG134" s="55">
        <f>AF140-AF134</f>
        <v>4</v>
      </c>
      <c r="AW134" s="58"/>
    </row>
    <row r="135" spans="1:49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1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1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2</v>
      </c>
      <c r="AG135" s="55">
        <f>AF141-AF135</f>
        <v>2</v>
      </c>
      <c r="AW135" s="58"/>
    </row>
    <row r="136" spans="1:49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  <c r="AW136" s="58"/>
    </row>
    <row r="137" spans="1:49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0</v>
      </c>
      <c r="M137" s="60">
        <f>IF(M109=1,IF(L122=1,1,0),0)</f>
        <v>0</v>
      </c>
      <c r="N137" s="55">
        <f>IF(N109=1,IF(O122=1,1,0),0)</f>
        <v>1</v>
      </c>
      <c r="P137" s="60">
        <f>IF(P109=1,IF(O122=1,1,0),0)</f>
        <v>0</v>
      </c>
      <c r="Q137" s="55">
        <f>IF(Q109=1,IF(R122=1,1,0),0)</f>
        <v>0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1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1</v>
      </c>
      <c r="AE137" s="60">
        <f>IF(AE109=1,IF(AD122=1,1,0),0)</f>
        <v>0</v>
      </c>
      <c r="AF137" s="55">
        <f>SUM(B137:AE137)</f>
        <v>4</v>
      </c>
      <c r="AW137" s="58"/>
    </row>
    <row r="138" spans="1:49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0</v>
      </c>
      <c r="K138" s="55">
        <f>IF(K109=2,IF(L122=1,1,0),0)</f>
        <v>1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0</v>
      </c>
      <c r="T138" s="55">
        <f>IF(T109=2,IF(U122=1,1,0),0)</f>
        <v>0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1</v>
      </c>
      <c r="AF138" s="55">
        <f>SUM(B138:AE138)</f>
        <v>3</v>
      </c>
      <c r="AW138" s="58"/>
    </row>
    <row r="139" spans="1:49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0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1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0</v>
      </c>
      <c r="N139" s="55">
        <f>IF(N109=3,IF(O122=1,1,0),0)</f>
        <v>0</v>
      </c>
      <c r="P139" s="60">
        <f>IF(P109=3,IF(O122=1,1,0),0)</f>
        <v>1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0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1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3</v>
      </c>
      <c r="AW139" s="58"/>
    </row>
    <row r="140" spans="1:49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1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1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1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4</v>
      </c>
      <c r="AW140" s="58"/>
    </row>
    <row r="141" spans="1:49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1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1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1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1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4</v>
      </c>
      <c r="AW141" s="58"/>
    </row>
    <row r="142" spans="1:49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  <c r="AW142" s="58"/>
    </row>
    <row r="143" spans="1:49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0</v>
      </c>
      <c r="M143" s="60">
        <f>IF(M109=1,K129,0)</f>
        <v>0</v>
      </c>
      <c r="N143" s="55">
        <f>IF(N109=1,N129,0)</f>
        <v>50</v>
      </c>
      <c r="P143" s="60">
        <f>IF(P109=1,N129,0)</f>
        <v>0</v>
      </c>
      <c r="Q143" s="55">
        <f>IF(Q109=1,Q129,0)</f>
        <v>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50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50</v>
      </c>
      <c r="AE143" s="60">
        <f>IF(AE109=1,AC129,0)</f>
        <v>0</v>
      </c>
      <c r="AF143" s="55">
        <f>SUM(B143:AE143)</f>
        <v>200</v>
      </c>
      <c r="AW143" s="58"/>
    </row>
    <row r="144" spans="1:49" s="55" customFormat="1" ht="12.75" hidden="1" customHeight="1" x14ac:dyDescent="0.2">
      <c r="A144" s="55" t="s">
        <v>104</v>
      </c>
      <c r="B144" s="55">
        <f>IF(B109=2,B129,0)</f>
        <v>52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0</v>
      </c>
      <c r="J144" s="60">
        <f>IF(J109=2,H129,0)</f>
        <v>0</v>
      </c>
      <c r="K144" s="55">
        <f>IF(K109=2,K129,0)</f>
        <v>50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0</v>
      </c>
      <c r="T144" s="55">
        <f>IF(T109=2,T129,0)</f>
        <v>50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50</v>
      </c>
      <c r="AF144" s="55">
        <f>SUM(B144:AE144)</f>
        <v>202</v>
      </c>
      <c r="AW144" s="58"/>
    </row>
    <row r="145" spans="1:49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0</v>
      </c>
      <c r="E145" s="55">
        <f>IF(E109=3,E129,0)</f>
        <v>0</v>
      </c>
      <c r="G145" s="60">
        <f>IF(G109=3,E129,0)</f>
        <v>0</v>
      </c>
      <c r="H145" s="55">
        <f>IF(H109=3,H129,0)</f>
        <v>52</v>
      </c>
      <c r="J145" s="60">
        <f>IF(J109=3,H129,0)</f>
        <v>0</v>
      </c>
      <c r="K145" s="55">
        <f>IF(K109=3,K129,0)</f>
        <v>0</v>
      </c>
      <c r="M145" s="60">
        <f>IF(M109=3,K129,0)</f>
        <v>0</v>
      </c>
      <c r="N145" s="55">
        <f>IF(N109=3,N129,0)</f>
        <v>0</v>
      </c>
      <c r="P145" s="60">
        <f>IF(P109=3,N129,0)</f>
        <v>50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50</v>
      </c>
      <c r="W145" s="55">
        <f>IF(W109=3,W129,0)</f>
        <v>0</v>
      </c>
      <c r="Y145" s="60">
        <f>IF(Y109=3,W129,0)</f>
        <v>0</v>
      </c>
      <c r="Z145" s="55">
        <f>IF(Z109=3,Z129,0)</f>
        <v>50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202</v>
      </c>
      <c r="AW145" s="58"/>
    </row>
    <row r="146" spans="1:49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50</v>
      </c>
      <c r="N146" s="55">
        <f>IF(N109=4,N129,0)</f>
        <v>0</v>
      </c>
      <c r="P146" s="60">
        <f>IF(P109=4,N129,0)</f>
        <v>0</v>
      </c>
      <c r="Q146" s="55">
        <f>IF(Q109=4,Q129,0)</f>
        <v>50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50</v>
      </c>
      <c r="AC146" s="55">
        <f>IF(AC109=4,AC129,0)</f>
        <v>0</v>
      </c>
      <c r="AE146" s="60">
        <f>IF(AE109=4,AC129,0)</f>
        <v>0</v>
      </c>
      <c r="AF146" s="55">
        <f>SUM(B146:AE146)</f>
        <v>200</v>
      </c>
      <c r="AW146" s="58"/>
    </row>
    <row r="147" spans="1:49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52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52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50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50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204</v>
      </c>
      <c r="AW147" s="58"/>
    </row>
    <row r="148" spans="1:49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  <c r="AW148" s="58"/>
    </row>
    <row r="149" spans="1:49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2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2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2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2</v>
      </c>
      <c r="AE149" s="60">
        <f>IF(AE109=1,SUMIF(AE116:AE120,"&gt;0"),0)</f>
        <v>0</v>
      </c>
      <c r="AF149" s="55">
        <f>SUM(B149:AE149)</f>
        <v>8</v>
      </c>
      <c r="AG149" s="55">
        <f>AF157-AF149</f>
        <v>0</v>
      </c>
      <c r="AW149" s="58"/>
    </row>
    <row r="150" spans="1:49" s="55" customFormat="1" ht="12.75" hidden="1" customHeight="1" x14ac:dyDescent="0.2">
      <c r="A150" s="55" t="s">
        <v>98</v>
      </c>
      <c r="B150" s="55">
        <f>IF(B109=2,SUMIF(B116:B120,"&gt;0"),0)</f>
        <v>2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2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1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5</v>
      </c>
      <c r="AG150" s="55">
        <f>AF158-AF150</f>
        <v>3</v>
      </c>
      <c r="AW150" s="58"/>
    </row>
    <row r="151" spans="1:49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0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1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2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3</v>
      </c>
      <c r="AG151" s="55">
        <f>AF159-AF151</f>
        <v>5</v>
      </c>
      <c r="AW151" s="58"/>
    </row>
    <row r="152" spans="1:49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0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0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0</v>
      </c>
      <c r="AG152" s="55">
        <f>AF160-AF152</f>
        <v>8</v>
      </c>
      <c r="AW152" s="58"/>
    </row>
    <row r="153" spans="1:49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2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2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4</v>
      </c>
      <c r="AG153" s="55">
        <f>AF161-AF153</f>
        <v>4</v>
      </c>
      <c r="AW153" s="58"/>
    </row>
    <row r="154" spans="1:49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  <c r="AW154" s="58"/>
    </row>
    <row r="155" spans="1:49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  <c r="AW155" s="58"/>
    </row>
    <row r="156" spans="1:49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2</v>
      </c>
      <c r="V156" s="60"/>
      <c r="X156" s="55">
        <f>SUMIF(W149:Y153,"&gt;0")</f>
        <v>2</v>
      </c>
      <c r="Y156" s="60"/>
      <c r="AA156" s="55">
        <f>SUMIF(Z149:AB153,"&gt;0")</f>
        <v>2</v>
      </c>
      <c r="AB156" s="60"/>
      <c r="AD156" s="55">
        <f>SUMIF(AC149:AE153,"&gt;0")</f>
        <v>2</v>
      </c>
      <c r="AE156" s="60"/>
      <c r="AF156" s="59" t="s">
        <v>113</v>
      </c>
      <c r="AW156" s="58"/>
    </row>
    <row r="157" spans="1:49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0</v>
      </c>
      <c r="M157" s="60">
        <f>IF(M109=1,L156,0)</f>
        <v>0</v>
      </c>
      <c r="N157" s="55">
        <f>IF(N109=1,O156,0)</f>
        <v>2</v>
      </c>
      <c r="P157" s="60">
        <f>IF(P109=1,O156,0)</f>
        <v>0</v>
      </c>
      <c r="Q157" s="55">
        <f>IF(Q109=1,R156,0)</f>
        <v>0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2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2</v>
      </c>
      <c r="AE157" s="60">
        <f>IF(AE109=1,AD156,0)</f>
        <v>0</v>
      </c>
      <c r="AF157" s="55">
        <f>SUM(B157:AE157)</f>
        <v>8</v>
      </c>
      <c r="AW157" s="58"/>
    </row>
    <row r="158" spans="1:49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0</v>
      </c>
      <c r="J158" s="60">
        <f>IF(J109=2,I156,0)</f>
        <v>0</v>
      </c>
      <c r="K158" s="55">
        <f>IF(K109=2,L156,0)</f>
        <v>2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0</v>
      </c>
      <c r="T158" s="55">
        <f>IF(T109=2,U156,0)</f>
        <v>2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2</v>
      </c>
      <c r="AF158" s="55">
        <f>SUM(B158:AE158)</f>
        <v>8</v>
      </c>
      <c r="AW158" s="58"/>
    </row>
    <row r="159" spans="1:49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0</v>
      </c>
      <c r="E159" s="55">
        <f>IF(E109=3,F156,0)</f>
        <v>0</v>
      </c>
      <c r="G159" s="60">
        <f>IF(G109=3,F156,0)</f>
        <v>0</v>
      </c>
      <c r="H159" s="55">
        <f>IF(H109=3,I156,0)</f>
        <v>2</v>
      </c>
      <c r="J159" s="60">
        <f>IF(J109=3,I156,0)</f>
        <v>0</v>
      </c>
      <c r="K159" s="55">
        <f>IF(K109=3,L156,0)</f>
        <v>0</v>
      </c>
      <c r="M159" s="60">
        <f>IF(M109=3,L156,0)</f>
        <v>0</v>
      </c>
      <c r="N159" s="55">
        <f>IF(N109=3,O156,0)</f>
        <v>0</v>
      </c>
      <c r="P159" s="60">
        <f>IF(P109=3,O156,0)</f>
        <v>2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2</v>
      </c>
      <c r="W159" s="55">
        <f>IF(W109=3,X156,0)</f>
        <v>0</v>
      </c>
      <c r="Y159" s="60">
        <f>IF(Y109=3,X156,0)</f>
        <v>0</v>
      </c>
      <c r="Z159" s="55">
        <f>IF(Z109=3,AA156,0)</f>
        <v>2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8</v>
      </c>
      <c r="AW159" s="58"/>
    </row>
    <row r="160" spans="1:49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2</v>
      </c>
      <c r="N160" s="55">
        <f>IF(N109=4,O156,0)</f>
        <v>0</v>
      </c>
      <c r="P160" s="60">
        <f>IF(P109=4,O156,0)</f>
        <v>0</v>
      </c>
      <c r="Q160" s="55">
        <f>IF(Q109=4,R156,0)</f>
        <v>2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2</v>
      </c>
      <c r="AC160" s="55">
        <f>IF(AC109=4,AD156,0)</f>
        <v>0</v>
      </c>
      <c r="AE160" s="60">
        <f>IF(AE109=4,AD156,0)</f>
        <v>0</v>
      </c>
      <c r="AF160" s="55">
        <f>SUM(B160:AE160)</f>
        <v>8</v>
      </c>
      <c r="AW160" s="58"/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2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2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2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2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8</v>
      </c>
      <c r="AW161" s="58"/>
    </row>
    <row r="162" spans="1:54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BB162" s="130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Fort Mill 13 Green</v>
      </c>
      <c r="C164" s="67">
        <f>VLOOKUP(B164,AU$3:AY$12,3,FALSE)</f>
        <v>1728.1310461413079</v>
      </c>
      <c r="D164" s="67">
        <f>IF(B157,B172,IF(D157,D172,C164))</f>
        <v>1728.1310461413079</v>
      </c>
      <c r="E164" s="67"/>
      <c r="F164" s="67"/>
      <c r="G164" s="67">
        <f>IF(E157,E172,IF(G157,G172,D164))</f>
        <v>1750.8869405050541</v>
      </c>
      <c r="H164" s="67"/>
      <c r="I164" s="67"/>
      <c r="J164" s="67">
        <f>IF(H157,H172,IF(J157,J172,G164))</f>
        <v>1750.8869405050541</v>
      </c>
      <c r="K164" s="67"/>
      <c r="L164" s="67"/>
      <c r="M164" s="67">
        <f>IF(K157,K172,IF(M157,M172,J164))</f>
        <v>1750.8869405050541</v>
      </c>
      <c r="N164" s="67"/>
      <c r="O164" s="67"/>
      <c r="P164" s="67">
        <f>IF(N157,N172,IF(P157,P172,M164))</f>
        <v>1769.9132577009641</v>
      </c>
      <c r="Q164" s="67"/>
      <c r="R164" s="67"/>
      <c r="S164" s="67">
        <f>IF(Q157,Q172,IF(S157,S172,P164))</f>
        <v>1769.9132577009641</v>
      </c>
      <c r="T164" s="67"/>
      <c r="U164" s="67"/>
      <c r="V164" s="67">
        <f>IF(T157,T172,IF(V157,V172,S164))</f>
        <v>1769.9132577009641</v>
      </c>
      <c r="W164" s="67"/>
      <c r="X164" s="67"/>
      <c r="Y164" s="67">
        <f>IF(W157,W172,IF(Y157,Y172,V164))</f>
        <v>1790.4891677526093</v>
      </c>
      <c r="Z164" s="67"/>
      <c r="AA164" s="67"/>
      <c r="AB164" s="67">
        <f>IF(Z157,Z172,IF(AB157,AB172,Y164))</f>
        <v>1790.4891677526093</v>
      </c>
      <c r="AC164" s="67"/>
      <c r="AD164" s="67"/>
      <c r="AE164" s="67">
        <f>IF(AC157,AC172,IF(AE157,AE172,AB164))</f>
        <v>1814.1302494612644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Fort Mill 13 Green</v>
      </c>
      <c r="AU164" s="63">
        <f>AE164</f>
        <v>1814.1302494612644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Palm Strikers 13 Select</v>
      </c>
      <c r="C165" s="67">
        <f>VLOOKUP(B165,AU$3:AY$12,3,FALSE)</f>
        <v>1657.3872938785414</v>
      </c>
      <c r="D165" s="67">
        <f>IF(B158,B172,IF(D158,D172,C165))</f>
        <v>1684.1492776199398</v>
      </c>
      <c r="E165" s="67"/>
      <c r="F165" s="67"/>
      <c r="G165" s="67">
        <f>IF(E158,E172,IF(G158,G172,D165))</f>
        <v>1684.1492776199398</v>
      </c>
      <c r="H165" s="67"/>
      <c r="I165" s="67"/>
      <c r="J165" s="67">
        <f>IF(H158,H172,IF(J158,J172,G165))</f>
        <v>1684.1492776199398</v>
      </c>
      <c r="K165" s="67"/>
      <c r="L165" s="67"/>
      <c r="M165" s="67">
        <f>IF(K158,K172,IF(M158,M172,J165))</f>
        <v>1708.7268878094944</v>
      </c>
      <c r="N165" s="67"/>
      <c r="O165" s="67"/>
      <c r="P165" s="67">
        <f>IF(N158,N172,IF(P158,P172,M165))</f>
        <v>1708.7268878094944</v>
      </c>
      <c r="Q165" s="67"/>
      <c r="R165" s="67"/>
      <c r="S165" s="67">
        <f>IF(Q158,Q172,IF(S158,S172,P165))</f>
        <v>1708.7268878094944</v>
      </c>
      <c r="T165" s="67"/>
      <c r="U165" s="67"/>
      <c r="V165" s="67">
        <f>IF(T158,T172,IF(V158,V172,S165))</f>
        <v>1697.5802982906623</v>
      </c>
      <c r="W165" s="67"/>
      <c r="X165" s="67"/>
      <c r="Y165" s="67">
        <f>IF(W158,W172,IF(Y158,Y172,V165))</f>
        <v>1697.5802982906623</v>
      </c>
      <c r="Z165" s="67"/>
      <c r="AA165" s="67"/>
      <c r="AB165" s="67">
        <f>IF(Z158,Z172,IF(AB158,AB172,Y165))</f>
        <v>1697.5802982906623</v>
      </c>
      <c r="AC165" s="67"/>
      <c r="AD165" s="67"/>
      <c r="AE165" s="67">
        <f>IF(AC158,AC172,IF(AE158,AE172,AB165))</f>
        <v>1673.9392165820072</v>
      </c>
      <c r="AF165" s="4"/>
      <c r="AG165" s="4"/>
      <c r="AJ165" s="4"/>
      <c r="AL165" s="4"/>
      <c r="AM165" s="4"/>
      <c r="AN165" s="4"/>
      <c r="AO165" s="4"/>
      <c r="AT165" s="63" t="str">
        <f>B165</f>
        <v>Palm Strikers 13 Select</v>
      </c>
      <c r="AU165" s="63">
        <f>AE165</f>
        <v>1673.9392165820072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Sumter VBC 13</v>
      </c>
      <c r="C166" s="67">
        <f>VLOOKUP(B166,AU$3:AY$12,3,FALSE)</f>
        <v>1639.4730821157075</v>
      </c>
      <c r="D166" s="67">
        <f>IF(B159,B172,IF(D159,D172,C166))</f>
        <v>1639.4730821157075</v>
      </c>
      <c r="E166" s="67"/>
      <c r="F166" s="67"/>
      <c r="G166" s="67">
        <f>IF(E159,E172,IF(G159,G172,D166))</f>
        <v>1639.4730821157075</v>
      </c>
      <c r="H166" s="67"/>
      <c r="I166" s="67"/>
      <c r="J166" s="67">
        <f>IF(H159,H172,IF(J159,J172,G166))</f>
        <v>1601.4454526084687</v>
      </c>
      <c r="K166" s="67"/>
      <c r="L166" s="67"/>
      <c r="M166" s="67">
        <f>IF(K159,K172,IF(M159,M172,J166))</f>
        <v>1601.4454526084687</v>
      </c>
      <c r="N166" s="67"/>
      <c r="O166" s="67"/>
      <c r="P166" s="67">
        <f>IF(N159,N172,IF(P159,P172,M166))</f>
        <v>1582.4191354125587</v>
      </c>
      <c r="Q166" s="67"/>
      <c r="R166" s="67"/>
      <c r="S166" s="67">
        <f>IF(Q159,Q172,IF(S159,S172,P166))</f>
        <v>1582.4191354125587</v>
      </c>
      <c r="T166" s="67"/>
      <c r="U166" s="67"/>
      <c r="V166" s="67">
        <f>IF(T159,T172,IF(V159,V172,S166))</f>
        <v>1593.5657249313908</v>
      </c>
      <c r="W166" s="67"/>
      <c r="X166" s="67"/>
      <c r="Y166" s="67">
        <f>IF(W159,W172,IF(Y159,Y172,V166))</f>
        <v>1593.5657249313908</v>
      </c>
      <c r="Z166" s="67"/>
      <c r="AA166" s="67"/>
      <c r="AB166" s="67">
        <f>IF(Z159,Z172,IF(AB159,AB172,Y166))</f>
        <v>1621.4464196707468</v>
      </c>
      <c r="AC166" s="67"/>
      <c r="AD166" s="67"/>
      <c r="AE166" s="67">
        <f>IF(AC159,AC172,IF(AE159,AE172,AB166))</f>
        <v>1621.4464196707468</v>
      </c>
      <c r="AF166" s="4"/>
      <c r="AG166" s="4"/>
      <c r="AJ166" s="4"/>
      <c r="AL166" s="4"/>
      <c r="AM166" s="4"/>
      <c r="AN166" s="4"/>
      <c r="AO166" s="4"/>
      <c r="AT166" s="63" t="str">
        <f>B166</f>
        <v>Sumter VBC 13</v>
      </c>
      <c r="AU166" s="63">
        <f>AE166</f>
        <v>1621.4464196707468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Intense 13 Rock Hill</v>
      </c>
      <c r="C167" s="67">
        <f>VLOOKUP(B167,AU$3:AY$12,3,FALSE)</f>
        <v>1624.823853549269</v>
      </c>
      <c r="D167" s="67">
        <f>IF(B160,B172,IF(D160,D172,C167))</f>
        <v>1624.823853549269</v>
      </c>
      <c r="E167" s="67"/>
      <c r="F167" s="67"/>
      <c r="G167" s="67">
        <f>IF(E160,E172,IF(G160,G172,D167))</f>
        <v>1602.0679591855228</v>
      </c>
      <c r="H167" s="67"/>
      <c r="I167" s="67"/>
      <c r="J167" s="67">
        <f>IF(H160,H172,IF(J160,J172,G167))</f>
        <v>1602.0679591855228</v>
      </c>
      <c r="K167" s="67"/>
      <c r="L167" s="67"/>
      <c r="M167" s="67">
        <f>IF(K160,K172,IF(M160,M172,J167))</f>
        <v>1577.4903489959681</v>
      </c>
      <c r="N167" s="67"/>
      <c r="O167" s="67"/>
      <c r="P167" s="67">
        <f>IF(N160,N172,IF(P160,P172,M167))</f>
        <v>1577.4903489959681</v>
      </c>
      <c r="Q167" s="67"/>
      <c r="R167" s="67"/>
      <c r="S167" s="67">
        <f>IF(Q160,Q172,IF(S160,S172,P167))</f>
        <v>1548.5914062053582</v>
      </c>
      <c r="T167" s="67"/>
      <c r="U167" s="67"/>
      <c r="V167" s="67">
        <f>IF(T160,T172,IF(V160,V172,S167))</f>
        <v>1548.5914062053582</v>
      </c>
      <c r="W167" s="67"/>
      <c r="X167" s="67"/>
      <c r="Y167" s="67">
        <f>IF(W160,W172,IF(Y160,Y172,V167))</f>
        <v>1548.5914062053582</v>
      </c>
      <c r="Z167" s="67"/>
      <c r="AA167" s="67"/>
      <c r="AB167" s="67">
        <f>IF(Z160,Z172,IF(AB160,AB172,Y167))</f>
        <v>1520.7107114660023</v>
      </c>
      <c r="AC167" s="67"/>
      <c r="AD167" s="67"/>
      <c r="AE167" s="67">
        <f>IF(AC160,AC172,IF(AE160,AE172,AB167))</f>
        <v>1520.7107114660023</v>
      </c>
      <c r="AF167" s="4"/>
      <c r="AG167" s="4"/>
      <c r="AJ167" s="4"/>
      <c r="AL167" s="4"/>
      <c r="AM167" s="4"/>
      <c r="AN167" s="4"/>
      <c r="AO167" s="4"/>
      <c r="AT167" s="63" t="str">
        <f>B167</f>
        <v>Intense 13 Rock Hill</v>
      </c>
      <c r="AU167" s="63">
        <f>AE167</f>
        <v>1520.7107114660023</v>
      </c>
      <c r="AW167" s="66"/>
      <c r="BB167" s="66"/>
    </row>
    <row r="168" spans="1:54" s="63" customFormat="1" hidden="1" x14ac:dyDescent="0.2">
      <c r="A168" s="67">
        <v>5</v>
      </c>
      <c r="B168" s="67" t="str">
        <f>E101</f>
        <v>Kershaw 13 Black</v>
      </c>
      <c r="C168" s="67">
        <f>VLOOKUP(B168,AU$3:AY$12,3,FALSE)</f>
        <v>1600</v>
      </c>
      <c r="D168" s="67">
        <f>IF(B161,B172,IF(D161,D172,C168))</f>
        <v>1573.2380162586016</v>
      </c>
      <c r="E168" s="67"/>
      <c r="F168" s="67"/>
      <c r="G168" s="67">
        <f>IF(E161,E172,IF(G161,G172,D168))</f>
        <v>1573.2380162586016</v>
      </c>
      <c r="H168" s="67"/>
      <c r="I168" s="67"/>
      <c r="J168" s="67">
        <f>IF(H161,H172,IF(J161,J172,G168))</f>
        <v>1611.2656457658404</v>
      </c>
      <c r="K168" s="67"/>
      <c r="L168" s="67"/>
      <c r="M168" s="67">
        <f>IF(K161,K172,IF(M161,M172,J168))</f>
        <v>1611.2656457658404</v>
      </c>
      <c r="N168" s="67"/>
      <c r="O168" s="67"/>
      <c r="P168" s="67">
        <f>IF(N161,N172,IF(P161,P172,M168))</f>
        <v>1611.2656457658404</v>
      </c>
      <c r="Q168" s="67"/>
      <c r="R168" s="67"/>
      <c r="S168" s="67">
        <f>IF(Q161,Q172,IF(S161,S172,P168))</f>
        <v>1640.1645885564503</v>
      </c>
      <c r="T168" s="67"/>
      <c r="U168" s="67"/>
      <c r="V168" s="67">
        <f>IF(T161,T172,IF(V161,V172,S168))</f>
        <v>1640.1645885564503</v>
      </c>
      <c r="W168" s="67"/>
      <c r="X168" s="67"/>
      <c r="Y168" s="67">
        <f>IF(W161,W172,IF(Y161,Y172,V168))</f>
        <v>1619.5886785048051</v>
      </c>
      <c r="Z168" s="67"/>
      <c r="AA168" s="67"/>
      <c r="AB168" s="67">
        <f>IF(Z161,Z172,IF(AB161,AB172,Y168))</f>
        <v>1619.5886785048051</v>
      </c>
      <c r="AC168" s="67"/>
      <c r="AD168" s="67"/>
      <c r="AE168" s="67">
        <f>IF(AC161,AC172,IF(AE161,AE172,AB168))</f>
        <v>1619.5886785048051</v>
      </c>
      <c r="AF168" s="4"/>
      <c r="AG168" s="4"/>
      <c r="AJ168" s="4"/>
      <c r="AL168" s="4"/>
      <c r="AM168" s="4"/>
      <c r="AN168" s="4"/>
      <c r="AO168" s="4"/>
      <c r="AT168" s="63" t="str">
        <f>B168</f>
        <v>Kershaw 13 Black</v>
      </c>
      <c r="AU168" s="63">
        <f>AE168</f>
        <v>1619.5886785048051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1657.3872938785414</v>
      </c>
      <c r="C170" s="67">
        <v>1</v>
      </c>
      <c r="D170" s="67">
        <f>VLOOKUP(D109,$A164:$AE168,3,FALSE)</f>
        <v>1600</v>
      </c>
      <c r="E170" s="67">
        <f>VLOOKUP(E109,$A164:$AE168,4,FALSE)</f>
        <v>1728.1310461413079</v>
      </c>
      <c r="F170" s="67">
        <v>2</v>
      </c>
      <c r="G170" s="67">
        <f>VLOOKUP(G109,$A164:$AE168,4,FALSE)</f>
        <v>1624.823853549269</v>
      </c>
      <c r="H170" s="67">
        <f>VLOOKUP(H109,$A164:$AE168,7,FALSE)</f>
        <v>1639.4730821157075</v>
      </c>
      <c r="I170" s="67">
        <v>3</v>
      </c>
      <c r="J170" s="67">
        <f>VLOOKUP(J109,$A164:$AE168,7,FALSE)</f>
        <v>1573.2380162586016</v>
      </c>
      <c r="K170" s="67">
        <f>VLOOKUP(K109,$A164:$AE168,10,FALSE)</f>
        <v>1684.1492776199398</v>
      </c>
      <c r="L170" s="67">
        <v>4</v>
      </c>
      <c r="M170" s="67">
        <f>VLOOKUP(M109,$A164:$AE168,10,FALSE)</f>
        <v>1602.0679591855228</v>
      </c>
      <c r="N170" s="67">
        <f>VLOOKUP(N109,$A164:$AE168,13,FALSE)</f>
        <v>1750.8869405050541</v>
      </c>
      <c r="O170" s="67">
        <v>5</v>
      </c>
      <c r="P170" s="67">
        <f>VLOOKUP(P109,$A164:$AE168,13,FALSE)</f>
        <v>1601.4454526084687</v>
      </c>
      <c r="Q170" s="67">
        <f>VLOOKUP(Q109,$A164:$AE168,16,FALSE)</f>
        <v>1577.4903489959681</v>
      </c>
      <c r="R170" s="67">
        <v>6</v>
      </c>
      <c r="S170" s="67">
        <f>VLOOKUP(S109,$A164:$AE168,16,FALSE)</f>
        <v>1611.2656457658404</v>
      </c>
      <c r="T170" s="67">
        <f>VLOOKUP(T109,$A164:$AE168,19,FALSE)</f>
        <v>1708.7268878094944</v>
      </c>
      <c r="U170" s="67">
        <v>7</v>
      </c>
      <c r="V170" s="67">
        <f>VLOOKUP(V109,$A164:$AE168,19,FALSE)</f>
        <v>1582.4191354125587</v>
      </c>
      <c r="W170" s="67">
        <f>VLOOKUP(W109,$A164:$AE168,22,FALSE)</f>
        <v>1769.9132577009641</v>
      </c>
      <c r="X170" s="67">
        <v>8</v>
      </c>
      <c r="Y170" s="67">
        <f>VLOOKUP(Y109,$A164:$AE168,22,FALSE)</f>
        <v>1640.1645885564503</v>
      </c>
      <c r="Z170" s="67">
        <f>VLOOKUP(Z109,$A164:$AE168,25,FALSE)</f>
        <v>1593.5657249313908</v>
      </c>
      <c r="AA170" s="67">
        <v>9</v>
      </c>
      <c r="AB170" s="67">
        <f>VLOOKUP(AB109,$A164:$AE168,25,FALSE)</f>
        <v>1548.5914062053582</v>
      </c>
      <c r="AC170" s="67">
        <f>VLOOKUP(AC109,$A164:$AE168,28,FALSE)</f>
        <v>1790.4891677526093</v>
      </c>
      <c r="AD170" s="67">
        <v>10</v>
      </c>
      <c r="AE170" s="67">
        <f>VLOOKUP(AE109,$A164:$AE168,28,FALSE)</f>
        <v>1697.5802982906623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1.163688008081303</v>
      </c>
      <c r="C171" s="68"/>
      <c r="D171" s="68">
        <f>1/(1+(10^-((D170-B170)/400)))*(B121+D121)</f>
        <v>0.83631199191869698</v>
      </c>
      <c r="E171" s="68">
        <f>1/(1+(10^-((E170-G170)/400)))*(E121+G121)</f>
        <v>1.2888783011329312</v>
      </c>
      <c r="F171" s="68"/>
      <c r="G171" s="68">
        <f>1/(1+(10^-((G170-E170)/400)))*(E121+G121)</f>
        <v>0.71112169886706877</v>
      </c>
      <c r="H171" s="68">
        <f>1/(1+(10^-((H170-J170)/400)))*(H121+J121)</f>
        <v>1.1883634221012149</v>
      </c>
      <c r="I171" s="68"/>
      <c r="J171" s="68">
        <f>1/(1+(10^-((J170-H170)/400)))*(H121+J121)</f>
        <v>0.81163657789878507</v>
      </c>
      <c r="K171" s="68">
        <f>1/(1+(10^-((K170-M170)/400)))*(K121+M121)</f>
        <v>1.2319496815764146</v>
      </c>
      <c r="L171" s="68"/>
      <c r="M171" s="68">
        <f>1/(1+(10^-((M170-K170)/400)))*(K121+M121)</f>
        <v>0.76805031842358518</v>
      </c>
      <c r="N171" s="68">
        <f>1/(1+(10^-((N170-P170)/400)))*(N121+P121)</f>
        <v>1.4054275876278124</v>
      </c>
      <c r="O171" s="68"/>
      <c r="P171" s="68">
        <f>1/(1+(10^-((P170-N170)/400)))*(N121+P121)</f>
        <v>0.59457241237218761</v>
      </c>
      <c r="Q171" s="68">
        <f>1/(1+(10^-((Q170-S170)/400)))*(Q121+S121)</f>
        <v>0.90309196220656296</v>
      </c>
      <c r="R171" s="68"/>
      <c r="S171" s="68">
        <f>1/(1+(10^-((S170-Q170)/400)))*(Q121+S121)</f>
        <v>1.096908037793437</v>
      </c>
      <c r="T171" s="68">
        <f>1/(1+(10^-((T170-V170)/400)))*(T121+V121)</f>
        <v>1.3483309224635034</v>
      </c>
      <c r="U171" s="68"/>
      <c r="V171" s="68">
        <f>1/(1+(10^-((V170-T170)/400)))*(T121+V121)</f>
        <v>0.65166907753649661</v>
      </c>
      <c r="W171" s="68">
        <f>1/(1+(10^-((W170-Y170)/400)))*(W121+Y121)</f>
        <v>1.3570028108860832</v>
      </c>
      <c r="X171" s="68"/>
      <c r="Y171" s="68">
        <f>1/(1+(10^-((Y170-W170)/400)))*(W121+Y121)</f>
        <v>0.64299718911391679</v>
      </c>
      <c r="Z171" s="68">
        <f>1/(1+(10^-((Z170-AB170)/400)))*(Z121+AB121)</f>
        <v>1.1287282893951294</v>
      </c>
      <c r="AA171" s="68"/>
      <c r="AB171" s="68">
        <f>1/(1+(10^-((AB170-Z170)/400)))*(Z121+AB121)</f>
        <v>0.87127171060487063</v>
      </c>
      <c r="AC171" s="68">
        <f>1/(1+(10^-((AC170-AE170)/400)))*(AC121+AE121)</f>
        <v>1.2612161966045314</v>
      </c>
      <c r="AD171" s="68"/>
      <c r="AE171" s="68">
        <f>1/(1+(10^-((AE170-AC170)/400)))*(AC121+AE121)</f>
        <v>0.73878380339546856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1684.1492776199398</v>
      </c>
      <c r="C172" s="74"/>
      <c r="D172" s="74">
        <f>D170+(D121-D171)*$BA$1</f>
        <v>1573.2380162586016</v>
      </c>
      <c r="E172" s="74">
        <f>E170+(E121-E171)*$BA$1</f>
        <v>1750.8869405050541</v>
      </c>
      <c r="F172" s="74"/>
      <c r="G172" s="74">
        <f>G170+(G121-G171)*$BA$1</f>
        <v>1602.0679591855228</v>
      </c>
      <c r="H172" s="74">
        <f>H170+(H121-H171)*$BA$1</f>
        <v>1601.4454526084687</v>
      </c>
      <c r="I172" s="74"/>
      <c r="J172" s="74">
        <f>J170+(J121-J171)*$BA$1</f>
        <v>1611.2656457658404</v>
      </c>
      <c r="K172" s="74">
        <f>K170+(K121-K171)*$BA$1</f>
        <v>1708.7268878094944</v>
      </c>
      <c r="L172" s="74"/>
      <c r="M172" s="74">
        <f>M170+(M121-M171)*$BA$1</f>
        <v>1577.4903489959681</v>
      </c>
      <c r="N172" s="74">
        <f>N170+(N121-N171)*$BA$1</f>
        <v>1769.9132577009641</v>
      </c>
      <c r="O172" s="74"/>
      <c r="P172" s="74">
        <f>P170+(P121-P171)*$BA$1</f>
        <v>1582.4191354125587</v>
      </c>
      <c r="Q172" s="74">
        <f>Q170+(Q121-Q171)*$BA$1</f>
        <v>1548.5914062053582</v>
      </c>
      <c r="R172" s="74"/>
      <c r="S172" s="74">
        <f>S170+(S121-S171)*$BA$1</f>
        <v>1640.1645885564503</v>
      </c>
      <c r="T172" s="74">
        <f>T170+(T121-T171)*$BA$1</f>
        <v>1697.5802982906623</v>
      </c>
      <c r="U172" s="74"/>
      <c r="V172" s="74">
        <f>V170+(V121-V171)*$BA$1</f>
        <v>1593.5657249313908</v>
      </c>
      <c r="W172" s="74">
        <f>W170+(W121-W171)*$BA$1</f>
        <v>1790.4891677526093</v>
      </c>
      <c r="X172" s="74"/>
      <c r="Y172" s="74">
        <f>Y170+(Y121-Y171)*$BA$1</f>
        <v>1619.5886785048051</v>
      </c>
      <c r="Z172" s="74">
        <f>Z170+(Z121-Z171)*$BA$1</f>
        <v>1621.4464196707468</v>
      </c>
      <c r="AA172" s="74"/>
      <c r="AB172" s="74">
        <f>AB170+(AB121-AB171)*$BA$1</f>
        <v>1520.7107114660023</v>
      </c>
      <c r="AC172" s="74">
        <f>AC170+(AC121-AC171)*$BA$1</f>
        <v>1814.1302494612644</v>
      </c>
      <c r="AD172" s="74"/>
      <c r="AE172" s="74">
        <f>AE170+(AE121-AE171)*$BA$1</f>
        <v>1673.9392165820072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  <c r="AW174" s="66"/>
    </row>
    <row r="175" spans="1:54" s="63" customFormat="1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W175" s="66"/>
    </row>
    <row r="176" spans="1:54" ht="21" thickBot="1" x14ac:dyDescent="0.35">
      <c r="A176" s="345" t="s">
        <v>120</v>
      </c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</row>
    <row r="177" spans="1:53" ht="13.5" thickBot="1" x14ac:dyDescent="0.25">
      <c r="A177" s="346" t="s">
        <v>121</v>
      </c>
      <c r="B177" s="348" t="s">
        <v>122</v>
      </c>
      <c r="C177" s="349"/>
      <c r="D177" s="349"/>
      <c r="E177" s="349"/>
      <c r="F177" s="349"/>
      <c r="G177" s="349"/>
      <c r="H177" s="349"/>
      <c r="I177" s="349"/>
      <c r="J177" s="349"/>
      <c r="K177" s="350"/>
      <c r="L177" s="348" t="s">
        <v>123</v>
      </c>
      <c r="M177" s="349"/>
      <c r="N177" s="349"/>
      <c r="O177" s="349"/>
      <c r="P177" s="349"/>
      <c r="Q177" s="349"/>
      <c r="R177" s="349"/>
      <c r="S177" s="349"/>
      <c r="T177" s="349"/>
      <c r="U177" s="350"/>
      <c r="V177" s="348" t="s">
        <v>124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348" t="s">
        <v>125</v>
      </c>
      <c r="AG177" s="349"/>
      <c r="AH177" s="349"/>
      <c r="AI177" s="349"/>
      <c r="AJ177" s="349"/>
      <c r="AK177" s="349"/>
      <c r="AL177" s="349"/>
      <c r="AM177" s="349"/>
      <c r="AN177" s="349"/>
      <c r="AO177" s="350"/>
    </row>
    <row r="178" spans="1:53" ht="13.5" thickBot="1" x14ac:dyDescent="0.25">
      <c r="A178" s="347"/>
      <c r="B178" s="354" t="s">
        <v>10</v>
      </c>
      <c r="C178" s="355"/>
      <c r="D178" s="355"/>
      <c r="E178" s="355"/>
      <c r="F178" s="355"/>
      <c r="G178" s="356"/>
      <c r="H178" s="354" t="s">
        <v>126</v>
      </c>
      <c r="I178" s="355"/>
      <c r="J178" s="355"/>
      <c r="K178" s="356"/>
      <c r="L178" s="354" t="s">
        <v>10</v>
      </c>
      <c r="M178" s="355"/>
      <c r="N178" s="355"/>
      <c r="O178" s="355"/>
      <c r="P178" s="355"/>
      <c r="Q178" s="356"/>
      <c r="R178" s="354" t="s">
        <v>126</v>
      </c>
      <c r="S178" s="355"/>
      <c r="T178" s="355"/>
      <c r="U178" s="356"/>
      <c r="V178" s="354" t="s">
        <v>10</v>
      </c>
      <c r="W178" s="355"/>
      <c r="X178" s="355"/>
      <c r="Y178" s="355"/>
      <c r="Z178" s="355"/>
      <c r="AA178" s="356"/>
      <c r="AB178" s="354" t="s">
        <v>126</v>
      </c>
      <c r="AC178" s="355"/>
      <c r="AD178" s="355"/>
      <c r="AE178" s="356"/>
      <c r="AF178" s="354" t="s">
        <v>10</v>
      </c>
      <c r="AG178" s="355"/>
      <c r="AH178" s="355"/>
      <c r="AI178" s="355"/>
      <c r="AJ178" s="355"/>
      <c r="AK178" s="356"/>
      <c r="AL178" s="354" t="s">
        <v>126</v>
      </c>
      <c r="AM178" s="355"/>
      <c r="AN178" s="355"/>
      <c r="AO178" s="356"/>
    </row>
    <row r="179" spans="1:53" x14ac:dyDescent="0.2">
      <c r="A179" s="82" t="s">
        <v>127</v>
      </c>
      <c r="B179" s="412" t="str">
        <f>IF($AF$8=1,$E$8,IF($AF$10=1,$E$10,IF($AF$12=1,$E$12,IF($AF$14=1,$E$14,IF($AF$16=1,$E$16,"1st Place "&amp;$A179)))))</f>
        <v>Fort Mill 13 Purple</v>
      </c>
      <c r="C179" s="413"/>
      <c r="D179" s="413"/>
      <c r="E179" s="413"/>
      <c r="F179" s="413"/>
      <c r="G179" s="413"/>
      <c r="H179" s="414" t="str">
        <f>IF($AF$8=1,$E$9,IF($AF$10=1,$E$11,IF($AF$12=1,$E$13,IF($AF$14=1,$E$15,IF($AF$16=1,$E$17,"1st Place "&amp;$A179)))))</f>
        <v>fj3fortm1pm</v>
      </c>
      <c r="I179" s="414"/>
      <c r="J179" s="414"/>
      <c r="K179" s="415"/>
      <c r="L179" s="412" t="str">
        <f>IF($AF$8=2,$E$8,IF($AF$10=2,$E$10,IF($AF$12=2,$E$12,IF($AF$14=2,$E$14,IF($AF$16=2,$E$16,"2nd Place "&amp;$A179)))))</f>
        <v>SCWE13WINGS</v>
      </c>
      <c r="M179" s="413"/>
      <c r="N179" s="413"/>
      <c r="O179" s="413"/>
      <c r="P179" s="413"/>
      <c r="Q179" s="413"/>
      <c r="R179" s="414" t="str">
        <f>IF($AF$8=2,$E$9,IF($AF$10=2,$E$11,IF($AF$12=2,$E$13,IF($AF$14=2,$E$15,IF($AF$16=2,$E$17,"2nd Place "&amp;$A179)))))</f>
        <v>fj3scwea1pm</v>
      </c>
      <c r="S179" s="414"/>
      <c r="T179" s="414"/>
      <c r="U179" s="415"/>
      <c r="V179" s="412" t="str">
        <f>IF($AF$8=3,$E$8,IF($AF$10=3,$E$10,IF($AF$12=3,$E$12,IF($AF$14=3,$E$14,IF($AF$16=3,$E$16,"3rd Place "&amp;$A179)))))</f>
        <v>SC Midlands 13 Black</v>
      </c>
      <c r="W179" s="413"/>
      <c r="X179" s="413"/>
      <c r="Y179" s="413"/>
      <c r="Z179" s="413"/>
      <c r="AA179" s="413"/>
      <c r="AB179" s="414" t="str">
        <f>IF($AF$8=3,$E$9,IF($AF$10=3,$E$11,IF($AF$12=3,$E$13,IF($AF$14=3,$E$15,IF($AF$16=3,$E$17,"3rd Place "&amp;$A179)))))</f>
        <v>fj3scmid2pm</v>
      </c>
      <c r="AC179" s="414"/>
      <c r="AD179" s="414"/>
      <c r="AE179" s="415"/>
      <c r="AF179" s="412" t="str">
        <f>IF($AF$8=4,$E$8,IF($AF$10=4,$E$10,IF($AF$12=4,$E$12,IF($AF$14=4,$E$14,IF($AF$16=4,$E$16,"4th Place "&amp;$A179)))))</f>
        <v>Chas Jrs 13 Blue</v>
      </c>
      <c r="AG179" s="413"/>
      <c r="AH179" s="413"/>
      <c r="AI179" s="413"/>
      <c r="AJ179" s="413"/>
      <c r="AK179" s="413"/>
      <c r="AL179" s="414" t="str">
        <f>IF($AF$8=4,$E$9,IF($AF$10=4,$E$11,IF($AF$12=4,$E$13,IF($AF$14=4,$E$15,IF($AF$16=4,$E$17,"4th Place "&amp;$A179)))))</f>
        <v>fj3charl2pm</v>
      </c>
      <c r="AM179" s="414"/>
      <c r="AN179" s="414"/>
      <c r="AO179" s="415"/>
    </row>
    <row r="180" spans="1:53" ht="13.5" thickBot="1" x14ac:dyDescent="0.25">
      <c r="A180" s="83" t="s">
        <v>128</v>
      </c>
      <c r="B180" s="416" t="str">
        <f>IF($AF$93=1,$E$93,IF($AF$95=1,$E$95,IF($AF$97=1,$E$97,IF($AF$99=1,$E$99,IF($AF$101=1,$E$101,"1st Place "&amp;$A180)))))</f>
        <v>Fort Mill 13 Green</v>
      </c>
      <c r="C180" s="417"/>
      <c r="D180" s="417"/>
      <c r="E180" s="417"/>
      <c r="F180" s="417"/>
      <c r="G180" s="417"/>
      <c r="H180" s="418" t="str">
        <f>IF($AF$93=1,$E$94,IF($AF$95=1,$E$96,IF($AF$97=1,$E$98,IF($AF$99=1,$E$100,IF($AF$101=1,$E$102,"1st Place "&amp;$A180)))))</f>
        <v>fj3fortm2pm</v>
      </c>
      <c r="I180" s="418"/>
      <c r="J180" s="418"/>
      <c r="K180" s="419"/>
      <c r="L180" s="416" t="str">
        <f>IF($AF$93=2,$E$93,IF($AF$95=2,$E$95,IF($AF$97=2,$E$97,IF($AF$99=2,$E$99,IF($AF$101=2,$E$101,"2nd Place "&amp;$A180)))))</f>
        <v>Palm Strikers 13 Select</v>
      </c>
      <c r="M180" s="417"/>
      <c r="N180" s="417"/>
      <c r="O180" s="417"/>
      <c r="P180" s="417"/>
      <c r="Q180" s="417"/>
      <c r="R180" s="418" t="str">
        <f>IF($AF$93=2,$E$94,IF($AF$95=2,$E$96,IF($AF$97=2,$E$98,IF($AF$99=2,$E$100,IF($AF$101=2,$E$102,"2nd Place "&amp;$A180)))))</f>
        <v>fj3pstri3pm</v>
      </c>
      <c r="S180" s="418"/>
      <c r="T180" s="418"/>
      <c r="U180" s="419"/>
      <c r="V180" s="416" t="str">
        <f>IF($AF$93=3,$E$93,IF($AF$95=3,$E$95,IF($AF$97=3,$E$97,IF($AF$99=3,$E$99,IF($AF$101=3,$E$101,"3rd Place "&amp;$A180)))))</f>
        <v>Kershaw 13 Black</v>
      </c>
      <c r="W180" s="417"/>
      <c r="X180" s="417"/>
      <c r="Y180" s="417"/>
      <c r="Z180" s="417"/>
      <c r="AA180" s="417"/>
      <c r="AB180" s="418" t="str">
        <f>IF($AF$93=3,$E$94,IF($AF$95=3,$E$96,IF($AF$97=3,$E$98,IF($AF$99=3,$E$100,IF($AF$101=3,$E$102,"3rd Place "&amp;$A180)))))</f>
        <v>fj3kersh1pm</v>
      </c>
      <c r="AC180" s="418"/>
      <c r="AD180" s="418"/>
      <c r="AE180" s="419"/>
      <c r="AF180" s="416" t="str">
        <f>IF($AF$93=4,$E$93,IF($AF$95=4,$E$95,IF($AF$97=4,$E$97,IF($AF$99=4,$E$99,IF($AF$101=4,$E$101,"4th Place "&amp;$A180)))))</f>
        <v>Sumter VBC 13</v>
      </c>
      <c r="AG180" s="417"/>
      <c r="AH180" s="417"/>
      <c r="AI180" s="417"/>
      <c r="AJ180" s="417"/>
      <c r="AK180" s="417"/>
      <c r="AL180" s="418" t="str">
        <f>IF($AF$93=4,$E$94,IF($AF$95=4,$E$96,IF($AF$97=4,$E$98,IF($AF$99=4,$E$100,IF($AF$101=4,$E$102,"4th Place "&amp;$A180)))))</f>
        <v>fj3sumtr1pm</v>
      </c>
      <c r="AM180" s="418"/>
      <c r="AN180" s="418"/>
      <c r="AO180" s="41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W181" s="130"/>
      <c r="AX181" s="4"/>
      <c r="AY181" s="4"/>
      <c r="AZ181" s="4"/>
      <c r="BA181" s="4"/>
    </row>
    <row r="182" spans="1:53" ht="15.75" x14ac:dyDescent="0.25">
      <c r="A182" s="426" t="s">
        <v>129</v>
      </c>
      <c r="B182" s="426"/>
      <c r="C182" s="426"/>
      <c r="D182" s="426"/>
      <c r="E182" s="426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T182" s="86"/>
      <c r="AU182" s="86"/>
      <c r="AV182" s="86"/>
    </row>
    <row r="183" spans="1:53" ht="14.25" x14ac:dyDescent="0.2">
      <c r="A183" s="427" t="s">
        <v>130</v>
      </c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</row>
    <row r="184" spans="1:53" x14ac:dyDescent="0.2">
      <c r="A184" s="428" t="s">
        <v>131</v>
      </c>
      <c r="B184" s="428"/>
      <c r="C184" s="428"/>
      <c r="D184" s="428"/>
      <c r="E184" s="428"/>
      <c r="F184" s="428"/>
      <c r="G184" s="428"/>
      <c r="H184" s="428"/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53" x14ac:dyDescent="0.2">
      <c r="A185" s="428"/>
      <c r="B185" s="428"/>
      <c r="C185" s="428"/>
      <c r="D185" s="428"/>
      <c r="E185" s="428"/>
      <c r="F185" s="428"/>
      <c r="G185" s="428"/>
      <c r="H185" s="428"/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53" x14ac:dyDescent="0.2">
      <c r="A186" s="429" t="s">
        <v>132</v>
      </c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330" t="s">
        <v>133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130"/>
      <c r="R188" s="330" t="s">
        <v>134</v>
      </c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</row>
    <row r="190" spans="1:53" ht="13.5" thickBot="1" x14ac:dyDescent="0.25">
      <c r="A190" s="420" t="str">
        <f>IF(B218=1,B210,IF(B218=2,B211,IF(B218=3,B212,IF(B218=4,B213,IF(OR(B218="B",B218="b"),"BYE","invalid")))))</f>
        <v>Fort Mill 13 Purple</v>
      </c>
      <c r="B190" s="420"/>
      <c r="C190" s="420"/>
      <c r="D190" s="420"/>
      <c r="E190" s="420"/>
      <c r="F190" s="88"/>
      <c r="G190" s="88"/>
      <c r="H190" s="88"/>
      <c r="I190" s="88"/>
      <c r="J190" s="88"/>
      <c r="K190" s="88"/>
      <c r="L190" s="88"/>
      <c r="M190" s="88"/>
      <c r="N190" s="88"/>
      <c r="S190" s="131"/>
      <c r="T190" s="131"/>
      <c r="U190" s="420" t="str">
        <f>IF(W218=1,X210,IF(W218=2,X211,IF(W218=3,X212,IF(W218=4,X213,IF(OR(W218="B",W218="b"),"BYE","invalid")))))</f>
        <v>SC Midlands 13 Black</v>
      </c>
      <c r="V190" s="420"/>
      <c r="W190" s="420"/>
      <c r="X190" s="420"/>
      <c r="Y190" s="420"/>
      <c r="Z190" s="420"/>
      <c r="AA190" s="420"/>
      <c r="AB190" s="88"/>
      <c r="AC190" s="88"/>
      <c r="AD190" s="88"/>
      <c r="AE190" s="88"/>
    </row>
    <row r="191" spans="1:53" x14ac:dyDescent="0.2">
      <c r="A191" s="421" t="s">
        <v>135</v>
      </c>
      <c r="B191" s="421"/>
      <c r="C191" s="421"/>
      <c r="D191" s="421"/>
      <c r="E191" s="421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422" t="s">
        <v>136</v>
      </c>
      <c r="V191" s="422"/>
      <c r="W191" s="422"/>
      <c r="X191" s="422"/>
      <c r="Y191" s="422"/>
      <c r="Z191" s="422"/>
      <c r="AA191" s="423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422" t="str">
        <f>B212&amp;" ref"</f>
        <v>SCWE13WINGS ref</v>
      </c>
      <c r="B193" s="422"/>
      <c r="C193" s="422"/>
      <c r="D193" s="422"/>
      <c r="E193" s="423"/>
      <c r="F193" s="424" t="str">
        <f>IF(H218=1,B210,IF(H218=2,B211,IF(H218=3,B212,IF(H218=4,B213,"Winner Match 1"))))</f>
        <v>Fort Mill 13 Purple</v>
      </c>
      <c r="G193" s="425"/>
      <c r="H193" s="425"/>
      <c r="I193" s="425"/>
      <c r="J193" s="425"/>
      <c r="K193" s="425"/>
      <c r="L193" s="425"/>
      <c r="M193" s="425"/>
      <c r="N193" s="88"/>
      <c r="P193" s="93"/>
      <c r="Q193" s="93"/>
      <c r="R193" s="93"/>
      <c r="S193" s="93"/>
      <c r="T193" s="422" t="str">
        <f>X212&amp;" ref"</f>
        <v>Chas Jrs 13 Blue ref</v>
      </c>
      <c r="U193" s="422"/>
      <c r="V193" s="422"/>
      <c r="W193" s="422"/>
      <c r="X193" s="422"/>
      <c r="Y193" s="422"/>
      <c r="Z193" s="422"/>
      <c r="AA193" s="423"/>
      <c r="AB193" s="424" t="str">
        <f>IF(AC218=1,X210,IF(AC218=2,X211,IF(AC218=3,X212,IF(AC218=4,X213,"Winner Match 1"))))</f>
        <v>SC Midlands 13 Black</v>
      </c>
      <c r="AC193" s="425"/>
      <c r="AD193" s="425"/>
      <c r="AE193" s="425"/>
      <c r="AF193" s="425"/>
      <c r="AG193" s="425"/>
      <c r="AH193" s="425"/>
    </row>
    <row r="194" spans="1:53" x14ac:dyDescent="0.2">
      <c r="A194" s="434" t="s">
        <v>137</v>
      </c>
      <c r="B194" s="434"/>
      <c r="C194" s="434"/>
      <c r="D194" s="434"/>
      <c r="E194" s="434"/>
      <c r="F194" s="435"/>
      <c r="G194" s="436"/>
      <c r="H194" s="436"/>
      <c r="I194" s="437"/>
      <c r="J194" s="438"/>
      <c r="K194" s="439"/>
      <c r="L194" s="439"/>
      <c r="M194" s="439"/>
      <c r="N194" s="88"/>
      <c r="O194" s="88"/>
      <c r="P194" s="94"/>
      <c r="Q194" s="6"/>
      <c r="R194" s="95"/>
      <c r="S194" s="95"/>
      <c r="T194" s="440" t="s">
        <v>138</v>
      </c>
      <c r="U194" s="440"/>
      <c r="V194" s="440"/>
      <c r="W194" s="440"/>
      <c r="X194" s="440"/>
      <c r="Y194" s="440"/>
      <c r="Z194" s="440"/>
      <c r="AA194" s="92"/>
      <c r="AB194" s="435"/>
      <c r="AC194" s="436"/>
      <c r="AD194" s="436"/>
      <c r="AE194" s="437"/>
      <c r="AF194" s="438"/>
      <c r="AG194" s="439"/>
      <c r="AH194" s="439"/>
    </row>
    <row r="195" spans="1:53" ht="13.5" thickBot="1" x14ac:dyDescent="0.25">
      <c r="A195" s="420" t="str">
        <f>IF(D218=1,B210,IF(D218=2,B211,IF(D218=3,B212,IF(D218=4,B213,IF(OR(D218="B",D218="b"),"BYE","invalid")))))</f>
        <v>Palm Strikers 13 Select</v>
      </c>
      <c r="B195" s="420"/>
      <c r="C195" s="420"/>
      <c r="D195" s="420"/>
      <c r="E195" s="430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420" t="str">
        <f>IF(Y218=1,X210,IF(Y218=2,X211,IF(Y218=3,X212,IF(Y218=4,X213,IF(OR(Y218="B",Y218="b"),"BYE","invalid")))))</f>
        <v>Sumter VBC 13</v>
      </c>
      <c r="V195" s="420"/>
      <c r="W195" s="420"/>
      <c r="X195" s="420"/>
      <c r="Y195" s="420"/>
      <c r="Z195" s="420"/>
      <c r="AA195" s="430"/>
      <c r="AB195" s="88"/>
      <c r="AC195" s="88"/>
      <c r="AD195" s="88"/>
      <c r="AE195" s="92"/>
      <c r="AF195" s="88"/>
      <c r="AG195" s="88"/>
    </row>
    <row r="196" spans="1:53" x14ac:dyDescent="0.2">
      <c r="A196" s="421" t="s">
        <v>139</v>
      </c>
      <c r="B196" s="421"/>
      <c r="C196" s="421"/>
      <c r="D196" s="421"/>
      <c r="E196" s="421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431" t="s">
        <v>140</v>
      </c>
      <c r="V196" s="431"/>
      <c r="W196" s="431"/>
      <c r="X196" s="431"/>
      <c r="Y196" s="431"/>
      <c r="Z196" s="431"/>
      <c r="AA196" s="431"/>
      <c r="AB196" s="88"/>
      <c r="AC196" s="88"/>
      <c r="AD196" s="88"/>
      <c r="AE196" s="92"/>
      <c r="AF196" s="88"/>
      <c r="AG196" s="88"/>
      <c r="AQ196" s="96"/>
      <c r="AR196" s="96"/>
      <c r="AS196" s="96"/>
    </row>
    <row r="197" spans="1:53" x14ac:dyDescent="0.2">
      <c r="A197" s="88"/>
      <c r="B197" s="88"/>
      <c r="C197" s="88"/>
      <c r="D197" s="88"/>
      <c r="E197" s="88"/>
      <c r="F197" s="432" t="s">
        <v>141</v>
      </c>
      <c r="G197" s="432"/>
      <c r="H197" s="432"/>
      <c r="I197" s="433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432" t="s">
        <v>141</v>
      </c>
      <c r="AC197" s="432"/>
      <c r="AD197" s="432"/>
      <c r="AE197" s="433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445" t="str">
        <f>IF(K223=1,B210,IF(K223=2,B211,IF(K223=3,B212,IF(K223=4,B213,"Division Winner"))))</f>
        <v>Fort Mill 13 Purple</v>
      </c>
      <c r="K198" s="446"/>
      <c r="L198" s="446"/>
      <c r="M198" s="446"/>
      <c r="N198" s="446"/>
      <c r="O198" s="446"/>
      <c r="P198" s="446"/>
      <c r="Q198" s="131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446" t="str">
        <f>IF(AF223=1,X210,IF(AF223=2,X211,IF(AF223=3,X212,IF(AF223=4,X213,"Division Winner"))))</f>
        <v>Chas Jrs 13 Blue</v>
      </c>
      <c r="AG198" s="446"/>
      <c r="AH198" s="446"/>
      <c r="AI198" s="446"/>
      <c r="AJ198" s="446"/>
      <c r="AK198" s="98"/>
    </row>
    <row r="199" spans="1:53" ht="13.5" thickBot="1" x14ac:dyDescent="0.25">
      <c r="A199" s="420" t="str">
        <f>IF(E218=1,B210,IF(E218=2,B211,IF(E218=3,B212,IF(E218=4,B213,IF(OR(E218="B",E218="b"),"BYE","invalid")))))</f>
        <v>Fort Mill 13 Green</v>
      </c>
      <c r="B199" s="420"/>
      <c r="C199" s="420"/>
      <c r="D199" s="420"/>
      <c r="E199" s="420"/>
      <c r="F199" s="434" t="s">
        <v>142</v>
      </c>
      <c r="G199" s="434"/>
      <c r="H199" s="434"/>
      <c r="I199" s="434"/>
      <c r="J199" s="441" t="s">
        <v>143</v>
      </c>
      <c r="K199" s="432"/>
      <c r="L199" s="432"/>
      <c r="M199" s="432"/>
      <c r="N199" s="432"/>
      <c r="O199" s="432"/>
      <c r="P199" s="432"/>
      <c r="R199" s="98"/>
      <c r="S199" s="98"/>
      <c r="T199" s="98"/>
      <c r="U199" s="420" t="str">
        <f>IF(Z218=1,X210,IF(Z218=2,X211,IF(Z218=3,X212,IF(Z218=4,X213,IF(OR(Z218="B",Z218="b"),"BYE","invalid")))))</f>
        <v>Kershaw 13 Black</v>
      </c>
      <c r="V199" s="420"/>
      <c r="W199" s="420"/>
      <c r="X199" s="420"/>
      <c r="Y199" s="420"/>
      <c r="Z199" s="420"/>
      <c r="AA199" s="420"/>
      <c r="AB199" s="434" t="s">
        <v>144</v>
      </c>
      <c r="AC199" s="434"/>
      <c r="AD199" s="434"/>
      <c r="AE199" s="447"/>
      <c r="AF199" s="448" t="s">
        <v>145</v>
      </c>
      <c r="AG199" s="449"/>
      <c r="AH199" s="449"/>
      <c r="AI199" s="449"/>
      <c r="AJ199" s="449"/>
    </row>
    <row r="200" spans="1:53" x14ac:dyDescent="0.2">
      <c r="A200" s="421" t="s">
        <v>146</v>
      </c>
      <c r="B200" s="421"/>
      <c r="C200" s="421"/>
      <c r="D200" s="421"/>
      <c r="E200" s="421"/>
      <c r="F200" s="90"/>
      <c r="G200" s="88"/>
      <c r="H200" s="88"/>
      <c r="I200" s="88"/>
      <c r="J200" s="441"/>
      <c r="K200" s="432"/>
      <c r="L200" s="432"/>
      <c r="M200" s="432"/>
      <c r="N200" s="432"/>
      <c r="O200" s="432"/>
      <c r="P200" s="432"/>
      <c r="Q200" s="88"/>
      <c r="R200" s="96"/>
      <c r="S200" s="96"/>
      <c r="T200" s="96"/>
      <c r="U200" s="422" t="s">
        <v>147</v>
      </c>
      <c r="V200" s="422"/>
      <c r="W200" s="422"/>
      <c r="X200" s="422"/>
      <c r="Y200" s="422"/>
      <c r="Z200" s="422"/>
      <c r="AA200" s="423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W201" s="58"/>
      <c r="AX201" s="55"/>
      <c r="AY201" s="55"/>
      <c r="AZ201" s="55"/>
      <c r="BA201" s="55"/>
    </row>
    <row r="202" spans="1:53" ht="13.5" thickBot="1" x14ac:dyDescent="0.25">
      <c r="A202" s="432" t="s">
        <v>148</v>
      </c>
      <c r="B202" s="432"/>
      <c r="C202" s="432"/>
      <c r="D202" s="432"/>
      <c r="E202" s="94"/>
      <c r="F202" s="442"/>
      <c r="G202" s="443"/>
      <c r="H202" s="443"/>
      <c r="I202" s="444"/>
      <c r="J202" s="438"/>
      <c r="K202" s="439"/>
      <c r="L202" s="439"/>
      <c r="M202" s="439"/>
      <c r="N202" s="88"/>
      <c r="Q202" s="93"/>
      <c r="R202" s="93"/>
      <c r="S202" s="93"/>
      <c r="T202" s="432" t="s">
        <v>148</v>
      </c>
      <c r="U202" s="432"/>
      <c r="V202" s="432"/>
      <c r="W202" s="432"/>
      <c r="X202" s="432"/>
      <c r="Y202" s="432"/>
      <c r="Z202" s="432"/>
      <c r="AA202" s="88"/>
      <c r="AB202" s="442"/>
      <c r="AC202" s="443"/>
      <c r="AD202" s="443"/>
      <c r="AE202" s="444"/>
      <c r="AF202" s="438"/>
      <c r="AG202" s="439"/>
      <c r="AH202" s="439"/>
      <c r="AW202" s="58"/>
      <c r="AX202" s="55"/>
      <c r="AY202" s="55"/>
      <c r="AZ202" s="55"/>
      <c r="BA202" s="55"/>
    </row>
    <row r="203" spans="1:53" x14ac:dyDescent="0.2">
      <c r="A203" s="434" t="s">
        <v>137</v>
      </c>
      <c r="B203" s="434"/>
      <c r="C203" s="434"/>
      <c r="D203" s="434"/>
      <c r="E203" s="447"/>
      <c r="F203" s="424" t="str">
        <f>IF(J218=1,B210,IF(J218=2,B211,IF(J218=3,B212,IF(J218=4,B213,"Winner Match 2"))))</f>
        <v>Fort Mill 13 Green</v>
      </c>
      <c r="G203" s="425"/>
      <c r="H203" s="425"/>
      <c r="I203" s="425"/>
      <c r="J203" s="425"/>
      <c r="K203" s="425"/>
      <c r="L203" s="425"/>
      <c r="M203" s="425"/>
      <c r="N203" s="88"/>
      <c r="P203" s="94"/>
      <c r="Q203" s="94"/>
      <c r="S203" s="95"/>
      <c r="T203" s="434" t="s">
        <v>138</v>
      </c>
      <c r="U203" s="434"/>
      <c r="V203" s="434"/>
      <c r="W203" s="434"/>
      <c r="X203" s="434"/>
      <c r="Y203" s="434"/>
      <c r="Z203" s="434"/>
      <c r="AA203" s="92"/>
      <c r="AB203" s="424" t="str">
        <f>IF(AE218=1,X210,IF(AE218=2,X211,IF(AE218=3,X212,IF(AE218=4,X213,"Winner Match 2"))))</f>
        <v>Chas Jrs 13 Blue</v>
      </c>
      <c r="AC203" s="425"/>
      <c r="AD203" s="425"/>
      <c r="AE203" s="425"/>
      <c r="AF203" s="425"/>
      <c r="AG203" s="425"/>
      <c r="AH203" s="425"/>
      <c r="AW203" s="58"/>
      <c r="AX203" s="55"/>
      <c r="AY203" s="55"/>
      <c r="AZ203" s="55"/>
      <c r="BA203" s="55"/>
    </row>
    <row r="204" spans="1:53" ht="13.5" thickBot="1" x14ac:dyDescent="0.25">
      <c r="A204" s="420" t="str">
        <f>IF(G218=1,B210,IF(G218=2,B211,IF(G218=3,B212,IF(G218=4,B213,IF(OR(G218="B",G218="b"),"BYE","invalid")))))</f>
        <v>SCWE13WINGS</v>
      </c>
      <c r="B204" s="420"/>
      <c r="C204" s="420"/>
      <c r="D204" s="420"/>
      <c r="E204" s="430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420" t="str">
        <f>IF(AB218=1,X210,IF(AB218=2,X211,IF(AB218=3,X212,IF(AB218=4,X213,IF(OR(AB218="B",AB218="b"),"BYE","invalid")))))</f>
        <v>Chas Jrs 13 Blue</v>
      </c>
      <c r="V204" s="420"/>
      <c r="W204" s="420"/>
      <c r="X204" s="420"/>
      <c r="Y204" s="420"/>
      <c r="Z204" s="420"/>
      <c r="AA204" s="430"/>
      <c r="AB204" s="88"/>
      <c r="AC204" s="88"/>
      <c r="AD204" s="88"/>
      <c r="AE204" s="88"/>
      <c r="AW204" s="58"/>
      <c r="AX204" s="55"/>
      <c r="AY204" s="55"/>
      <c r="AZ204" s="55"/>
      <c r="BA204" s="55"/>
    </row>
    <row r="205" spans="1:53" x14ac:dyDescent="0.2">
      <c r="A205" s="421" t="s">
        <v>149</v>
      </c>
      <c r="B205" s="421"/>
      <c r="C205" s="421"/>
      <c r="D205" s="421"/>
      <c r="E205" s="421"/>
      <c r="S205" s="96"/>
      <c r="T205" s="96"/>
      <c r="U205" s="422" t="s">
        <v>150</v>
      </c>
      <c r="V205" s="422"/>
      <c r="W205" s="422"/>
      <c r="X205" s="422"/>
      <c r="Y205" s="422"/>
      <c r="Z205" s="422"/>
      <c r="AA205" s="422"/>
      <c r="AW205" s="58"/>
      <c r="AX205" s="55"/>
      <c r="AY205" s="55"/>
      <c r="AZ205" s="55"/>
      <c r="BA205" s="55"/>
    </row>
    <row r="206" spans="1:53" x14ac:dyDescent="0.2">
      <c r="AT206" s="55"/>
      <c r="AU206" s="55"/>
      <c r="AV206" s="55"/>
      <c r="AW206" s="58"/>
      <c r="AX206" s="55"/>
      <c r="AY206" s="55"/>
      <c r="AZ206" s="55"/>
      <c r="BA206" s="55"/>
    </row>
    <row r="207" spans="1:53" x14ac:dyDescent="0.2">
      <c r="AT207" s="55"/>
      <c r="AU207" s="55"/>
      <c r="AV207" s="55"/>
      <c r="AW207" s="58"/>
      <c r="AX207" s="55"/>
      <c r="AY207" s="55"/>
      <c r="AZ207" s="55"/>
      <c r="BA207" s="55"/>
    </row>
    <row r="208" spans="1:53" ht="16.5" thickBot="1" x14ac:dyDescent="0.3">
      <c r="A208" s="450" t="s">
        <v>151</v>
      </c>
      <c r="B208" s="450"/>
      <c r="C208" s="450"/>
      <c r="D208" s="450"/>
      <c r="E208" s="450"/>
      <c r="F208" s="450"/>
      <c r="G208" s="450"/>
      <c r="H208" s="450"/>
      <c r="I208" s="450"/>
      <c r="J208" s="450"/>
      <c r="Q208" s="100"/>
      <c r="R208" s="100"/>
      <c r="S208" s="100"/>
      <c r="U208" s="450" t="s">
        <v>152</v>
      </c>
      <c r="V208" s="450"/>
      <c r="W208" s="450"/>
      <c r="X208" s="450"/>
      <c r="Y208" s="450"/>
      <c r="Z208" s="450"/>
      <c r="AA208" s="450"/>
      <c r="AB208" s="450"/>
      <c r="AC208" s="450"/>
      <c r="AD208" s="450"/>
      <c r="AE208" s="450"/>
      <c r="AF208" s="450"/>
      <c r="AT208" s="55"/>
      <c r="AU208" s="55"/>
      <c r="AV208" s="55"/>
      <c r="AW208" s="58"/>
      <c r="AX208" s="55"/>
      <c r="AY208" s="55"/>
      <c r="AZ208" s="55"/>
      <c r="BA208" s="55"/>
    </row>
    <row r="209" spans="1:53" ht="13.5" thickBot="1" x14ac:dyDescent="0.25">
      <c r="A209" s="101" t="s">
        <v>153</v>
      </c>
      <c r="B209" s="451" t="s">
        <v>154</v>
      </c>
      <c r="C209" s="452"/>
      <c r="D209" s="452"/>
      <c r="E209" s="452"/>
      <c r="F209" s="452"/>
      <c r="G209" s="452"/>
      <c r="H209" s="452"/>
      <c r="I209" s="452"/>
      <c r="J209" s="453"/>
      <c r="K209" s="454" t="s">
        <v>155</v>
      </c>
      <c r="L209" s="455"/>
      <c r="M209" s="455"/>
      <c r="N209" s="455"/>
      <c r="O209" s="455"/>
      <c r="P209" s="455"/>
      <c r="Q209" s="456"/>
      <c r="U209" s="457" t="s">
        <v>153</v>
      </c>
      <c r="V209" s="458"/>
      <c r="W209" s="459"/>
      <c r="X209" s="451" t="s">
        <v>154</v>
      </c>
      <c r="Y209" s="452"/>
      <c r="Z209" s="452"/>
      <c r="AA209" s="452"/>
      <c r="AB209" s="452"/>
      <c r="AC209" s="452"/>
      <c r="AD209" s="452"/>
      <c r="AE209" s="452"/>
      <c r="AF209" s="453"/>
      <c r="AG209" s="454" t="s">
        <v>155</v>
      </c>
      <c r="AH209" s="455"/>
      <c r="AI209" s="455"/>
      <c r="AJ209" s="455"/>
      <c r="AK209" s="455"/>
      <c r="AL209" s="455"/>
      <c r="AM209" s="456"/>
      <c r="AT209" s="55"/>
      <c r="AU209" s="55"/>
      <c r="AV209" s="55"/>
      <c r="AW209" s="58"/>
      <c r="AX209" s="55"/>
      <c r="AY209" s="55"/>
      <c r="AZ209" s="55"/>
      <c r="BA209" s="55"/>
    </row>
    <row r="210" spans="1:53" ht="13.5" thickBot="1" x14ac:dyDescent="0.25">
      <c r="A210" s="101">
        <v>1</v>
      </c>
      <c r="B210" s="460" t="str">
        <f>B179</f>
        <v>Fort Mill 13 Purple</v>
      </c>
      <c r="C210" s="461"/>
      <c r="D210" s="461"/>
      <c r="E210" s="461"/>
      <c r="F210" s="461"/>
      <c r="G210" s="461"/>
      <c r="H210" s="461"/>
      <c r="I210" s="461"/>
      <c r="J210" s="462"/>
      <c r="K210" s="463" t="str">
        <f>H179</f>
        <v>fj3fortm1pm</v>
      </c>
      <c r="L210" s="464"/>
      <c r="M210" s="464"/>
      <c r="N210" s="464"/>
      <c r="O210" s="464"/>
      <c r="P210" s="464"/>
      <c r="Q210" s="465"/>
      <c r="U210" s="457">
        <v>1</v>
      </c>
      <c r="V210" s="458"/>
      <c r="W210" s="459"/>
      <c r="X210" s="460" t="str">
        <f>V179</f>
        <v>SC Midlands 13 Black</v>
      </c>
      <c r="Y210" s="461"/>
      <c r="Z210" s="461"/>
      <c r="AA210" s="461"/>
      <c r="AB210" s="461"/>
      <c r="AC210" s="461"/>
      <c r="AD210" s="461"/>
      <c r="AE210" s="461"/>
      <c r="AF210" s="462"/>
      <c r="AG210" s="463" t="str">
        <f>AB179</f>
        <v>fj3scmid2pm</v>
      </c>
      <c r="AH210" s="464"/>
      <c r="AI210" s="464"/>
      <c r="AJ210" s="464"/>
      <c r="AK210" s="464"/>
      <c r="AL210" s="464"/>
      <c r="AM210" s="465"/>
      <c r="AT210" s="55"/>
      <c r="AU210" s="55"/>
      <c r="AV210" s="55"/>
      <c r="AW210" s="58"/>
      <c r="AX210" s="55"/>
      <c r="AY210" s="55"/>
      <c r="AZ210" s="55"/>
      <c r="BA210" s="55"/>
    </row>
    <row r="211" spans="1:53" ht="13.5" thickBot="1" x14ac:dyDescent="0.25">
      <c r="A211" s="101">
        <v>2</v>
      </c>
      <c r="B211" s="460" t="str">
        <f>B180</f>
        <v>Fort Mill 13 Green</v>
      </c>
      <c r="C211" s="461"/>
      <c r="D211" s="461"/>
      <c r="E211" s="461"/>
      <c r="F211" s="461"/>
      <c r="G211" s="461"/>
      <c r="H211" s="461"/>
      <c r="I211" s="461"/>
      <c r="J211" s="462"/>
      <c r="K211" s="463" t="str">
        <f>H180</f>
        <v>fj3fortm2pm</v>
      </c>
      <c r="L211" s="464"/>
      <c r="M211" s="464"/>
      <c r="N211" s="464"/>
      <c r="O211" s="464"/>
      <c r="P211" s="464"/>
      <c r="Q211" s="465"/>
      <c r="U211" s="457">
        <v>2</v>
      </c>
      <c r="V211" s="458"/>
      <c r="W211" s="459"/>
      <c r="X211" s="460" t="str">
        <f>V180</f>
        <v>Kershaw 13 Black</v>
      </c>
      <c r="Y211" s="461"/>
      <c r="Z211" s="461"/>
      <c r="AA211" s="461"/>
      <c r="AB211" s="461"/>
      <c r="AC211" s="461"/>
      <c r="AD211" s="461"/>
      <c r="AE211" s="461"/>
      <c r="AF211" s="462"/>
      <c r="AG211" s="463" t="str">
        <f>AB180</f>
        <v>fj3kersh1pm</v>
      </c>
      <c r="AH211" s="464"/>
      <c r="AI211" s="464"/>
      <c r="AJ211" s="464"/>
      <c r="AK211" s="464"/>
      <c r="AL211" s="464"/>
      <c r="AM211" s="465"/>
      <c r="AT211" s="55"/>
      <c r="AU211" s="55"/>
      <c r="AV211" s="55"/>
      <c r="AW211" s="58"/>
      <c r="AX211" s="55"/>
      <c r="AY211" s="55"/>
      <c r="AZ211" s="55"/>
      <c r="BA211" s="55"/>
    </row>
    <row r="212" spans="1:53" ht="13.5" thickBot="1" x14ac:dyDescent="0.25">
      <c r="A212" s="101">
        <v>3</v>
      </c>
      <c r="B212" s="460" t="str">
        <f>L179</f>
        <v>SCWE13WINGS</v>
      </c>
      <c r="C212" s="461"/>
      <c r="D212" s="461"/>
      <c r="E212" s="461"/>
      <c r="F212" s="461"/>
      <c r="G212" s="461"/>
      <c r="H212" s="461"/>
      <c r="I212" s="461"/>
      <c r="J212" s="462"/>
      <c r="K212" s="463" t="str">
        <f>R179</f>
        <v>fj3scwea1pm</v>
      </c>
      <c r="L212" s="464"/>
      <c r="M212" s="464"/>
      <c r="N212" s="464"/>
      <c r="O212" s="464"/>
      <c r="P212" s="464"/>
      <c r="Q212" s="465"/>
      <c r="U212" s="457">
        <v>3</v>
      </c>
      <c r="V212" s="458"/>
      <c r="W212" s="459"/>
      <c r="X212" s="460" t="str">
        <f>AF179</f>
        <v>Chas Jrs 13 Blue</v>
      </c>
      <c r="Y212" s="461"/>
      <c r="Z212" s="461"/>
      <c r="AA212" s="461"/>
      <c r="AB212" s="461"/>
      <c r="AC212" s="461"/>
      <c r="AD212" s="461"/>
      <c r="AE212" s="461"/>
      <c r="AF212" s="462"/>
      <c r="AG212" s="463" t="str">
        <f>AL179</f>
        <v>fj3charl2pm</v>
      </c>
      <c r="AH212" s="464"/>
      <c r="AI212" s="464"/>
      <c r="AJ212" s="464"/>
      <c r="AK212" s="464"/>
      <c r="AL212" s="464"/>
      <c r="AM212" s="465"/>
      <c r="AT212" s="55"/>
      <c r="AU212" s="55"/>
      <c r="AV212" s="55"/>
      <c r="AW212" s="58"/>
      <c r="AX212" s="55"/>
      <c r="AY212" s="55"/>
      <c r="AZ212" s="55"/>
      <c r="BA212" s="55"/>
    </row>
    <row r="213" spans="1:53" ht="13.5" thickBot="1" x14ac:dyDescent="0.25">
      <c r="A213" s="101">
        <v>4</v>
      </c>
      <c r="B213" s="460" t="str">
        <f>L180</f>
        <v>Palm Strikers 13 Select</v>
      </c>
      <c r="C213" s="461"/>
      <c r="D213" s="461"/>
      <c r="E213" s="461"/>
      <c r="F213" s="461"/>
      <c r="G213" s="461"/>
      <c r="H213" s="461"/>
      <c r="I213" s="461"/>
      <c r="J213" s="462"/>
      <c r="K213" s="463" t="str">
        <f>R180</f>
        <v>fj3pstri3pm</v>
      </c>
      <c r="L213" s="464"/>
      <c r="M213" s="464"/>
      <c r="N213" s="464"/>
      <c r="O213" s="464"/>
      <c r="P213" s="464"/>
      <c r="Q213" s="465"/>
      <c r="U213" s="457">
        <v>4</v>
      </c>
      <c r="V213" s="458"/>
      <c r="W213" s="459"/>
      <c r="X213" s="460" t="str">
        <f>AF180</f>
        <v>Sumter VBC 13</v>
      </c>
      <c r="Y213" s="461"/>
      <c r="Z213" s="461"/>
      <c r="AA213" s="461"/>
      <c r="AB213" s="461"/>
      <c r="AC213" s="461"/>
      <c r="AD213" s="461"/>
      <c r="AE213" s="461"/>
      <c r="AF213" s="462"/>
      <c r="AG213" s="463" t="str">
        <f>AL180</f>
        <v>fj3sumtr1pm</v>
      </c>
      <c r="AH213" s="464"/>
      <c r="AI213" s="464"/>
      <c r="AJ213" s="464"/>
      <c r="AK213" s="464"/>
      <c r="AL213" s="464"/>
      <c r="AM213" s="465"/>
      <c r="AT213" s="55"/>
      <c r="AU213" s="55"/>
      <c r="AV213" s="55"/>
      <c r="AW213" s="58"/>
      <c r="AX213" s="55"/>
      <c r="AY213" s="55"/>
      <c r="AZ213" s="55"/>
      <c r="BA213" s="55"/>
    </row>
    <row r="214" spans="1:53" ht="13.5" thickBot="1" x14ac:dyDescent="0.25">
      <c r="AT214" s="55"/>
      <c r="AU214" s="55"/>
      <c r="AV214" s="55"/>
      <c r="AW214" s="58"/>
      <c r="AX214" s="55"/>
      <c r="AY214" s="55"/>
      <c r="AZ214" s="55"/>
      <c r="BA214" s="55"/>
    </row>
    <row r="215" spans="1:53" x14ac:dyDescent="0.2">
      <c r="B215" s="466" t="s">
        <v>156</v>
      </c>
      <c r="C215" s="467"/>
      <c r="D215" s="468"/>
      <c r="E215" s="469" t="s">
        <v>156</v>
      </c>
      <c r="F215" s="467"/>
      <c r="G215" s="468"/>
      <c r="H215" s="469" t="s">
        <v>14</v>
      </c>
      <c r="I215" s="467"/>
      <c r="J215" s="470"/>
      <c r="K215" s="471" t="s">
        <v>157</v>
      </c>
      <c r="L215" s="472"/>
      <c r="M215" s="472"/>
      <c r="N215" s="472"/>
      <c r="O215" s="472"/>
      <c r="P215" s="472"/>
      <c r="Q215" s="473"/>
      <c r="R215" s="102"/>
      <c r="S215" s="102"/>
      <c r="T215" s="102"/>
      <c r="U215" s="102"/>
      <c r="W215" s="466" t="s">
        <v>156</v>
      </c>
      <c r="X215" s="467"/>
      <c r="Y215" s="468"/>
      <c r="Z215" s="469" t="s">
        <v>156</v>
      </c>
      <c r="AA215" s="467"/>
      <c r="AB215" s="468"/>
      <c r="AC215" s="469" t="s">
        <v>14</v>
      </c>
      <c r="AD215" s="467"/>
      <c r="AE215" s="470"/>
      <c r="AF215" s="471" t="s">
        <v>157</v>
      </c>
      <c r="AG215" s="480"/>
      <c r="AH215" s="480"/>
      <c r="AI215" s="480"/>
      <c r="AJ215" s="481"/>
      <c r="AW215" s="58"/>
      <c r="AX215" s="55"/>
      <c r="AY215" s="55"/>
      <c r="AZ215" s="55"/>
      <c r="BA215" s="55"/>
    </row>
    <row r="216" spans="1:53" x14ac:dyDescent="0.2">
      <c r="A216" s="41" t="s">
        <v>158</v>
      </c>
      <c r="B216" s="488">
        <v>3</v>
      </c>
      <c r="C216" s="489"/>
      <c r="D216" s="490"/>
      <c r="E216" s="491" t="s">
        <v>159</v>
      </c>
      <c r="F216" s="489"/>
      <c r="G216" s="490"/>
      <c r="H216" s="491" t="s">
        <v>160</v>
      </c>
      <c r="I216" s="489"/>
      <c r="J216" s="492"/>
      <c r="K216" s="474"/>
      <c r="L216" s="475"/>
      <c r="M216" s="475"/>
      <c r="N216" s="475"/>
      <c r="O216" s="475"/>
      <c r="P216" s="475"/>
      <c r="Q216" s="476"/>
      <c r="R216" s="102"/>
      <c r="S216" s="102"/>
      <c r="T216" s="493" t="s">
        <v>158</v>
      </c>
      <c r="U216" s="493"/>
      <c r="V216" s="494"/>
      <c r="W216" s="488">
        <v>3</v>
      </c>
      <c r="X216" s="489"/>
      <c r="Y216" s="490"/>
      <c r="Z216" s="491" t="s">
        <v>159</v>
      </c>
      <c r="AA216" s="489"/>
      <c r="AB216" s="490"/>
      <c r="AC216" s="491" t="s">
        <v>160</v>
      </c>
      <c r="AD216" s="489"/>
      <c r="AE216" s="492"/>
      <c r="AF216" s="482"/>
      <c r="AG216" s="483"/>
      <c r="AH216" s="483"/>
      <c r="AI216" s="483"/>
      <c r="AJ216" s="484"/>
      <c r="AW216" s="58"/>
      <c r="AX216" s="55"/>
      <c r="AY216" s="55"/>
      <c r="AZ216" s="55"/>
      <c r="BA216" s="55"/>
    </row>
    <row r="217" spans="1:53" ht="13.5" thickBot="1" x14ac:dyDescent="0.25">
      <c r="A217" s="7"/>
      <c r="B217" s="501" t="s">
        <v>70</v>
      </c>
      <c r="C217" s="323"/>
      <c r="D217" s="324"/>
      <c r="E217" s="322" t="s">
        <v>161</v>
      </c>
      <c r="F217" s="323"/>
      <c r="G217" s="324"/>
      <c r="H217" s="322" t="s">
        <v>162</v>
      </c>
      <c r="I217" s="323"/>
      <c r="J217" s="495"/>
      <c r="K217" s="477"/>
      <c r="L217" s="478"/>
      <c r="M217" s="478"/>
      <c r="N217" s="478"/>
      <c r="O217" s="478"/>
      <c r="P217" s="478"/>
      <c r="Q217" s="479"/>
      <c r="R217" s="102"/>
      <c r="S217" s="102"/>
      <c r="T217" s="499"/>
      <c r="U217" s="499"/>
      <c r="V217" s="500"/>
      <c r="W217" s="501" t="s">
        <v>70</v>
      </c>
      <c r="X217" s="323"/>
      <c r="Y217" s="324"/>
      <c r="Z217" s="322" t="s">
        <v>161</v>
      </c>
      <c r="AA217" s="323"/>
      <c r="AB217" s="324"/>
      <c r="AC217" s="322" t="s">
        <v>162</v>
      </c>
      <c r="AD217" s="323"/>
      <c r="AE217" s="495"/>
      <c r="AF217" s="485"/>
      <c r="AG217" s="486"/>
      <c r="AH217" s="486"/>
      <c r="AI217" s="486"/>
      <c r="AJ217" s="487"/>
      <c r="AW217" s="58"/>
      <c r="AX217" s="55"/>
      <c r="AY217" s="55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1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2</v>
      </c>
      <c r="K218" s="496" t="s">
        <v>163</v>
      </c>
      <c r="L218" s="497"/>
      <c r="M218" s="497"/>
      <c r="N218" s="498"/>
      <c r="R218" s="102"/>
      <c r="S218" s="102"/>
      <c r="T218" s="499"/>
      <c r="U218" s="499"/>
      <c r="V218" s="500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1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3</v>
      </c>
      <c r="AF218" s="496" t="s">
        <v>163</v>
      </c>
      <c r="AG218" s="498"/>
      <c r="AH218" s="102"/>
      <c r="AI218" s="102"/>
      <c r="AJ218" s="102"/>
      <c r="AW218" s="58"/>
      <c r="AX218" s="55"/>
      <c r="AY218" s="55"/>
      <c r="AZ218" s="55"/>
      <c r="BA218" s="55"/>
    </row>
    <row r="219" spans="1:53" ht="13.5" hidden="1" customHeight="1" x14ac:dyDescent="0.2">
      <c r="A219" s="7"/>
      <c r="B219" s="110">
        <f>IF(B223&gt;D223,1,0)</f>
        <v>1</v>
      </c>
      <c r="C219" s="111"/>
      <c r="D219" s="112">
        <f>IF(D223&gt;B223,1,0)</f>
        <v>0</v>
      </c>
      <c r="E219" s="110">
        <f>IF(E223&gt;G223,1,0)</f>
        <v>1</v>
      </c>
      <c r="F219" s="111"/>
      <c r="G219" s="112">
        <f>IF(G223&gt;E223,1,0)</f>
        <v>0</v>
      </c>
      <c r="H219" s="110">
        <f>IF(H223&gt;J223,1,0)</f>
        <v>1</v>
      </c>
      <c r="I219" s="111"/>
      <c r="J219" s="112">
        <f>IF(J223&gt;H223,1,0)</f>
        <v>0</v>
      </c>
      <c r="K219" s="113"/>
      <c r="L219" s="114"/>
      <c r="M219" s="114"/>
      <c r="N219" s="115"/>
      <c r="R219" s="102"/>
      <c r="S219" s="102"/>
      <c r="T219" s="499"/>
      <c r="U219" s="499"/>
      <c r="V219" s="500"/>
      <c r="W219" s="110">
        <f>IF(W223&gt;Y223,1,0)</f>
        <v>1</v>
      </c>
      <c r="X219" s="111"/>
      <c r="Y219" s="112">
        <f>IF(Y223&gt;W223,1,0)</f>
        <v>0</v>
      </c>
      <c r="Z219" s="110">
        <f>IF(Z223&gt;AB223,1,0)</f>
        <v>0</v>
      </c>
      <c r="AA219" s="111"/>
      <c r="AB219" s="112">
        <f>IF(AB223&gt;Z223,1,0)</f>
        <v>1</v>
      </c>
      <c r="AC219" s="110">
        <f>IF(AC223&gt;AE223,1,0)</f>
        <v>0</v>
      </c>
      <c r="AD219" s="111"/>
      <c r="AE219" s="112">
        <f>IF(AE223&gt;AC223,1,0)</f>
        <v>1</v>
      </c>
      <c r="AF219" s="116"/>
      <c r="AG219" s="117"/>
      <c r="AH219" s="102"/>
      <c r="AI219" s="102"/>
      <c r="AJ219" s="102"/>
      <c r="AW219" s="58"/>
      <c r="AX219" s="55"/>
      <c r="AY219" s="55"/>
      <c r="AZ219" s="55"/>
      <c r="BA219" s="55"/>
    </row>
    <row r="220" spans="1:53" ht="13.5" hidden="1" customHeight="1" x14ac:dyDescent="0.2">
      <c r="A220" s="7"/>
      <c r="B220" s="110">
        <f>IF(B224&gt;D224,1,0)</f>
        <v>0</v>
      </c>
      <c r="C220" s="111"/>
      <c r="D220" s="112">
        <f>IF(D224&gt;B224,1,0)</f>
        <v>0</v>
      </c>
      <c r="E220" s="110">
        <f>IF(E224&gt;G224,1,0)</f>
        <v>0</v>
      </c>
      <c r="F220" s="111"/>
      <c r="G220" s="112">
        <f>IF(G224&gt;E224,1,0)</f>
        <v>0</v>
      </c>
      <c r="H220" s="110">
        <f>IF(H224&gt;J224,1,0)</f>
        <v>1</v>
      </c>
      <c r="I220" s="111"/>
      <c r="J220" s="112">
        <f>IF(J224&gt;H224,1,0)</f>
        <v>0</v>
      </c>
      <c r="K220" s="113"/>
      <c r="L220" s="114"/>
      <c r="M220" s="114"/>
      <c r="N220" s="115"/>
      <c r="R220" s="102"/>
      <c r="S220" s="102"/>
      <c r="T220" s="499"/>
      <c r="U220" s="499"/>
      <c r="V220" s="500"/>
      <c r="W220" s="110">
        <f>IF(W224&gt;Y224,1,0)</f>
        <v>0</v>
      </c>
      <c r="X220" s="111"/>
      <c r="Y220" s="112">
        <f>IF(Y224&gt;W224,1,0)</f>
        <v>0</v>
      </c>
      <c r="Z220" s="110">
        <f>IF(Z224&gt;AB224,1,0)</f>
        <v>0</v>
      </c>
      <c r="AA220" s="111"/>
      <c r="AB220" s="112">
        <f>IF(AB224&gt;Z224,1,0)</f>
        <v>0</v>
      </c>
      <c r="AC220" s="110">
        <f>IF(AC224&gt;AE224,1,0)</f>
        <v>0</v>
      </c>
      <c r="AD220" s="111"/>
      <c r="AE220" s="112">
        <f>IF(AE224&gt;AC224,1,0)</f>
        <v>1</v>
      </c>
      <c r="AF220" s="116"/>
      <c r="AG220" s="117"/>
      <c r="AH220" s="102"/>
      <c r="AI220" s="102"/>
      <c r="AJ220" s="102"/>
      <c r="AW220" s="58"/>
      <c r="AX220" s="55"/>
      <c r="AY220" s="55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0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0</v>
      </c>
      <c r="K221" s="113"/>
      <c r="L221" s="114"/>
      <c r="M221" s="114"/>
      <c r="N221" s="115"/>
      <c r="R221" s="102"/>
      <c r="S221" s="102"/>
      <c r="T221" s="499"/>
      <c r="U221" s="499"/>
      <c r="V221" s="500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0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0</v>
      </c>
      <c r="AF221" s="116"/>
      <c r="AG221" s="117"/>
      <c r="AH221" s="102"/>
      <c r="AI221" s="102"/>
      <c r="AJ221" s="102"/>
      <c r="AW221" s="58"/>
      <c r="AX221" s="55"/>
      <c r="AY221" s="55"/>
      <c r="AZ221" s="55"/>
      <c r="BA221" s="55"/>
    </row>
    <row r="222" spans="1:53" ht="13.5" hidden="1" customHeight="1" x14ac:dyDescent="0.2">
      <c r="A222" s="7"/>
      <c r="B222" s="110">
        <f>SUM(B219:B221)</f>
        <v>1</v>
      </c>
      <c r="C222" s="111"/>
      <c r="D222" s="110">
        <f>SUM(D219:D221)</f>
        <v>0</v>
      </c>
      <c r="E222" s="110">
        <f>SUM(E219:E221)</f>
        <v>1</v>
      </c>
      <c r="F222" s="111"/>
      <c r="G222" s="110">
        <f>SUM(G219:G221)</f>
        <v>0</v>
      </c>
      <c r="H222" s="110">
        <f>SUM(H219:H221)</f>
        <v>2</v>
      </c>
      <c r="I222" s="111"/>
      <c r="J222" s="110">
        <f>SUM(J219:J221)</f>
        <v>0</v>
      </c>
      <c r="K222" s="113"/>
      <c r="L222" s="114"/>
      <c r="M222" s="114"/>
      <c r="N222" s="115"/>
      <c r="R222" s="102"/>
      <c r="S222" s="102"/>
      <c r="T222" s="499"/>
      <c r="U222" s="499"/>
      <c r="V222" s="500"/>
      <c r="W222" s="110">
        <f>SUM(W219:W221)</f>
        <v>1</v>
      </c>
      <c r="X222" s="111"/>
      <c r="Y222" s="110">
        <f>SUM(Y219:Y221)</f>
        <v>0</v>
      </c>
      <c r="Z222" s="110">
        <f>SUM(Z219:Z221)</f>
        <v>0</v>
      </c>
      <c r="AA222" s="111"/>
      <c r="AB222" s="110">
        <f>SUM(AB219:AB221)</f>
        <v>1</v>
      </c>
      <c r="AC222" s="110">
        <f>SUM(AC219:AC221)</f>
        <v>0</v>
      </c>
      <c r="AD222" s="111"/>
      <c r="AE222" s="110">
        <f>SUM(AE219:AE221)</f>
        <v>2</v>
      </c>
      <c r="AF222" s="116"/>
      <c r="AG222" s="117"/>
      <c r="AH222" s="102"/>
      <c r="AI222" s="102"/>
      <c r="AJ222" s="102"/>
      <c r="AW222" s="58"/>
      <c r="AX222" s="55"/>
      <c r="AY222" s="55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12</v>
      </c>
      <c r="E223" s="120">
        <v>25</v>
      </c>
      <c r="F223" s="50" t="s">
        <v>80</v>
      </c>
      <c r="G223" s="119">
        <v>16</v>
      </c>
      <c r="H223" s="120">
        <v>25</v>
      </c>
      <c r="I223" s="50" t="s">
        <v>80</v>
      </c>
      <c r="J223" s="121">
        <v>21</v>
      </c>
      <c r="K223" s="504">
        <f>IF(AND(OR(H222&gt;0,J222&gt;0),AND(1&lt;=H218,H218&lt;=4),AND(1&lt;=J218,J218&lt;=4)),IF(H222&gt;J222,H218,IF(J222&gt;H222,J218,"")),"")</f>
        <v>1</v>
      </c>
      <c r="L223" s="505"/>
      <c r="M223" s="505"/>
      <c r="N223" s="506"/>
      <c r="R223" s="102"/>
      <c r="S223" s="102"/>
      <c r="T223" s="122"/>
      <c r="U223" s="122"/>
      <c r="V223" s="5" t="s">
        <v>79</v>
      </c>
      <c r="W223" s="118">
        <v>25</v>
      </c>
      <c r="X223" s="50" t="s">
        <v>80</v>
      </c>
      <c r="Y223" s="119">
        <v>15</v>
      </c>
      <c r="Z223" s="120">
        <v>15</v>
      </c>
      <c r="AA223" s="50" t="s">
        <v>80</v>
      </c>
      <c r="AB223" s="119">
        <v>25</v>
      </c>
      <c r="AC223" s="120">
        <v>23</v>
      </c>
      <c r="AD223" s="50" t="s">
        <v>80</v>
      </c>
      <c r="AE223" s="121">
        <v>25</v>
      </c>
      <c r="AF223" s="504">
        <f>IF(AND(OR(AC222&gt;0,AE222&gt;0),AND(1&lt;=AC218,AC218&lt;=4),AND(1&lt;=AE218,AE218&lt;=4)),IF(AC222&gt;AE222,AC218,IF(AE222&gt;AC222,AE218,"")),"")</f>
        <v>3</v>
      </c>
      <c r="AG223" s="506"/>
      <c r="AH223" s="102"/>
      <c r="AI223" s="102"/>
      <c r="AJ223" s="102"/>
      <c r="AW223" s="58"/>
      <c r="AX223" s="55"/>
      <c r="AY223" s="55"/>
      <c r="AZ223" s="55"/>
      <c r="BA223" s="55"/>
    </row>
    <row r="224" spans="1:53" ht="12.75" customHeight="1" x14ac:dyDescent="0.2">
      <c r="A224" s="5" t="s">
        <v>164</v>
      </c>
      <c r="B224" s="118"/>
      <c r="C224" s="50" t="s">
        <v>80</v>
      </c>
      <c r="D224" s="119"/>
      <c r="E224" s="120"/>
      <c r="F224" s="50" t="s">
        <v>80</v>
      </c>
      <c r="G224" s="119"/>
      <c r="H224" s="120">
        <v>25</v>
      </c>
      <c r="I224" s="50" t="s">
        <v>80</v>
      </c>
      <c r="J224" s="121">
        <v>20</v>
      </c>
      <c r="K224" s="507"/>
      <c r="L224" s="508"/>
      <c r="M224" s="508"/>
      <c r="N224" s="509"/>
      <c r="R224" s="102"/>
      <c r="S224" s="102"/>
      <c r="T224" s="122"/>
      <c r="U224" s="122"/>
      <c r="V224" s="5" t="s">
        <v>164</v>
      </c>
      <c r="W224" s="118"/>
      <c r="X224" s="50" t="s">
        <v>80</v>
      </c>
      <c r="Y224" s="119"/>
      <c r="Z224" s="120"/>
      <c r="AA224" s="50" t="s">
        <v>80</v>
      </c>
      <c r="AB224" s="119"/>
      <c r="AC224" s="120">
        <v>12</v>
      </c>
      <c r="AD224" s="50" t="s">
        <v>80</v>
      </c>
      <c r="AE224" s="121">
        <v>25</v>
      </c>
      <c r="AF224" s="507"/>
      <c r="AG224" s="509"/>
      <c r="AH224" s="102"/>
      <c r="AI224" s="102"/>
      <c r="AJ224" s="102"/>
      <c r="AW224" s="58"/>
      <c r="AX224" s="55"/>
      <c r="AY224" s="55"/>
      <c r="AZ224" s="55"/>
      <c r="BA224" s="55"/>
    </row>
    <row r="225" spans="1:77" ht="13.5" customHeight="1" thickBot="1" x14ac:dyDescent="0.25">
      <c r="A225" s="5" t="s">
        <v>165</v>
      </c>
      <c r="B225" s="123"/>
      <c r="C225" s="124" t="s">
        <v>80</v>
      </c>
      <c r="D225" s="125"/>
      <c r="E225" s="126"/>
      <c r="F225" s="124" t="s">
        <v>80</v>
      </c>
      <c r="G225" s="125"/>
      <c r="H225" s="126"/>
      <c r="I225" s="124" t="s">
        <v>80</v>
      </c>
      <c r="J225" s="127"/>
      <c r="K225" s="510"/>
      <c r="L225" s="511"/>
      <c r="M225" s="511"/>
      <c r="N225" s="512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/>
      <c r="AA225" s="124" t="s">
        <v>80</v>
      </c>
      <c r="AB225" s="125"/>
      <c r="AC225" s="126"/>
      <c r="AD225" s="124" t="s">
        <v>80</v>
      </c>
      <c r="AE225" s="127"/>
      <c r="AF225" s="510"/>
      <c r="AG225" s="512"/>
      <c r="AH225" s="102"/>
      <c r="AI225" s="102"/>
      <c r="AJ225" s="102"/>
      <c r="AW225" s="58"/>
      <c r="AX225" s="55"/>
      <c r="AY225" s="55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Fort Mill 13 Purple</v>
      </c>
      <c r="AU226" s="4">
        <f>J227</f>
        <v>1846.0824249958619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Fort Mill 13 Purple</v>
      </c>
      <c r="C227" s="4">
        <f>VLOOKUP(B227,AU$2:AY$22,4,FALSE)</f>
        <v>1825.8459652836571</v>
      </c>
      <c r="D227" s="4">
        <f>IF(A227=B218,B233,IF(A227=D218,D233,C227))</f>
        <v>1830.5552472163085</v>
      </c>
      <c r="G227" s="4">
        <f>IF(A227=E218,E233,IF(A227=G218,G233,D227))</f>
        <v>1830.5552472163085</v>
      </c>
      <c r="J227" s="4">
        <f>IF(A227=H218,H233,IF(A227=J218,J233,G227))</f>
        <v>1846.0824249958619</v>
      </c>
      <c r="U227" s="129"/>
      <c r="V227" s="129">
        <v>1</v>
      </c>
      <c r="W227" s="4" t="str">
        <f>X210</f>
        <v>SC Midlands 13 Black</v>
      </c>
      <c r="X227" s="4">
        <f>VLOOKUP(W227,AU$2:AY$22,4,FALSE)</f>
        <v>1603.4716962924508</v>
      </c>
      <c r="Y227" s="4">
        <f>IF(V227=W218,W233,IF(V227=Y218,Y233,X227))</f>
        <v>1611.8852107281905</v>
      </c>
      <c r="AB227" s="4">
        <f>IF(V227=Z218,Z233,IF(V227=AB218,AB233,Y227))</f>
        <v>1611.8852107281905</v>
      </c>
      <c r="AE227" s="4">
        <f>IF(V227=AC218,AC233,IF(V227=AE218,AE233,AB227))</f>
        <v>1595.6889931925523</v>
      </c>
      <c r="AT227" s="4" t="str">
        <f>B228</f>
        <v>Fort Mill 13 Green</v>
      </c>
      <c r="AU227" s="4">
        <f>J228</f>
        <v>1804.7578750763826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Fort Mill 13 Green</v>
      </c>
      <c r="C228" s="4">
        <f>VLOOKUP(B228,AU$2:AY$22,4,FALSE)</f>
        <v>1814.1302494612644</v>
      </c>
      <c r="D228" s="4">
        <f>IF(A228=B218,B233,IF(A228=D218,D233,C228))</f>
        <v>1814.1302494612644</v>
      </c>
      <c r="G228" s="4">
        <f>IF(A228=E218,E233,IF(A228=G218,G233,D228))</f>
        <v>1820.2850528559359</v>
      </c>
      <c r="J228" s="4">
        <f>IF(A228=H218,H233,IF(A228=J218,J233,G228))</f>
        <v>1804.7578750763826</v>
      </c>
      <c r="U228" s="129"/>
      <c r="V228" s="129">
        <v>2</v>
      </c>
      <c r="W228" s="4" t="str">
        <f>X211</f>
        <v>Kershaw 13 Black</v>
      </c>
      <c r="X228" s="4">
        <f>VLOOKUP(W228,AU$2:AY$22,4,FALSE)</f>
        <v>1619.5886785048051</v>
      </c>
      <c r="Y228" s="4">
        <f>IF(V228=W218,W233,IF(V228=Y218,Y233,X228))</f>
        <v>1619.5886785048051</v>
      </c>
      <c r="AB228" s="4">
        <f>IF(V228=Z218,Z233,IF(V228=AB218,AB233,Y228))</f>
        <v>1611.1186992330199</v>
      </c>
      <c r="AE228" s="4">
        <f>IF(V228=AC218,AC233,IF(V228=AE218,AE233,AB228))</f>
        <v>1611.1186992330199</v>
      </c>
      <c r="AT228" s="4" t="str">
        <f>B229</f>
        <v>SCWE13WINGS</v>
      </c>
      <c r="AU228" s="4">
        <f>J229</f>
        <v>1726.3713626144149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SCWE13WINGS</v>
      </c>
      <c r="C229" s="4">
        <f>VLOOKUP(B229,AU$2:AY$22,4,FALSE)</f>
        <v>1732.5261660090864</v>
      </c>
      <c r="D229" s="4">
        <f>IF(A229=B218,B233,IF(A229=D218,D233,C229))</f>
        <v>1732.5261660090864</v>
      </c>
      <c r="G229" s="4">
        <f>IF(A229=E218,E233,IF(A229=G218,G233,D229))</f>
        <v>1726.3713626144149</v>
      </c>
      <c r="J229" s="4">
        <f>IF(A229=H218,H233,IF(A229=J218,J233,G229))</f>
        <v>1726.3713626144149</v>
      </c>
      <c r="U229" s="129"/>
      <c r="V229" s="129">
        <v>3</v>
      </c>
      <c r="W229" s="4" t="str">
        <f>X212</f>
        <v>Chas Jrs 13 Blue</v>
      </c>
      <c r="X229" s="4">
        <f>VLOOKUP(W229,AU$2:AY$22,4,FALSE)</f>
        <v>1599.1542081855082</v>
      </c>
      <c r="Y229" s="4">
        <f>IF(V229=W218,W233,IF(V229=Y218,Y233,X229))</f>
        <v>1599.1542081855082</v>
      </c>
      <c r="AB229" s="4">
        <f>IF(V229=Z218,Z233,IF(V229=AB218,AB233,Y229))</f>
        <v>1607.6241874572934</v>
      </c>
      <c r="AE229" s="4">
        <f>IF(V229=AC218,AC233,IF(V229=AE218,AE233,AB229))</f>
        <v>1623.8204049929316</v>
      </c>
      <c r="AT229" s="4" t="str">
        <f>B230</f>
        <v>Palm Strikers 13 Select</v>
      </c>
      <c r="AU229" s="4">
        <f>J230</f>
        <v>1669.2299346493558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Palm Strikers 13 Select</v>
      </c>
      <c r="C230" s="4">
        <f>VLOOKUP(B230,AU$2:AY$22,4,FALSE)</f>
        <v>1673.9392165820072</v>
      </c>
      <c r="D230" s="4">
        <f>IF(A230=B218,B233,IF(A230=D218,D233,C230))</f>
        <v>1669.2299346493558</v>
      </c>
      <c r="G230" s="4">
        <f>IF(A230=E218,E233,IF(A230=G218,G233,D230))</f>
        <v>1669.2299346493558</v>
      </c>
      <c r="J230" s="4">
        <f>IF(A230=H218,H233,IF(A230=J218,J233,G230))</f>
        <v>1669.2299346493558</v>
      </c>
      <c r="U230" s="129"/>
      <c r="V230" s="129">
        <v>4</v>
      </c>
      <c r="W230" s="4" t="str">
        <f>X213</f>
        <v>Sumter VBC 13</v>
      </c>
      <c r="X230" s="4">
        <f>VLOOKUP(W230,AU$2:AY$22,4,FALSE)</f>
        <v>1621.4464196707468</v>
      </c>
      <c r="Y230" s="4">
        <f>IF(V230=W218,W233,IF(V230=Y218,Y233,X230))</f>
        <v>1613.0329052350071</v>
      </c>
      <c r="AB230" s="4">
        <f>IF(V230=Z218,Z233,IF(V230=AB218,AB233,Y230))</f>
        <v>1613.0329052350071</v>
      </c>
      <c r="AE230" s="4">
        <f>IF(V230=AC218,AC233,IF(V230=AE218,AE233,AB230))</f>
        <v>1613.0329052350071</v>
      </c>
      <c r="AT230" s="4" t="str">
        <f>W227</f>
        <v>SC Midlands 13 Black</v>
      </c>
      <c r="AU230" s="4">
        <f>AE227</f>
        <v>1595.6889931925523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1825.8459652836571</v>
      </c>
      <c r="D231" s="4">
        <f>VLOOKUP(D218,$A227:$J230,3,FALSE)</f>
        <v>1673.9392165820072</v>
      </c>
      <c r="E231" s="4">
        <f>VLOOKUP(E218,$A227:$J230,4,FALSE)</f>
        <v>1814.1302494612644</v>
      </c>
      <c r="G231" s="4">
        <f>VLOOKUP(G218,$A227:$J230,4,FALSE)</f>
        <v>1732.5261660090864</v>
      </c>
      <c r="H231" s="4">
        <f>VLOOKUP(H218,$A227:$J230,7,FALSE)</f>
        <v>1830.5552472163085</v>
      </c>
      <c r="J231" s="4">
        <f>VLOOKUP(J218,$A227:$J230,7,FALSE)</f>
        <v>1820.2850528559359</v>
      </c>
      <c r="T231" s="513" t="s">
        <v>116</v>
      </c>
      <c r="U231" s="513"/>
      <c r="V231" s="513"/>
      <c r="W231" s="4">
        <f>VLOOKUP(W218,$V227:$AE230,3,FALSE)</f>
        <v>1603.4716962924508</v>
      </c>
      <c r="Y231" s="4">
        <f>VLOOKUP(Y218,$V227:$AE230,3,FALSE)</f>
        <v>1621.4464196707468</v>
      </c>
      <c r="Z231" s="4">
        <f>VLOOKUP(Z218,$V227:$AE230,4,FALSE)</f>
        <v>1619.5886785048051</v>
      </c>
      <c r="AB231" s="4">
        <f>VLOOKUP(AB218,$V227:$AE230,4,FALSE)</f>
        <v>1599.1542081855082</v>
      </c>
      <c r="AC231" s="4">
        <f>VLOOKUP(AC218,$V227:$AE230,7,FALSE)</f>
        <v>1611.8852107281905</v>
      </c>
      <c r="AE231" s="4">
        <f>VLOOKUP(AE218,$V227:$AE230,7,FALSE)</f>
        <v>1607.6241874572934</v>
      </c>
      <c r="AT231" s="4" t="str">
        <f>W228</f>
        <v>Kershaw 13 Black</v>
      </c>
      <c r="AU231" s="4">
        <f>AE228</f>
        <v>1611.1186992330199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1/(1+(10^-((B231-D231)/400)))*(B222+D222)</f>
        <v>0.70566987920928637</v>
      </c>
      <c r="C232" s="69"/>
      <c r="D232" s="69">
        <f>1/(1+(10^-((D231-B231)/400)))*(B222+D222)</f>
        <v>0.29433012079071363</v>
      </c>
      <c r="E232" s="69">
        <f>1/(1+(10^-((E231-G231)/400)))*(E222+G222)</f>
        <v>0.61532478783303657</v>
      </c>
      <c r="G232" s="69">
        <f>1/(1+(10^-((G231-E231)/400)))*(E222+G222)</f>
        <v>0.38467521216696343</v>
      </c>
      <c r="H232" s="69">
        <f>1/(1+(10^-((H231-J231)/400)))*(H222+J222)</f>
        <v>1.0295513887779211</v>
      </c>
      <c r="J232" s="69">
        <f>1/(1+(10^-((J231-H231)/400)))*(H222+J222)</f>
        <v>0.97044861122207904</v>
      </c>
      <c r="T232" s="514" t="s">
        <v>117</v>
      </c>
      <c r="U232" s="514"/>
      <c r="V232" s="514"/>
      <c r="W232" s="69">
        <f>1/(1+(10^-((W231-Y231)/400)))*(W222+Y222)</f>
        <v>0.47415534776627594</v>
      </c>
      <c r="X232" s="69"/>
      <c r="Y232" s="69">
        <f>1/(1+(10^-((Y231-W231)/400)))*(W222+Y222)</f>
        <v>0.52584465223372401</v>
      </c>
      <c r="Z232" s="69">
        <f>1/(1+(10^-((Z231-AB231)/400)))*(Z222+AB222)</f>
        <v>0.52937370448657062</v>
      </c>
      <c r="AB232" s="69">
        <f>1/(1+(10^-((AB231-Z231)/400)))*(Z222+AB222)</f>
        <v>0.47062629551342944</v>
      </c>
      <c r="AC232" s="69">
        <f>1/(1+(10^-((AC231-AE231)/400)))*(AC222+AE222)</f>
        <v>1.0122635959773818</v>
      </c>
      <c r="AE232" s="69">
        <f>1/(1+(10^-((AE231-AC231)/400)))*(AC222+AE222)</f>
        <v>0.98773640402261831</v>
      </c>
      <c r="AT232" s="4" t="str">
        <f>W229</f>
        <v>Chas Jrs 13 Blue</v>
      </c>
      <c r="AU232" s="4">
        <f>AE229</f>
        <v>1623.8204049929316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1830.5552472163085</v>
      </c>
      <c r="C233" s="75"/>
      <c r="D233" s="75">
        <f>D231+(D222-D232)*$BA$2</f>
        <v>1669.2299346493558</v>
      </c>
      <c r="E233" s="75">
        <f>E231+(E222-E232)*$BA$2</f>
        <v>1820.2850528559359</v>
      </c>
      <c r="G233" s="75">
        <f>G231+(G222-G232)*$BA$2</f>
        <v>1726.3713626144149</v>
      </c>
      <c r="H233" s="75">
        <f>H231+(H222-H232)*$BA$2</f>
        <v>1846.0824249958619</v>
      </c>
      <c r="J233" s="75">
        <f>J231+(J222-J232)*$BA$2</f>
        <v>1804.7578750763826</v>
      </c>
      <c r="T233" s="502" t="s">
        <v>118</v>
      </c>
      <c r="U233" s="502"/>
      <c r="V233" s="502"/>
      <c r="W233" s="75">
        <f>W231+(W222-W232)*$BA$2</f>
        <v>1611.8852107281905</v>
      </c>
      <c r="X233" s="75"/>
      <c r="Y233" s="75">
        <f>Y231+(Y222-Y232)*$BA$2</f>
        <v>1613.0329052350071</v>
      </c>
      <c r="Z233" s="75">
        <f>Z231+(Z222-Z232)*$BA$2</f>
        <v>1611.1186992330199</v>
      </c>
      <c r="AB233" s="75">
        <f>AB231+(AB222-AB232)*$BA$2</f>
        <v>1607.6241874572934</v>
      </c>
      <c r="AC233" s="75">
        <f>AC231+(AC222-AC232)*$BA$2</f>
        <v>1595.6889931925523</v>
      </c>
      <c r="AE233" s="75">
        <f>AE231+(AE222-AE232)*$BA$2</f>
        <v>1623.8204049929316</v>
      </c>
      <c r="AT233" s="4" t="str">
        <f>W230</f>
        <v>Sumter VBC 13</v>
      </c>
      <c r="AU233" s="4">
        <f>AE230</f>
        <v>1613.0329052350071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503" t="s">
        <v>169</v>
      </c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R234" s="102"/>
      <c r="S234" s="102"/>
      <c r="T234" s="122"/>
      <c r="U234" s="122"/>
      <c r="V234" s="503" t="s">
        <v>169</v>
      </c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02"/>
      <c r="AI234" s="102"/>
      <c r="AJ234" s="102"/>
      <c r="AW234" s="58"/>
      <c r="AX234" s="55"/>
      <c r="AY234" s="55"/>
      <c r="AZ234" s="55"/>
      <c r="BA234" s="55"/>
    </row>
    <row r="235" spans="1:77" x14ac:dyDescent="0.2">
      <c r="AT235" s="55"/>
      <c r="AU235" s="55"/>
      <c r="AV235" s="55"/>
      <c r="AW235" s="58"/>
      <c r="AX235" s="55"/>
      <c r="AY235" s="55"/>
      <c r="AZ235" s="55"/>
      <c r="BA235" s="55"/>
    </row>
    <row r="236" spans="1:77" x14ac:dyDescent="0.2">
      <c r="AT236" s="55"/>
      <c r="AU236" s="55"/>
      <c r="AV236" s="55"/>
      <c r="AW236" s="58"/>
      <c r="AX236" s="55"/>
      <c r="AY236" s="55"/>
      <c r="AZ236" s="55"/>
      <c r="BA236" s="55"/>
    </row>
    <row r="237" spans="1:77" x14ac:dyDescent="0.2">
      <c r="AT237" s="55"/>
      <c r="AU237" s="55"/>
      <c r="AV237" s="55"/>
      <c r="AW237" s="58"/>
      <c r="AX237" s="55"/>
      <c r="AY237" s="55"/>
      <c r="AZ237" s="55"/>
      <c r="BA237" s="55"/>
    </row>
    <row r="238" spans="1:77" x14ac:dyDescent="0.2">
      <c r="AT238" s="55"/>
      <c r="AU238" s="55"/>
      <c r="AV238" s="55"/>
      <c r="AW238" s="58"/>
      <c r="AX238" s="55"/>
      <c r="AY238" s="55"/>
      <c r="AZ238" s="55"/>
      <c r="BA238" s="55"/>
    </row>
    <row r="239" spans="1:77" x14ac:dyDescent="0.2">
      <c r="AT239" s="55"/>
      <c r="AU239" s="55"/>
      <c r="AV239" s="55"/>
      <c r="AW239" s="58"/>
      <c r="AX239" s="55"/>
      <c r="AY239" s="55"/>
      <c r="AZ239" s="55"/>
      <c r="BA239" s="55"/>
    </row>
    <row r="240" spans="1:77" x14ac:dyDescent="0.2">
      <c r="AT240" s="55"/>
      <c r="AU240" s="55"/>
      <c r="AV240" s="55"/>
      <c r="AW240" s="58"/>
      <c r="AX240" s="55"/>
      <c r="AY240" s="55"/>
      <c r="AZ240" s="55"/>
      <c r="BA240" s="55"/>
    </row>
    <row r="241" spans="46:53" x14ac:dyDescent="0.2">
      <c r="AT241" s="55"/>
      <c r="AU241" s="55"/>
      <c r="AV241" s="55"/>
      <c r="AW241" s="58"/>
      <c r="AX241" s="55"/>
      <c r="AY241" s="55"/>
      <c r="AZ241" s="55"/>
      <c r="BA241" s="55"/>
    </row>
    <row r="242" spans="46:53" x14ac:dyDescent="0.2">
      <c r="AT242" s="55"/>
      <c r="AU242" s="55"/>
      <c r="AV242" s="55"/>
      <c r="AW242" s="58"/>
      <c r="AX242" s="55"/>
      <c r="AY242" s="55"/>
      <c r="AZ242" s="55"/>
      <c r="BA242" s="55"/>
    </row>
    <row r="243" spans="46:53" x14ac:dyDescent="0.2">
      <c r="AT243" s="55"/>
      <c r="AU243" s="55"/>
      <c r="AV243" s="55"/>
      <c r="AW243" s="58"/>
      <c r="AX243" s="55"/>
      <c r="AY243" s="55"/>
      <c r="AZ243" s="55"/>
      <c r="BA243" s="55"/>
    </row>
    <row r="244" spans="46:53" x14ac:dyDescent="0.2">
      <c r="AT244" s="55"/>
      <c r="AU244" s="55"/>
      <c r="AV244" s="55"/>
      <c r="AW244" s="58"/>
      <c r="AX244" s="55"/>
      <c r="AY244" s="55"/>
      <c r="AZ244" s="55"/>
      <c r="BA244" s="55"/>
    </row>
    <row r="245" spans="46:53" x14ac:dyDescent="0.2">
      <c r="AT245" s="55"/>
      <c r="AU245" s="55"/>
      <c r="AV245" s="55"/>
      <c r="AW245" s="58"/>
      <c r="AX245" s="55"/>
      <c r="AY245" s="55"/>
      <c r="AZ245" s="55"/>
      <c r="BA245" s="55"/>
    </row>
    <row r="246" spans="46:53" x14ac:dyDescent="0.2">
      <c r="AT246" s="55"/>
      <c r="AU246" s="55"/>
      <c r="AV246" s="55"/>
      <c r="AW246" s="58"/>
      <c r="AX246" s="55"/>
      <c r="AY246" s="55"/>
      <c r="AZ246" s="55"/>
      <c r="BA246" s="55"/>
    </row>
    <row r="247" spans="46:53" x14ac:dyDescent="0.2">
      <c r="AT247" s="55"/>
      <c r="AU247" s="55"/>
      <c r="AV247" s="55"/>
    </row>
    <row r="248" spans="46:53" x14ac:dyDescent="0.2">
      <c r="AT248" s="55"/>
      <c r="AU248" s="55"/>
      <c r="AV248" s="55"/>
      <c r="AW248" s="66"/>
      <c r="AX248" s="63"/>
      <c r="AY248" s="63"/>
      <c r="AZ248" s="63"/>
      <c r="BA248" s="63"/>
    </row>
    <row r="249" spans="46:53" x14ac:dyDescent="0.2">
      <c r="AT249" s="55"/>
      <c r="AU249" s="55"/>
      <c r="AV249" s="55"/>
      <c r="AW249" s="66"/>
      <c r="AX249" s="63"/>
      <c r="AY249" s="63"/>
      <c r="AZ249" s="63"/>
      <c r="BA249" s="63"/>
    </row>
    <row r="250" spans="46:53" x14ac:dyDescent="0.2">
      <c r="AT250" s="55"/>
      <c r="AU250" s="55"/>
      <c r="AV250" s="55"/>
      <c r="AW250" s="66"/>
      <c r="AX250" s="63"/>
      <c r="AY250" s="63"/>
      <c r="AZ250" s="63"/>
      <c r="BA250" s="63"/>
    </row>
    <row r="251" spans="46:53" x14ac:dyDescent="0.2">
      <c r="AT251" s="55"/>
      <c r="AU251" s="55"/>
      <c r="AV251" s="55"/>
      <c r="AW251" s="66"/>
      <c r="AX251" s="63"/>
      <c r="AY251" s="63"/>
      <c r="AZ251" s="63"/>
      <c r="BA251" s="63"/>
    </row>
    <row r="252" spans="46:53" x14ac:dyDescent="0.2">
      <c r="AT252" s="55"/>
      <c r="AU252" s="55"/>
      <c r="AV252" s="55"/>
      <c r="AW252" s="66"/>
      <c r="AX252" s="63"/>
      <c r="AY252" s="63"/>
      <c r="AZ252" s="63"/>
      <c r="BA252" s="63"/>
    </row>
    <row r="253" spans="46:53" x14ac:dyDescent="0.2">
      <c r="AT253" s="55"/>
      <c r="AU253" s="55"/>
      <c r="AV253" s="55"/>
      <c r="AW253" s="66"/>
      <c r="AX253" s="63"/>
      <c r="AY253" s="63"/>
      <c r="AZ253" s="63"/>
      <c r="BA253" s="63"/>
    </row>
    <row r="254" spans="46:53" x14ac:dyDescent="0.2">
      <c r="AT254" s="55"/>
      <c r="AU254" s="55"/>
      <c r="AV254" s="55"/>
      <c r="AW254" s="66"/>
      <c r="AX254" s="63"/>
      <c r="AY254" s="63"/>
      <c r="AZ254" s="63"/>
      <c r="BA254" s="63"/>
    </row>
    <row r="255" spans="46:53" x14ac:dyDescent="0.2">
      <c r="AT255" s="55"/>
      <c r="AU255" s="55"/>
      <c r="AV255" s="55"/>
      <c r="AW255" s="66"/>
      <c r="AX255" s="63"/>
      <c r="AY255" s="63"/>
      <c r="AZ255" s="63"/>
      <c r="BA255" s="63"/>
    </row>
    <row r="256" spans="46:53" x14ac:dyDescent="0.2">
      <c r="AT256" s="55"/>
      <c r="AU256" s="55"/>
      <c r="AV256" s="55"/>
      <c r="AW256" s="73"/>
      <c r="AX256" s="72"/>
      <c r="AY256" s="72"/>
      <c r="AZ256" s="72"/>
      <c r="BA256" s="72"/>
    </row>
    <row r="257" spans="46:53" x14ac:dyDescent="0.2">
      <c r="AT257" s="55"/>
      <c r="AU257" s="55"/>
      <c r="AV257" s="55"/>
      <c r="AW257" s="79"/>
      <c r="AX257" s="78"/>
      <c r="AY257" s="78"/>
      <c r="AZ257" s="78"/>
      <c r="BA257" s="78"/>
    </row>
    <row r="258" spans="46:53" x14ac:dyDescent="0.2">
      <c r="AT258" s="55"/>
      <c r="AU258" s="55"/>
      <c r="AV258" s="55"/>
      <c r="AW258" s="79"/>
      <c r="AX258" s="78"/>
      <c r="AY258" s="78"/>
      <c r="AZ258" s="78"/>
      <c r="BA258" s="78"/>
    </row>
    <row r="259" spans="46:53" x14ac:dyDescent="0.2">
      <c r="AT259" s="55"/>
      <c r="AU259" s="55"/>
      <c r="AV259" s="55"/>
      <c r="AW259" s="66"/>
      <c r="AX259" s="63"/>
      <c r="AY259" s="63"/>
      <c r="AZ259" s="63"/>
      <c r="BA259" s="63"/>
    </row>
    <row r="260" spans="46:53" x14ac:dyDescent="0.2">
      <c r="AT260" s="63"/>
      <c r="AU260" s="63"/>
      <c r="AV260" s="63"/>
      <c r="AW260" s="66"/>
      <c r="AX260" s="63"/>
      <c r="AY260" s="63"/>
      <c r="AZ260" s="63"/>
      <c r="BA260" s="63"/>
    </row>
    <row r="261" spans="46:53" x14ac:dyDescent="0.2">
      <c r="AT261" s="63"/>
      <c r="AU261" s="63"/>
      <c r="AV261" s="63"/>
    </row>
    <row r="286" spans="46:53" x14ac:dyDescent="0.2">
      <c r="AT286" s="55"/>
      <c r="AU286" s="55"/>
      <c r="AV286" s="55"/>
      <c r="AW286" s="58"/>
      <c r="AX286" s="55"/>
      <c r="AY286" s="55"/>
      <c r="AZ286" s="55"/>
      <c r="BA286" s="55"/>
    </row>
    <row r="287" spans="46:53" x14ac:dyDescent="0.2">
      <c r="AT287" s="55"/>
      <c r="AU287" s="55"/>
      <c r="AV287" s="55"/>
      <c r="AW287" s="58"/>
      <c r="AX287" s="55"/>
      <c r="AY287" s="55"/>
      <c r="AZ287" s="55"/>
      <c r="BA287" s="55"/>
    </row>
    <row r="288" spans="46:53" x14ac:dyDescent="0.2">
      <c r="AT288" s="55"/>
      <c r="AU288" s="55"/>
      <c r="AV288" s="55"/>
      <c r="AW288" s="58"/>
      <c r="AX288" s="55"/>
      <c r="AY288" s="55"/>
      <c r="AZ288" s="55"/>
      <c r="BA288" s="55"/>
    </row>
    <row r="289" spans="46:53" x14ac:dyDescent="0.2">
      <c r="AT289" s="55"/>
      <c r="AU289" s="55"/>
      <c r="AV289" s="55"/>
      <c r="AW289" s="58"/>
      <c r="AX289" s="55"/>
      <c r="AY289" s="55"/>
      <c r="AZ289" s="55"/>
      <c r="BA289" s="55"/>
    </row>
    <row r="290" spans="46:53" x14ac:dyDescent="0.2">
      <c r="AT290" s="55"/>
      <c r="AU290" s="55"/>
      <c r="AV290" s="55"/>
      <c r="AW290" s="58"/>
      <c r="AX290" s="55"/>
      <c r="AY290" s="55"/>
      <c r="AZ290" s="55"/>
      <c r="BA290" s="55"/>
    </row>
    <row r="291" spans="46:53" x14ac:dyDescent="0.2">
      <c r="AT291" s="55"/>
      <c r="AU291" s="55"/>
      <c r="AV291" s="55"/>
      <c r="AW291" s="58"/>
      <c r="AX291" s="55"/>
      <c r="AY291" s="55"/>
      <c r="AZ291" s="55"/>
      <c r="BA291" s="55"/>
    </row>
    <row r="292" spans="46:53" x14ac:dyDescent="0.2">
      <c r="AT292" s="55"/>
      <c r="AU292" s="55"/>
      <c r="AV292" s="55"/>
      <c r="AW292" s="58"/>
      <c r="AX292" s="55"/>
      <c r="AY292" s="55"/>
      <c r="AZ292" s="55"/>
      <c r="BA292" s="55"/>
    </row>
    <row r="293" spans="46:53" x14ac:dyDescent="0.2">
      <c r="AT293" s="55"/>
      <c r="AU293" s="55"/>
      <c r="AV293" s="55"/>
      <c r="AW293" s="58"/>
      <c r="AX293" s="55"/>
      <c r="AY293" s="55"/>
      <c r="AZ293" s="55"/>
      <c r="BA293" s="55"/>
    </row>
    <row r="294" spans="46:53" x14ac:dyDescent="0.2">
      <c r="AT294" s="55"/>
      <c r="AU294" s="55"/>
      <c r="AV294" s="55"/>
      <c r="AW294" s="58"/>
      <c r="AX294" s="55"/>
      <c r="AY294" s="55"/>
      <c r="AZ294" s="55"/>
      <c r="BA294" s="55"/>
    </row>
    <row r="295" spans="46:53" x14ac:dyDescent="0.2">
      <c r="AT295" s="55"/>
      <c r="AU295" s="55"/>
      <c r="AV295" s="55"/>
      <c r="AW295" s="58"/>
      <c r="AX295" s="55"/>
      <c r="AY295" s="55"/>
      <c r="AZ295" s="55"/>
      <c r="BA295" s="55"/>
    </row>
    <row r="296" spans="46:53" x14ac:dyDescent="0.2">
      <c r="AT296" s="55"/>
      <c r="AU296" s="55"/>
      <c r="AV296" s="55"/>
      <c r="AW296" s="58"/>
      <c r="AX296" s="55"/>
      <c r="AY296" s="55"/>
      <c r="AZ296" s="55"/>
      <c r="BA296" s="55"/>
    </row>
    <row r="297" spans="46:53" x14ac:dyDescent="0.2">
      <c r="AT297" s="55"/>
      <c r="AU297" s="55"/>
      <c r="AV297" s="55"/>
      <c r="AW297" s="58"/>
      <c r="AX297" s="55"/>
      <c r="AY297" s="55"/>
      <c r="AZ297" s="55"/>
      <c r="BA297" s="55"/>
    </row>
    <row r="298" spans="46:53" x14ac:dyDescent="0.2">
      <c r="AT298" s="55"/>
      <c r="AU298" s="55"/>
      <c r="AV298" s="55"/>
      <c r="AW298" s="58"/>
      <c r="AX298" s="55"/>
      <c r="AY298" s="55"/>
      <c r="AZ298" s="55"/>
      <c r="BA298" s="55"/>
    </row>
    <row r="299" spans="46:53" x14ac:dyDescent="0.2">
      <c r="AT299" s="55"/>
      <c r="AU299" s="55"/>
      <c r="AV299" s="55"/>
      <c r="AW299" s="58"/>
      <c r="AX299" s="55"/>
      <c r="AY299" s="55"/>
      <c r="AZ299" s="55"/>
      <c r="BA299" s="55"/>
    </row>
    <row r="300" spans="46:53" x14ac:dyDescent="0.2">
      <c r="AT300" s="55"/>
      <c r="AU300" s="55"/>
      <c r="AV300" s="55"/>
      <c r="AW300" s="58"/>
      <c r="AX300" s="55"/>
      <c r="AY300" s="55"/>
      <c r="AZ300" s="55"/>
      <c r="BA300" s="55"/>
    </row>
    <row r="301" spans="46:53" x14ac:dyDescent="0.2">
      <c r="AT301" s="55"/>
      <c r="AU301" s="55"/>
      <c r="AV301" s="55"/>
      <c r="AW301" s="58"/>
      <c r="AX301" s="55"/>
      <c r="AY301" s="55"/>
      <c r="AZ301" s="55"/>
      <c r="BA301" s="55"/>
    </row>
    <row r="302" spans="46:53" x14ac:dyDescent="0.2">
      <c r="AT302" s="55"/>
      <c r="AU302" s="55"/>
      <c r="AV302" s="55"/>
      <c r="AW302" s="58"/>
      <c r="AX302" s="55"/>
      <c r="AY302" s="55"/>
      <c r="AZ302" s="55"/>
      <c r="BA302" s="55"/>
    </row>
    <row r="303" spans="46:53" x14ac:dyDescent="0.2">
      <c r="AT303" s="55"/>
      <c r="AU303" s="55"/>
      <c r="AV303" s="55"/>
      <c r="AW303" s="58"/>
      <c r="AX303" s="55"/>
      <c r="AY303" s="55"/>
      <c r="AZ303" s="55"/>
      <c r="BA303" s="55"/>
    </row>
    <row r="304" spans="46:53" x14ac:dyDescent="0.2">
      <c r="AT304" s="55"/>
      <c r="AU304" s="55"/>
      <c r="AV304" s="55"/>
      <c r="AW304" s="58"/>
      <c r="AX304" s="55"/>
      <c r="AY304" s="55"/>
      <c r="AZ304" s="55"/>
      <c r="BA304" s="55"/>
    </row>
    <row r="305" spans="46:53" x14ac:dyDescent="0.2">
      <c r="AT305" s="55"/>
      <c r="AU305" s="55"/>
      <c r="AV305" s="55"/>
      <c r="AW305" s="58"/>
      <c r="AX305" s="55"/>
      <c r="AY305" s="55"/>
      <c r="AZ305" s="55"/>
      <c r="BA305" s="55"/>
    </row>
    <row r="306" spans="46:53" x14ac:dyDescent="0.2">
      <c r="AT306" s="55"/>
      <c r="AU306" s="55"/>
      <c r="AV306" s="55"/>
      <c r="AW306" s="58"/>
      <c r="AX306" s="55"/>
      <c r="AY306" s="55"/>
      <c r="AZ306" s="55"/>
      <c r="BA306" s="55"/>
    </row>
    <row r="307" spans="46:53" x14ac:dyDescent="0.2">
      <c r="AT307" s="55"/>
      <c r="AU307" s="55"/>
      <c r="AV307" s="55"/>
      <c r="AW307" s="58"/>
      <c r="AX307" s="55"/>
      <c r="AY307" s="55"/>
      <c r="AZ307" s="55"/>
      <c r="BA307" s="55"/>
    </row>
    <row r="308" spans="46:53" x14ac:dyDescent="0.2">
      <c r="AT308" s="55"/>
      <c r="AU308" s="55"/>
      <c r="AV308" s="55"/>
      <c r="AW308" s="58"/>
      <c r="AX308" s="55"/>
      <c r="AY308" s="55"/>
      <c r="AZ308" s="55"/>
      <c r="BA308" s="55"/>
    </row>
    <row r="309" spans="46:53" x14ac:dyDescent="0.2">
      <c r="AT309" s="55"/>
      <c r="AU309" s="55"/>
      <c r="AV309" s="55"/>
      <c r="AW309" s="58"/>
      <c r="AX309" s="55"/>
      <c r="AY309" s="55"/>
      <c r="AZ309" s="55"/>
      <c r="BA309" s="55"/>
    </row>
    <row r="310" spans="46:53" x14ac:dyDescent="0.2">
      <c r="AT310" s="55"/>
      <c r="AU310" s="55"/>
      <c r="AV310" s="55"/>
      <c r="AW310" s="58"/>
      <c r="AX310" s="55"/>
      <c r="AY310" s="55"/>
      <c r="AZ310" s="55"/>
      <c r="BA310" s="55"/>
    </row>
    <row r="311" spans="46:53" x14ac:dyDescent="0.2">
      <c r="AT311" s="55"/>
      <c r="AU311" s="55"/>
      <c r="AV311" s="55"/>
      <c r="AW311" s="58"/>
      <c r="AX311" s="55"/>
      <c r="AY311" s="55"/>
      <c r="AZ311" s="55"/>
      <c r="BA311" s="55"/>
    </row>
    <row r="312" spans="46:53" x14ac:dyDescent="0.2">
      <c r="AT312" s="55"/>
      <c r="AU312" s="55"/>
      <c r="AV312" s="55"/>
      <c r="AW312" s="58"/>
      <c r="AX312" s="55"/>
      <c r="AY312" s="55"/>
      <c r="AZ312" s="55"/>
      <c r="BA312" s="55"/>
    </row>
    <row r="313" spans="46:53" x14ac:dyDescent="0.2">
      <c r="AT313" s="55"/>
      <c r="AU313" s="55"/>
      <c r="AV313" s="55"/>
      <c r="AW313" s="58"/>
      <c r="AX313" s="55"/>
      <c r="AY313" s="55"/>
      <c r="AZ313" s="55"/>
      <c r="BA313" s="55"/>
    </row>
    <row r="314" spans="46:53" x14ac:dyDescent="0.2">
      <c r="AT314" s="55"/>
      <c r="AU314" s="55"/>
      <c r="AV314" s="55"/>
      <c r="AW314" s="58"/>
      <c r="AX314" s="55"/>
      <c r="AY314" s="55"/>
      <c r="AZ314" s="55"/>
      <c r="BA314" s="55"/>
    </row>
    <row r="315" spans="46:53" x14ac:dyDescent="0.2">
      <c r="AT315" s="55"/>
      <c r="AU315" s="55"/>
      <c r="AV315" s="55"/>
      <c r="AW315" s="58"/>
      <c r="AX315" s="55"/>
      <c r="AY315" s="55"/>
      <c r="AZ315" s="55"/>
      <c r="BA315" s="55"/>
    </row>
    <row r="316" spans="46:53" x14ac:dyDescent="0.2">
      <c r="AT316" s="55"/>
      <c r="AU316" s="55"/>
      <c r="AV316" s="55"/>
      <c r="AW316" s="58"/>
      <c r="AX316" s="55"/>
      <c r="AY316" s="55"/>
      <c r="AZ316" s="55"/>
      <c r="BA316" s="55"/>
    </row>
    <row r="317" spans="46:53" x14ac:dyDescent="0.2">
      <c r="AT317" s="55"/>
      <c r="AU317" s="55"/>
      <c r="AV317" s="55"/>
      <c r="AW317" s="58"/>
      <c r="AX317" s="55"/>
      <c r="AY317" s="55"/>
      <c r="AZ317" s="55"/>
      <c r="BA317" s="55"/>
    </row>
    <row r="318" spans="46:53" x14ac:dyDescent="0.2">
      <c r="AT318" s="55"/>
      <c r="AU318" s="55"/>
      <c r="AV318" s="55"/>
      <c r="AW318" s="58"/>
      <c r="AX318" s="55"/>
      <c r="AY318" s="55"/>
      <c r="AZ318" s="55"/>
      <c r="BA318" s="55"/>
    </row>
    <row r="319" spans="46:53" x14ac:dyDescent="0.2">
      <c r="AT319" s="55"/>
      <c r="AU319" s="55"/>
      <c r="AV319" s="55"/>
      <c r="AW319" s="58"/>
      <c r="AX319" s="55"/>
      <c r="AY319" s="55"/>
      <c r="AZ319" s="55"/>
      <c r="BA319" s="55"/>
    </row>
    <row r="320" spans="46:53" x14ac:dyDescent="0.2">
      <c r="AT320" s="55"/>
      <c r="AU320" s="55"/>
      <c r="AV320" s="55"/>
      <c r="AW320" s="58"/>
      <c r="AX320" s="55"/>
      <c r="AY320" s="55"/>
      <c r="AZ320" s="55"/>
      <c r="BA320" s="55"/>
    </row>
    <row r="321" spans="46:53" x14ac:dyDescent="0.2">
      <c r="AT321" s="55"/>
      <c r="AU321" s="55"/>
      <c r="AV321" s="55"/>
      <c r="AW321" s="58"/>
      <c r="AX321" s="55"/>
      <c r="AY321" s="55"/>
      <c r="AZ321" s="55"/>
      <c r="BA321" s="55"/>
    </row>
    <row r="322" spans="46:53" x14ac:dyDescent="0.2">
      <c r="AT322" s="55"/>
      <c r="AU322" s="55"/>
      <c r="AV322" s="55"/>
      <c r="AW322" s="58"/>
      <c r="AX322" s="55"/>
      <c r="AY322" s="55"/>
      <c r="AZ322" s="55"/>
      <c r="BA322" s="55"/>
    </row>
    <row r="323" spans="46:53" x14ac:dyDescent="0.2">
      <c r="AT323" s="55"/>
      <c r="AU323" s="55"/>
      <c r="AV323" s="55"/>
      <c r="AW323" s="58"/>
      <c r="AX323" s="55"/>
      <c r="AY323" s="55"/>
      <c r="AZ323" s="55"/>
      <c r="BA323" s="55"/>
    </row>
    <row r="324" spans="46:53" x14ac:dyDescent="0.2">
      <c r="AT324" s="55"/>
      <c r="AU324" s="55"/>
      <c r="AV324" s="55"/>
      <c r="AW324" s="58"/>
      <c r="AX324" s="55"/>
      <c r="AY324" s="55"/>
      <c r="AZ324" s="55"/>
      <c r="BA324" s="55"/>
    </row>
    <row r="325" spans="46:53" x14ac:dyDescent="0.2">
      <c r="AT325" s="55"/>
      <c r="AU325" s="55"/>
      <c r="AV325" s="55"/>
      <c r="AW325" s="58"/>
      <c r="AX325" s="55"/>
      <c r="AY325" s="55"/>
      <c r="AZ325" s="55"/>
      <c r="BA325" s="55"/>
    </row>
    <row r="326" spans="46:53" x14ac:dyDescent="0.2">
      <c r="AT326" s="55"/>
      <c r="AU326" s="55"/>
      <c r="AV326" s="55"/>
      <c r="AW326" s="58"/>
      <c r="AX326" s="55"/>
      <c r="AY326" s="55"/>
      <c r="AZ326" s="55"/>
      <c r="BA326" s="55"/>
    </row>
    <row r="327" spans="46:53" x14ac:dyDescent="0.2">
      <c r="AT327" s="55"/>
      <c r="AU327" s="55"/>
      <c r="AV327" s="55"/>
      <c r="AW327" s="58"/>
      <c r="AX327" s="55"/>
      <c r="AY327" s="55"/>
      <c r="AZ327" s="55"/>
      <c r="BA327" s="55"/>
    </row>
    <row r="328" spans="46:53" x14ac:dyDescent="0.2">
      <c r="AT328" s="55"/>
      <c r="AU328" s="55"/>
      <c r="AV328" s="55"/>
      <c r="AW328" s="58"/>
      <c r="AX328" s="55"/>
      <c r="AY328" s="55"/>
      <c r="AZ328" s="55"/>
      <c r="BA328" s="55"/>
    </row>
    <row r="329" spans="46:53" x14ac:dyDescent="0.2">
      <c r="AT329" s="55"/>
      <c r="AU329" s="55"/>
      <c r="AV329" s="55"/>
      <c r="AW329" s="58"/>
      <c r="AX329" s="55"/>
      <c r="AY329" s="55"/>
      <c r="AZ329" s="55"/>
      <c r="BA329" s="55"/>
    </row>
    <row r="330" spans="46:53" x14ac:dyDescent="0.2">
      <c r="AT330" s="55"/>
      <c r="AU330" s="55"/>
      <c r="AV330" s="55"/>
      <c r="AW330" s="58"/>
      <c r="AX330" s="55"/>
      <c r="AY330" s="55"/>
      <c r="AZ330" s="55"/>
      <c r="BA330" s="55"/>
    </row>
    <row r="331" spans="46:53" x14ac:dyDescent="0.2">
      <c r="AT331" s="55"/>
      <c r="AU331" s="55"/>
      <c r="AV331" s="55"/>
      <c r="AW331" s="58"/>
      <c r="AX331" s="55"/>
      <c r="AY331" s="55"/>
      <c r="AZ331" s="55"/>
      <c r="BA331" s="55"/>
    </row>
    <row r="332" spans="46:53" x14ac:dyDescent="0.2">
      <c r="AT332" s="63"/>
      <c r="AU332" s="63"/>
      <c r="AV332" s="63"/>
    </row>
    <row r="333" spans="46:53" x14ac:dyDescent="0.2">
      <c r="AT333" s="63"/>
      <c r="AU333" s="63"/>
      <c r="AV333" s="63"/>
      <c r="AW333" s="66"/>
      <c r="AX333" s="63"/>
      <c r="AY333" s="63"/>
      <c r="AZ333" s="63"/>
      <c r="BA333" s="63"/>
    </row>
    <row r="334" spans="46:53" x14ac:dyDescent="0.2">
      <c r="AW334" s="66"/>
      <c r="AX334" s="63"/>
      <c r="AY334" s="63"/>
      <c r="AZ334" s="63"/>
      <c r="BA334" s="63"/>
    </row>
    <row r="335" spans="46:53" x14ac:dyDescent="0.2">
      <c r="AW335" s="66"/>
      <c r="AX335" s="63"/>
      <c r="AY335" s="63"/>
      <c r="AZ335" s="63"/>
      <c r="BA335" s="63"/>
    </row>
    <row r="336" spans="46:53" x14ac:dyDescent="0.2">
      <c r="AW336" s="66"/>
      <c r="AX336" s="63"/>
      <c r="AY336" s="63"/>
      <c r="AZ336" s="63"/>
      <c r="BA336" s="63"/>
    </row>
    <row r="337" spans="46:53" x14ac:dyDescent="0.2">
      <c r="AW337" s="66"/>
      <c r="AX337" s="63"/>
      <c r="AY337" s="63"/>
      <c r="AZ337" s="63"/>
      <c r="BA337" s="63"/>
    </row>
    <row r="338" spans="46:53" x14ac:dyDescent="0.2">
      <c r="AW338" s="66"/>
      <c r="AX338" s="63"/>
      <c r="AY338" s="63"/>
      <c r="AZ338" s="63"/>
      <c r="BA338" s="63"/>
    </row>
    <row r="339" spans="46:53" x14ac:dyDescent="0.2">
      <c r="AW339" s="66"/>
      <c r="AX339" s="63"/>
      <c r="AY339" s="63"/>
      <c r="AZ339" s="63"/>
      <c r="BA339" s="63"/>
    </row>
    <row r="340" spans="46:53" x14ac:dyDescent="0.2">
      <c r="AW340" s="66"/>
      <c r="AX340" s="63"/>
      <c r="AY340" s="63"/>
      <c r="AZ340" s="63"/>
      <c r="BA340" s="63"/>
    </row>
    <row r="341" spans="46:53" x14ac:dyDescent="0.2">
      <c r="AW341" s="73"/>
      <c r="AX341" s="72"/>
      <c r="AY341" s="72"/>
      <c r="AZ341" s="72"/>
      <c r="BA341" s="72"/>
    </row>
    <row r="342" spans="46:53" x14ac:dyDescent="0.2">
      <c r="AW342" s="79"/>
      <c r="AX342" s="78"/>
      <c r="AY342" s="78"/>
      <c r="AZ342" s="78"/>
      <c r="BA342" s="78"/>
    </row>
    <row r="343" spans="46:53" x14ac:dyDescent="0.2">
      <c r="AW343" s="79"/>
      <c r="AX343" s="78"/>
      <c r="AY343" s="78"/>
      <c r="AZ343" s="78"/>
      <c r="BA343" s="78"/>
    </row>
    <row r="344" spans="46:53" x14ac:dyDescent="0.2">
      <c r="AW344" s="66"/>
      <c r="AX344" s="63"/>
      <c r="AY344" s="63"/>
      <c r="AZ344" s="63"/>
      <c r="BA344" s="63"/>
    </row>
    <row r="345" spans="46:53" x14ac:dyDescent="0.2">
      <c r="AW345" s="66"/>
      <c r="AX345" s="63"/>
      <c r="AY345" s="63"/>
      <c r="AZ345" s="63"/>
      <c r="BA345" s="63"/>
    </row>
    <row r="348" spans="46:53" x14ac:dyDescent="0.2">
      <c r="AT348" s="96"/>
      <c r="AU348" s="96"/>
    </row>
    <row r="371" spans="46:53" x14ac:dyDescent="0.2">
      <c r="AW371" s="58"/>
      <c r="AX371" s="55"/>
      <c r="AY371" s="55"/>
      <c r="AZ371" s="55"/>
      <c r="BA371" s="55"/>
    </row>
    <row r="372" spans="46:53" x14ac:dyDescent="0.2">
      <c r="AW372" s="58"/>
      <c r="AX372" s="55"/>
      <c r="AY372" s="55"/>
      <c r="AZ372" s="55"/>
      <c r="BA372" s="55"/>
    </row>
    <row r="373" spans="46:53" x14ac:dyDescent="0.2">
      <c r="AW373" s="58"/>
      <c r="AX373" s="55"/>
      <c r="AY373" s="55"/>
      <c r="AZ373" s="55"/>
      <c r="BA373" s="55"/>
    </row>
    <row r="374" spans="46:53" x14ac:dyDescent="0.2">
      <c r="AW374" s="58"/>
      <c r="AX374" s="55"/>
      <c r="AY374" s="55"/>
      <c r="AZ374" s="55"/>
      <c r="BA374" s="55"/>
    </row>
    <row r="375" spans="46:53" x14ac:dyDescent="0.2">
      <c r="AW375" s="58"/>
      <c r="AX375" s="55"/>
      <c r="AY375" s="55"/>
      <c r="AZ375" s="55"/>
      <c r="BA375" s="55"/>
    </row>
    <row r="376" spans="46:53" x14ac:dyDescent="0.2">
      <c r="AW376" s="58"/>
      <c r="AX376" s="55"/>
      <c r="AY376" s="55"/>
      <c r="AZ376" s="55"/>
      <c r="BA376" s="55"/>
    </row>
    <row r="377" spans="46:53" x14ac:dyDescent="0.2">
      <c r="AW377" s="58"/>
      <c r="AX377" s="55"/>
      <c r="AY377" s="55"/>
      <c r="AZ377" s="55"/>
      <c r="BA377" s="55"/>
    </row>
    <row r="378" spans="46:53" x14ac:dyDescent="0.2">
      <c r="AW378" s="58"/>
      <c r="AX378" s="55"/>
      <c r="AY378" s="55"/>
      <c r="AZ378" s="55"/>
      <c r="BA378" s="55"/>
    </row>
    <row r="379" spans="46:53" x14ac:dyDescent="0.2">
      <c r="AW379" s="58"/>
      <c r="AX379" s="55"/>
      <c r="AY379" s="55"/>
      <c r="AZ379" s="55"/>
      <c r="BA379" s="55"/>
    </row>
    <row r="380" spans="46:53" x14ac:dyDescent="0.2">
      <c r="AW380" s="58"/>
      <c r="AX380" s="55"/>
      <c r="AY380" s="55"/>
      <c r="AZ380" s="55"/>
      <c r="BA380" s="55"/>
    </row>
    <row r="381" spans="46:53" x14ac:dyDescent="0.2">
      <c r="AW381" s="58"/>
      <c r="AX381" s="55"/>
      <c r="AY381" s="55"/>
      <c r="AZ381" s="55"/>
      <c r="BA381" s="55"/>
    </row>
    <row r="382" spans="46:53" x14ac:dyDescent="0.2">
      <c r="AW382" s="58"/>
      <c r="AX382" s="55"/>
      <c r="AY382" s="55"/>
      <c r="AZ382" s="55"/>
      <c r="BA382" s="55"/>
    </row>
    <row r="383" spans="46:53" x14ac:dyDescent="0.2">
      <c r="AW383" s="58"/>
      <c r="AX383" s="55"/>
      <c r="AY383" s="55"/>
      <c r="AZ383" s="55"/>
      <c r="BA383" s="55"/>
    </row>
    <row r="384" spans="46:53" x14ac:dyDescent="0.2">
      <c r="AT384" s="96"/>
      <c r="AU384" s="96"/>
      <c r="AW384" s="58"/>
      <c r="AX384" s="55"/>
      <c r="AY384" s="55"/>
      <c r="AZ384" s="55"/>
      <c r="BA384" s="55"/>
    </row>
    <row r="385" spans="49:53" x14ac:dyDescent="0.2">
      <c r="AW385" s="58"/>
      <c r="AX385" s="55"/>
      <c r="AY385" s="55"/>
      <c r="AZ385" s="55"/>
      <c r="BA385" s="55"/>
    </row>
    <row r="386" spans="49:53" x14ac:dyDescent="0.2">
      <c r="AW386" s="58"/>
      <c r="AX386" s="55"/>
      <c r="AY386" s="55"/>
      <c r="AZ386" s="55"/>
      <c r="BA386" s="55"/>
    </row>
    <row r="387" spans="49:53" x14ac:dyDescent="0.2">
      <c r="AW387" s="58"/>
      <c r="AX387" s="55"/>
      <c r="AY387" s="55"/>
      <c r="AZ387" s="55"/>
      <c r="BA387" s="55"/>
    </row>
    <row r="388" spans="49:53" x14ac:dyDescent="0.2">
      <c r="AW388" s="58"/>
      <c r="AX388" s="55"/>
      <c r="AY388" s="55"/>
      <c r="AZ388" s="55"/>
      <c r="BA388" s="55"/>
    </row>
    <row r="389" spans="49:53" x14ac:dyDescent="0.2">
      <c r="AW389" s="58"/>
      <c r="AX389" s="55"/>
      <c r="AY389" s="55"/>
      <c r="AZ389" s="55"/>
      <c r="BA389" s="55"/>
    </row>
    <row r="390" spans="49:53" x14ac:dyDescent="0.2">
      <c r="AW390" s="58"/>
      <c r="AX390" s="55"/>
      <c r="AY390" s="55"/>
      <c r="AZ390" s="55"/>
      <c r="BA390" s="55"/>
    </row>
    <row r="391" spans="49:53" x14ac:dyDescent="0.2">
      <c r="AW391" s="58"/>
      <c r="AX391" s="55"/>
      <c r="AY391" s="55"/>
      <c r="AZ391" s="55"/>
      <c r="BA391" s="55"/>
    </row>
    <row r="392" spans="49:53" x14ac:dyDescent="0.2">
      <c r="AW392" s="58"/>
      <c r="AX392" s="55"/>
      <c r="AY392" s="55"/>
      <c r="AZ392" s="55"/>
      <c r="BA392" s="55"/>
    </row>
    <row r="393" spans="49:53" x14ac:dyDescent="0.2">
      <c r="AW393" s="58"/>
      <c r="AX393" s="55"/>
      <c r="AY393" s="55"/>
      <c r="AZ393" s="55"/>
      <c r="BA393" s="55"/>
    </row>
    <row r="394" spans="49:53" x14ac:dyDescent="0.2">
      <c r="AW394" s="58"/>
      <c r="AX394" s="55"/>
      <c r="AY394" s="55"/>
      <c r="AZ394" s="55"/>
      <c r="BA394" s="55"/>
    </row>
    <row r="395" spans="49:53" x14ac:dyDescent="0.2">
      <c r="AW395" s="58"/>
      <c r="AX395" s="55"/>
      <c r="AY395" s="55"/>
      <c r="AZ395" s="55"/>
      <c r="BA395" s="55"/>
    </row>
    <row r="396" spans="49:53" x14ac:dyDescent="0.2">
      <c r="AW396" s="58"/>
      <c r="AX396" s="55"/>
      <c r="AY396" s="55"/>
      <c r="AZ396" s="55"/>
      <c r="BA396" s="55"/>
    </row>
    <row r="397" spans="49:53" x14ac:dyDescent="0.2">
      <c r="AW397" s="58"/>
      <c r="AX397" s="55"/>
      <c r="AY397" s="55"/>
      <c r="AZ397" s="55"/>
      <c r="BA397" s="55"/>
    </row>
    <row r="398" spans="49:53" x14ac:dyDescent="0.2">
      <c r="AW398" s="58"/>
      <c r="AX398" s="55"/>
      <c r="AY398" s="55"/>
      <c r="AZ398" s="55"/>
      <c r="BA398" s="55"/>
    </row>
    <row r="399" spans="49:53" x14ac:dyDescent="0.2">
      <c r="AW399" s="58"/>
      <c r="AX399" s="55"/>
      <c r="AY399" s="55"/>
      <c r="AZ399" s="55"/>
      <c r="BA399" s="55"/>
    </row>
    <row r="400" spans="49:53" x14ac:dyDescent="0.2">
      <c r="AW400" s="58"/>
      <c r="AX400" s="55"/>
      <c r="AY400" s="55"/>
      <c r="AZ400" s="55"/>
      <c r="BA400" s="55"/>
    </row>
    <row r="401" spans="49:53" x14ac:dyDescent="0.2">
      <c r="AW401" s="58"/>
      <c r="AX401" s="55"/>
      <c r="AY401" s="55"/>
      <c r="AZ401" s="55"/>
      <c r="BA401" s="55"/>
    </row>
    <row r="402" spans="49:53" x14ac:dyDescent="0.2">
      <c r="AW402" s="58"/>
      <c r="AX402" s="55"/>
      <c r="AY402" s="55"/>
      <c r="AZ402" s="55"/>
      <c r="BA402" s="55"/>
    </row>
    <row r="403" spans="49:53" x14ac:dyDescent="0.2">
      <c r="AW403" s="58"/>
      <c r="AX403" s="55"/>
      <c r="AY403" s="55"/>
      <c r="AZ403" s="55"/>
      <c r="BA403" s="55"/>
    </row>
    <row r="404" spans="49:53" x14ac:dyDescent="0.2">
      <c r="AW404" s="58"/>
      <c r="AX404" s="55"/>
      <c r="AY404" s="55"/>
      <c r="AZ404" s="55"/>
      <c r="BA404" s="55"/>
    </row>
    <row r="405" spans="49:53" x14ac:dyDescent="0.2">
      <c r="AW405" s="58"/>
      <c r="AX405" s="55"/>
      <c r="AY405" s="55"/>
      <c r="AZ405" s="55"/>
      <c r="BA405" s="55"/>
    </row>
    <row r="406" spans="49:53" x14ac:dyDescent="0.2">
      <c r="AW406" s="58"/>
      <c r="AX406" s="55"/>
      <c r="AY406" s="55"/>
      <c r="AZ406" s="55"/>
      <c r="BA406" s="55"/>
    </row>
    <row r="407" spans="49:53" x14ac:dyDescent="0.2">
      <c r="AW407" s="58"/>
      <c r="AX407" s="55"/>
      <c r="AY407" s="55"/>
      <c r="AZ407" s="55"/>
      <c r="BA407" s="55"/>
    </row>
    <row r="408" spans="49:53" x14ac:dyDescent="0.2">
      <c r="AW408" s="58"/>
      <c r="AX408" s="55"/>
      <c r="AY408" s="55"/>
      <c r="AZ408" s="55"/>
      <c r="BA408" s="55"/>
    </row>
    <row r="409" spans="49:53" x14ac:dyDescent="0.2">
      <c r="AW409" s="58"/>
      <c r="AX409" s="55"/>
      <c r="AY409" s="55"/>
      <c r="AZ409" s="55"/>
      <c r="BA409" s="55"/>
    </row>
    <row r="410" spans="49:53" x14ac:dyDescent="0.2">
      <c r="AW410" s="58"/>
      <c r="AX410" s="55"/>
      <c r="AY410" s="55"/>
      <c r="AZ410" s="55"/>
      <c r="BA410" s="55"/>
    </row>
    <row r="411" spans="49:53" x14ac:dyDescent="0.2">
      <c r="AW411" s="58"/>
      <c r="AX411" s="55"/>
      <c r="AY411" s="55"/>
      <c r="AZ411" s="55"/>
      <c r="BA411" s="55"/>
    </row>
    <row r="412" spans="49:53" x14ac:dyDescent="0.2">
      <c r="AW412" s="58"/>
      <c r="AX412" s="55"/>
      <c r="AY412" s="55"/>
      <c r="AZ412" s="55"/>
      <c r="BA412" s="55"/>
    </row>
    <row r="413" spans="49:53" x14ac:dyDescent="0.2">
      <c r="AW413" s="58"/>
      <c r="AX413" s="55"/>
      <c r="AY413" s="55"/>
      <c r="AZ413" s="55"/>
      <c r="BA413" s="55"/>
    </row>
    <row r="414" spans="49:53" x14ac:dyDescent="0.2">
      <c r="AW414" s="58"/>
      <c r="AX414" s="55"/>
      <c r="AY414" s="55"/>
      <c r="AZ414" s="55"/>
      <c r="BA414" s="55"/>
    </row>
    <row r="415" spans="49:53" x14ac:dyDescent="0.2">
      <c r="AW415" s="58"/>
      <c r="AX415" s="55"/>
      <c r="AY415" s="55"/>
      <c r="AZ415" s="55"/>
      <c r="BA415" s="55"/>
    </row>
    <row r="416" spans="49:53" x14ac:dyDescent="0.2">
      <c r="AW416" s="58"/>
      <c r="AX416" s="55"/>
      <c r="AY416" s="55"/>
      <c r="AZ416" s="55"/>
      <c r="BA416" s="55"/>
    </row>
    <row r="418" spans="49:53" x14ac:dyDescent="0.2">
      <c r="AW418" s="66"/>
      <c r="AX418" s="63"/>
      <c r="AY418" s="63"/>
      <c r="AZ418" s="63"/>
      <c r="BA418" s="63"/>
    </row>
    <row r="419" spans="49:53" x14ac:dyDescent="0.2">
      <c r="AW419" s="66"/>
      <c r="AX419" s="63"/>
      <c r="AY419" s="63"/>
      <c r="AZ419" s="63"/>
      <c r="BA419" s="63"/>
    </row>
    <row r="420" spans="49:53" x14ac:dyDescent="0.2">
      <c r="AW420" s="66"/>
      <c r="AX420" s="63"/>
      <c r="AY420" s="63"/>
      <c r="AZ420" s="63"/>
      <c r="BA420" s="63"/>
    </row>
    <row r="421" spans="49:53" x14ac:dyDescent="0.2">
      <c r="AW421" s="66"/>
      <c r="AX421" s="63"/>
      <c r="AY421" s="63"/>
      <c r="AZ421" s="63"/>
      <c r="BA421" s="63"/>
    </row>
    <row r="422" spans="49:53" x14ac:dyDescent="0.2">
      <c r="AW422" s="66"/>
      <c r="AX422" s="63"/>
      <c r="AY422" s="63"/>
      <c r="AZ422" s="63"/>
      <c r="BA422" s="63"/>
    </row>
    <row r="423" spans="49:53" x14ac:dyDescent="0.2">
      <c r="AW423" s="66"/>
      <c r="AX423" s="63"/>
      <c r="AY423" s="63"/>
      <c r="AZ423" s="63"/>
      <c r="BA423" s="63"/>
    </row>
    <row r="424" spans="49:53" x14ac:dyDescent="0.2">
      <c r="AW424" s="66"/>
      <c r="AX424" s="63"/>
      <c r="AY424" s="63"/>
      <c r="AZ424" s="63"/>
      <c r="BA424" s="63"/>
    </row>
    <row r="425" spans="49:53" x14ac:dyDescent="0.2">
      <c r="AW425" s="66"/>
      <c r="AX425" s="63"/>
      <c r="AY425" s="63"/>
      <c r="AZ425" s="63"/>
      <c r="BA425" s="63"/>
    </row>
    <row r="426" spans="49:53" x14ac:dyDescent="0.2">
      <c r="AW426" s="73"/>
      <c r="AX426" s="72"/>
      <c r="AY426" s="72"/>
      <c r="AZ426" s="72"/>
      <c r="BA426" s="72"/>
    </row>
    <row r="427" spans="49:53" x14ac:dyDescent="0.2">
      <c r="AW427" s="79"/>
      <c r="AX427" s="78"/>
      <c r="AY427" s="78"/>
      <c r="AZ427" s="78"/>
      <c r="BA427" s="78"/>
    </row>
    <row r="428" spans="49:53" x14ac:dyDescent="0.2">
      <c r="AW428" s="79"/>
      <c r="AX428" s="78"/>
      <c r="AY428" s="78"/>
      <c r="AZ428" s="78"/>
      <c r="BA428" s="78"/>
    </row>
    <row r="429" spans="49:53" x14ac:dyDescent="0.2">
      <c r="AW429" s="66"/>
      <c r="AX429" s="63"/>
      <c r="AY429" s="63"/>
      <c r="AZ429" s="63"/>
      <c r="BA429" s="63"/>
    </row>
    <row r="430" spans="49:53" x14ac:dyDescent="0.2">
      <c r="AW430" s="66"/>
      <c r="AX430" s="63"/>
      <c r="AY430" s="63"/>
      <c r="AZ430" s="63"/>
      <c r="BA430" s="6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4589" priority="5" stopIfTrue="1">
      <formula>IF(AK9&gt;0,0,1)</formula>
    </cfRule>
  </conditionalFormatting>
  <conditionalFormatting sqref="A10:A11 A95:A96">
    <cfRule type="expression" dxfId="4588" priority="6" stopIfTrue="1">
      <formula>IF(AK9&gt;1,0,1)</formula>
    </cfRule>
  </conditionalFormatting>
  <conditionalFormatting sqref="A12:A13 A97:A98">
    <cfRule type="expression" dxfId="4587" priority="7" stopIfTrue="1">
      <formula>IF(AK9&gt;2,0,1)</formula>
    </cfRule>
  </conditionalFormatting>
  <conditionalFormatting sqref="A14:A15 A99:A100">
    <cfRule type="expression" dxfId="4586" priority="8" stopIfTrue="1">
      <formula>IF(AK9&gt;3,0,1)</formula>
    </cfRule>
  </conditionalFormatting>
  <conditionalFormatting sqref="A16:A17 A101:A102">
    <cfRule type="expression" dxfId="4585" priority="9" stopIfTrue="1">
      <formula>IF(AK9&gt;4,0,1)</formula>
    </cfRule>
  </conditionalFormatting>
  <conditionalFormatting sqref="B8 B93">
    <cfRule type="expression" dxfId="4584" priority="10" stopIfTrue="1">
      <formula>IF(AK9&gt;0,0,1)</formula>
    </cfRule>
  </conditionalFormatting>
  <conditionalFormatting sqref="B9 B94">
    <cfRule type="expression" dxfId="4583" priority="11" stopIfTrue="1">
      <formula>IF(AK9&gt;0,0,1)</formula>
    </cfRule>
  </conditionalFormatting>
  <conditionalFormatting sqref="B10 B95">
    <cfRule type="expression" dxfId="4582" priority="12" stopIfTrue="1">
      <formula>IF(AK9&gt;1,0,1)</formula>
    </cfRule>
  </conditionalFormatting>
  <conditionalFormatting sqref="B11:D11 B96:D96">
    <cfRule type="expression" dxfId="4581" priority="13" stopIfTrue="1">
      <formula>IF(AK9&gt;1,0,1)</formula>
    </cfRule>
  </conditionalFormatting>
  <conditionalFormatting sqref="B12:D12 B97:D97">
    <cfRule type="expression" dxfId="4580" priority="14" stopIfTrue="1">
      <formula>IF(AK9&gt;2,0,1)</formula>
    </cfRule>
  </conditionalFormatting>
  <conditionalFormatting sqref="B13:D13 B98:D98">
    <cfRule type="expression" dxfId="4579" priority="15" stopIfTrue="1">
      <formula>IF(AK9&gt;2,0,1)</formula>
    </cfRule>
  </conditionalFormatting>
  <conditionalFormatting sqref="B14:D14 B99:D99">
    <cfRule type="expression" dxfId="4578" priority="16" stopIfTrue="1">
      <formula>IF(AK9&gt;3,0,1)</formula>
    </cfRule>
  </conditionalFormatting>
  <conditionalFormatting sqref="B15:D15 B100:D100">
    <cfRule type="expression" dxfId="4577" priority="17" stopIfTrue="1">
      <formula>IF(AK9&gt;3,0,1)</formula>
    </cfRule>
  </conditionalFormatting>
  <conditionalFormatting sqref="B16:D16 B101:D101">
    <cfRule type="expression" dxfId="4576" priority="18" stopIfTrue="1">
      <formula>IF(AK9&gt;4,0,1)</formula>
    </cfRule>
  </conditionalFormatting>
  <conditionalFormatting sqref="B17:D17 B102:D102">
    <cfRule type="expression" dxfId="4575" priority="19" stopIfTrue="1">
      <formula>IF(AK9&gt;4,0,1)</formula>
    </cfRule>
  </conditionalFormatting>
  <conditionalFormatting sqref="E8 E93">
    <cfRule type="expression" dxfId="4574" priority="20" stopIfTrue="1">
      <formula>IF(AK9&gt;0,0,1)</formula>
    </cfRule>
  </conditionalFormatting>
  <conditionalFormatting sqref="E9 E94">
    <cfRule type="expression" dxfId="4573" priority="21" stopIfTrue="1">
      <formula>IF(AK9&gt;0,0,1)</formula>
    </cfRule>
  </conditionalFormatting>
  <conditionalFormatting sqref="E10 E95">
    <cfRule type="expression" dxfId="4572" priority="22" stopIfTrue="1">
      <formula>IF(AK9&gt;1,0,1)</formula>
    </cfRule>
  </conditionalFormatting>
  <conditionalFormatting sqref="E11 E96">
    <cfRule type="expression" dxfId="4571" priority="23" stopIfTrue="1">
      <formula>IF(AK9&gt;1,0,1)</formula>
    </cfRule>
  </conditionalFormatting>
  <conditionalFormatting sqref="E12 E97">
    <cfRule type="expression" dxfId="4570" priority="24" stopIfTrue="1">
      <formula>IF(AK9&gt;2,0,1)</formula>
    </cfRule>
  </conditionalFormatting>
  <conditionalFormatting sqref="E13 E98">
    <cfRule type="expression" dxfId="4569" priority="25" stopIfTrue="1">
      <formula>IF(AK9&gt;2,0,1)</formula>
    </cfRule>
  </conditionalFormatting>
  <conditionalFormatting sqref="E14 E99">
    <cfRule type="expression" dxfId="4568" priority="26" stopIfTrue="1">
      <formula>IF(AK9&gt;3,0,1)</formula>
    </cfRule>
  </conditionalFormatting>
  <conditionalFormatting sqref="E15 E100">
    <cfRule type="expression" dxfId="4567" priority="27" stopIfTrue="1">
      <formula>IF(AK9&gt;3,0,1)</formula>
    </cfRule>
  </conditionalFormatting>
  <conditionalFormatting sqref="E16 E101">
    <cfRule type="expression" dxfId="4566" priority="28" stopIfTrue="1">
      <formula>IF(AK9&gt;4,0,1)</formula>
    </cfRule>
  </conditionalFormatting>
  <conditionalFormatting sqref="E17 E102">
    <cfRule type="expression" dxfId="4565" priority="29" stopIfTrue="1">
      <formula>IF(AK9&gt;4,0,1)</formula>
    </cfRule>
  </conditionalFormatting>
  <conditionalFormatting sqref="AC8 AC93">
    <cfRule type="expression" dxfId="4564" priority="30" stopIfTrue="1">
      <formula>IF(AK11=1,IF(AK9&gt;0,0,1),1)</formula>
    </cfRule>
  </conditionalFormatting>
  <conditionalFormatting sqref="AC10:AE11 AC95:AE96">
    <cfRule type="expression" dxfId="4563" priority="31" stopIfTrue="1">
      <formula>IF(AK11=1,IF(AK9&gt;1,0,1),1)</formula>
    </cfRule>
  </conditionalFormatting>
  <conditionalFormatting sqref="AC12:AE13 AC97:AE98">
    <cfRule type="expression" dxfId="4562" priority="32" stopIfTrue="1">
      <formula>IF(AK11=1,IF(AK9&gt;2,0,1),1)</formula>
    </cfRule>
  </conditionalFormatting>
  <conditionalFormatting sqref="AC14:AE15 AC99:AE100">
    <cfRule type="expression" dxfId="4561" priority="33" stopIfTrue="1">
      <formula>IF(AK11=1,IF(AK9&gt;3,0,1),1)</formula>
    </cfRule>
  </conditionalFormatting>
  <conditionalFormatting sqref="AC16:AE17 AC101:AE102">
    <cfRule type="expression" dxfId="4560" priority="34" stopIfTrue="1">
      <formula>IF(AK11=1,IF(AK9&gt;4,0,1),1)</formula>
    </cfRule>
  </conditionalFormatting>
  <conditionalFormatting sqref="AH8 AH93">
    <cfRule type="expression" dxfId="4559" priority="35" stopIfTrue="1">
      <formula>IF(AK9&gt;0,0,1)</formula>
    </cfRule>
  </conditionalFormatting>
  <conditionalFormatting sqref="AH10:AI11 AH95:AI96">
    <cfRule type="expression" dxfId="4558" priority="36" stopIfTrue="1">
      <formula>IF(AK9&gt;1,0,1)</formula>
    </cfRule>
  </conditionalFormatting>
  <conditionalFormatting sqref="AH12:AI13 AH97:AI98">
    <cfRule type="expression" dxfId="4557" priority="37" stopIfTrue="1">
      <formula>IF(AK9&gt;2,0,1)</formula>
    </cfRule>
  </conditionalFormatting>
  <conditionalFormatting sqref="AH14:AI15 AH99:AI100">
    <cfRule type="expression" dxfId="4556" priority="38" stopIfTrue="1">
      <formula>IF(AK9&gt;3,0,1)</formula>
    </cfRule>
  </conditionalFormatting>
  <conditionalFormatting sqref="AH16:AI17 AH101:AI102">
    <cfRule type="expression" dxfId="4555" priority="39" stopIfTrue="1">
      <formula>IF(AK9&gt;4,0,1)</formula>
    </cfRule>
  </conditionalFormatting>
  <conditionalFormatting sqref="B19:D19 B104:D104">
    <cfRule type="expression" dxfId="4554" priority="40" stopIfTrue="1">
      <formula>IF(AK8&gt;0,0,1)</formula>
    </cfRule>
  </conditionalFormatting>
  <conditionalFormatting sqref="E19:G19 E104:G104">
    <cfRule type="expression" dxfId="4553" priority="41" stopIfTrue="1">
      <formula>IF(AK8&gt;1,0,1)</formula>
    </cfRule>
  </conditionalFormatting>
  <conditionalFormatting sqref="H19:J19 H104:J104">
    <cfRule type="expression" dxfId="4552" priority="42" stopIfTrue="1">
      <formula>IF(AK8&gt;2,0,1)</formula>
    </cfRule>
  </conditionalFormatting>
  <conditionalFormatting sqref="K19:M19 K104:M104">
    <cfRule type="expression" dxfId="4551" priority="43" stopIfTrue="1">
      <formula>IF(AK8&gt;3,0,1)</formula>
    </cfRule>
  </conditionalFormatting>
  <conditionalFormatting sqref="N19:P19 N104:P104">
    <cfRule type="expression" dxfId="4550" priority="44" stopIfTrue="1">
      <formula>IF(AK8&gt;4,0,1)</formula>
    </cfRule>
  </conditionalFormatting>
  <conditionalFormatting sqref="Q19:S19 Q104:S104">
    <cfRule type="expression" dxfId="4549" priority="45" stopIfTrue="1">
      <formula>IF(AK8&gt;5,0,1)</formula>
    </cfRule>
  </conditionalFormatting>
  <conditionalFormatting sqref="T19:V19 T104:V104">
    <cfRule type="expression" dxfId="4548" priority="46" stopIfTrue="1">
      <formula>IF(AK8&gt;6,0,1)</formula>
    </cfRule>
  </conditionalFormatting>
  <conditionalFormatting sqref="W19:Y19 W104:Y104">
    <cfRule type="expression" dxfId="4547" priority="47" stopIfTrue="1">
      <formula>IF(AK8&gt;7,0,1)</formula>
    </cfRule>
  </conditionalFormatting>
  <conditionalFormatting sqref="Z19:AB19 Z104:AB104">
    <cfRule type="expression" dxfId="4546" priority="48" stopIfTrue="1">
      <formula>IF(AK8&gt;8,0,1)</formula>
    </cfRule>
  </conditionalFormatting>
  <conditionalFormatting sqref="AC19:AE19 AC104:AE104">
    <cfRule type="expression" dxfId="4545" priority="49" stopIfTrue="1">
      <formula>IF(AK8&gt;9,0,1)</formula>
    </cfRule>
  </conditionalFormatting>
  <conditionalFormatting sqref="B20:D20 B105:D105">
    <cfRule type="expression" dxfId="4544" priority="50" stopIfTrue="1">
      <formula>IF(AK8&gt;0,0,1)</formula>
    </cfRule>
  </conditionalFormatting>
  <conditionalFormatting sqref="E20:G20 E105:G105">
    <cfRule type="expression" dxfId="4543" priority="51" stopIfTrue="1">
      <formula>IF(AK8&gt;1,0,1)</formula>
    </cfRule>
  </conditionalFormatting>
  <conditionalFormatting sqref="H20:J20 H105:J105">
    <cfRule type="expression" dxfId="4542" priority="52" stopIfTrue="1">
      <formula>IF(AK8&gt;2,0,1)</formula>
    </cfRule>
  </conditionalFormatting>
  <conditionalFormatting sqref="K20:M20 K105:M105">
    <cfRule type="expression" dxfId="4541" priority="53" stopIfTrue="1">
      <formula>IF(AK8&gt;3,0,1)</formula>
    </cfRule>
  </conditionalFormatting>
  <conditionalFormatting sqref="N20:P20 N105:P105">
    <cfRule type="expression" dxfId="4540" priority="54" stopIfTrue="1">
      <formula>IF(AK8&gt;4,0,1)</formula>
    </cfRule>
  </conditionalFormatting>
  <conditionalFormatting sqref="Q20:S20 Q105:S105">
    <cfRule type="expression" dxfId="4539" priority="55" stopIfTrue="1">
      <formula>IF(AK8&gt;5,0,1)</formula>
    </cfRule>
  </conditionalFormatting>
  <conditionalFormatting sqref="T20:V20 T105:V105">
    <cfRule type="expression" dxfId="4538" priority="56" stopIfTrue="1">
      <formula>IF(AK8&gt;6,0,1)</formula>
    </cfRule>
  </conditionalFormatting>
  <conditionalFormatting sqref="W20:Y20 W105:Y105">
    <cfRule type="expression" dxfId="4537" priority="57" stopIfTrue="1">
      <formula>IF(AK8&gt;7,0,1)</formula>
    </cfRule>
  </conditionalFormatting>
  <conditionalFormatting sqref="Z20:AB20 Z105:AB105">
    <cfRule type="expression" dxfId="4536" priority="58" stopIfTrue="1">
      <formula>IF(AK8&gt;8,0,1)</formula>
    </cfRule>
  </conditionalFormatting>
  <conditionalFormatting sqref="AC20:AE20 AC105:AE105">
    <cfRule type="expression" dxfId="4535" priority="59" stopIfTrue="1">
      <formula>IF(AK8&gt;9,0,1)</formula>
    </cfRule>
  </conditionalFormatting>
  <conditionalFormatting sqref="E22:G22 E107:G107">
    <cfRule type="expression" dxfId="4534" priority="60" stopIfTrue="1">
      <formula>IF(AK8&gt;1,0,1)</formula>
    </cfRule>
  </conditionalFormatting>
  <conditionalFormatting sqref="H22:J22 H107:J107">
    <cfRule type="expression" dxfId="4533" priority="61" stopIfTrue="1">
      <formula>IF(AK8&gt;2,0,1)</formula>
    </cfRule>
  </conditionalFormatting>
  <conditionalFormatting sqref="K22:M22 K107:M107">
    <cfRule type="expression" dxfId="4532" priority="62" stopIfTrue="1">
      <formula>IF(AK8&gt;3,0,1)</formula>
    </cfRule>
  </conditionalFormatting>
  <conditionalFormatting sqref="N22:P22 N107:P107">
    <cfRule type="expression" dxfId="4531" priority="63" stopIfTrue="1">
      <formula>IF(AK8&gt;4,0,1)</formula>
    </cfRule>
  </conditionalFormatting>
  <conditionalFormatting sqref="Q22:S22 Q107:S107">
    <cfRule type="expression" dxfId="4530" priority="64" stopIfTrue="1">
      <formula>IF(AK8&gt;5,0,1)</formula>
    </cfRule>
  </conditionalFormatting>
  <conditionalFormatting sqref="T22:V22 T107:V107">
    <cfRule type="expression" dxfId="4529" priority="65" stopIfTrue="1">
      <formula>IF(AK8&gt;6,0,1)</formula>
    </cfRule>
  </conditionalFormatting>
  <conditionalFormatting sqref="W22:Y22 W107:Y107">
    <cfRule type="expression" dxfId="4528" priority="66" stopIfTrue="1">
      <formula>IF(AK8&gt;7,0,1)</formula>
    </cfRule>
  </conditionalFormatting>
  <conditionalFormatting sqref="Z22:AB22 Z107:AB107">
    <cfRule type="expression" dxfId="4527" priority="67" stopIfTrue="1">
      <formula>IF(AK8&gt;8,0,1)</formula>
    </cfRule>
  </conditionalFormatting>
  <conditionalFormatting sqref="AC22:AE22 AC107:AE107">
    <cfRule type="expression" dxfId="4526" priority="68" stopIfTrue="1">
      <formula>IF(AK8&gt;9,0,1)</formula>
    </cfRule>
  </conditionalFormatting>
  <conditionalFormatting sqref="B24 B109">
    <cfRule type="expression" dxfId="4525" priority="69" stopIfTrue="1">
      <formula>IF(AK8&gt;0,0,1)</formula>
    </cfRule>
  </conditionalFormatting>
  <conditionalFormatting sqref="C24 C109">
    <cfRule type="expression" dxfId="4524" priority="70" stopIfTrue="1">
      <formula>IF(AK8&gt;0,0,1)</formula>
    </cfRule>
  </conditionalFormatting>
  <conditionalFormatting sqref="D24 D109">
    <cfRule type="expression" dxfId="4523" priority="71" stopIfTrue="1">
      <formula>IF(AK8&gt;0,0,1)</formula>
    </cfRule>
  </conditionalFormatting>
  <conditionalFormatting sqref="E23:G23 E108:G108">
    <cfRule type="expression" dxfId="4522" priority="72" stopIfTrue="1">
      <formula>IF(AK8&gt;1,0,1)</formula>
    </cfRule>
  </conditionalFormatting>
  <conditionalFormatting sqref="F24 F109">
    <cfRule type="expression" dxfId="4521" priority="73" stopIfTrue="1">
      <formula>IF(AK8&gt;1,0,1)</formula>
    </cfRule>
  </conditionalFormatting>
  <conditionalFormatting sqref="G24 G109">
    <cfRule type="expression" dxfId="4520" priority="74" stopIfTrue="1">
      <formula>IF(AK8&gt;1,0,1)</formula>
    </cfRule>
  </conditionalFormatting>
  <conditionalFormatting sqref="H23:J23 H108:J108">
    <cfRule type="expression" dxfId="4519" priority="75" stopIfTrue="1">
      <formula>IF(AK8&gt;2,0,1)</formula>
    </cfRule>
  </conditionalFormatting>
  <conditionalFormatting sqref="I24 I109">
    <cfRule type="expression" dxfId="4518" priority="76" stopIfTrue="1">
      <formula>IF(AK8&gt;2,0,1)</formula>
    </cfRule>
  </conditionalFormatting>
  <conditionalFormatting sqref="J24 J109">
    <cfRule type="expression" dxfId="4517" priority="77" stopIfTrue="1">
      <formula>IF(AK8&gt;2,0,1)</formula>
    </cfRule>
  </conditionalFormatting>
  <conditionalFormatting sqref="K23:M23 K108:M108">
    <cfRule type="expression" dxfId="4516" priority="78" stopIfTrue="1">
      <formula>IF(AK8&gt;3,0,1)</formula>
    </cfRule>
  </conditionalFormatting>
  <conditionalFormatting sqref="L24 L109">
    <cfRule type="expression" dxfId="4515" priority="79" stopIfTrue="1">
      <formula>IF(AK8&gt;3,0,1)</formula>
    </cfRule>
  </conditionalFormatting>
  <conditionalFormatting sqref="M24 M109">
    <cfRule type="expression" dxfId="4514" priority="80" stopIfTrue="1">
      <formula>IF(AK8&gt;3,0,1)</formula>
    </cfRule>
  </conditionalFormatting>
  <conditionalFormatting sqref="N23:P23 N108:P108">
    <cfRule type="expression" dxfId="4513" priority="81" stopIfTrue="1">
      <formula>IF(AK8&gt;4,0,1)</formula>
    </cfRule>
  </conditionalFormatting>
  <conditionalFormatting sqref="O24 O109">
    <cfRule type="expression" dxfId="4512" priority="82" stopIfTrue="1">
      <formula>IF(AK8&gt;4,0,1)</formula>
    </cfRule>
  </conditionalFormatting>
  <conditionalFormatting sqref="P24 P109">
    <cfRule type="expression" dxfId="4511" priority="83" stopIfTrue="1">
      <formula>IF(AK8&gt;4,0,1)</formula>
    </cfRule>
  </conditionalFormatting>
  <conditionalFormatting sqref="Q23:S23 Q108:S108">
    <cfRule type="expression" dxfId="4510" priority="84" stopIfTrue="1">
      <formula>IF(AK8&gt;5,0,1)</formula>
    </cfRule>
  </conditionalFormatting>
  <conditionalFormatting sqref="R24 R109">
    <cfRule type="expression" dxfId="4509" priority="85" stopIfTrue="1">
      <formula>IF(AK8&gt;5,0,1)</formula>
    </cfRule>
  </conditionalFormatting>
  <conditionalFormatting sqref="S24 S109">
    <cfRule type="expression" dxfId="4508" priority="86" stopIfTrue="1">
      <formula>IF(AK8&gt;5,0,1)</formula>
    </cfRule>
  </conditionalFormatting>
  <conditionalFormatting sqref="T23:V23 T108:V108">
    <cfRule type="expression" dxfId="4507" priority="87" stopIfTrue="1">
      <formula>IF(AK8&gt;6,0,1)</formula>
    </cfRule>
  </conditionalFormatting>
  <conditionalFormatting sqref="U24 U109">
    <cfRule type="expression" dxfId="4506" priority="88" stopIfTrue="1">
      <formula>IF(AK8&gt;6,0,1)</formula>
    </cfRule>
  </conditionalFormatting>
  <conditionalFormatting sqref="V24 V109">
    <cfRule type="expression" dxfId="4505" priority="89" stopIfTrue="1">
      <formula>IF(AK8&gt;6,0,1)</formula>
    </cfRule>
  </conditionalFormatting>
  <conditionalFormatting sqref="W23:Y23 W108:Y108">
    <cfRule type="expression" dxfId="4504" priority="90" stopIfTrue="1">
      <formula>IF(AK8&gt;7,0,1)</formula>
    </cfRule>
  </conditionalFormatting>
  <conditionalFormatting sqref="X24 X109">
    <cfRule type="expression" dxfId="4503" priority="91" stopIfTrue="1">
      <formula>IF(AK8&gt;7,0,1)</formula>
    </cfRule>
  </conditionalFormatting>
  <conditionalFormatting sqref="Y24 Y109">
    <cfRule type="expression" dxfId="4502" priority="92" stopIfTrue="1">
      <formula>IF(AK8&gt;7,0,1)</formula>
    </cfRule>
  </conditionalFormatting>
  <conditionalFormatting sqref="Z23:AB23 Z108:AB108">
    <cfRule type="expression" dxfId="4501" priority="93" stopIfTrue="1">
      <formula>IF(AK8&gt;8,0,1)</formula>
    </cfRule>
  </conditionalFormatting>
  <conditionalFormatting sqref="AA24 AA109">
    <cfRule type="expression" dxfId="4500" priority="94" stopIfTrue="1">
      <formula>IF(AK8&gt;8,0,1)</formula>
    </cfRule>
  </conditionalFormatting>
  <conditionalFormatting sqref="AB24 AB109">
    <cfRule type="expression" dxfId="4499" priority="95" stopIfTrue="1">
      <formula>IF(AK8&gt;8,0,1)</formula>
    </cfRule>
  </conditionalFormatting>
  <conditionalFormatting sqref="AC23:AE23 AC108:AE108">
    <cfRule type="expression" dxfId="4498" priority="96" stopIfTrue="1">
      <formula>IF(AK8&gt;9,0,1)</formula>
    </cfRule>
  </conditionalFormatting>
  <conditionalFormatting sqref="AD24 AD109">
    <cfRule type="expression" dxfId="4497" priority="97" stopIfTrue="1">
      <formula>IF(AK8&gt;9,0,1)</formula>
    </cfRule>
  </conditionalFormatting>
  <conditionalFormatting sqref="AE24 AE109">
    <cfRule type="expression" dxfId="4496" priority="98" stopIfTrue="1">
      <formula>IF(AK8&gt;9,0,1)</formula>
    </cfRule>
  </conditionalFormatting>
  <conditionalFormatting sqref="A26 A111">
    <cfRule type="expression" dxfId="4495" priority="99" stopIfTrue="1">
      <formula>IF(AK7&gt;1,0,1)</formula>
    </cfRule>
  </conditionalFormatting>
  <conditionalFormatting sqref="A27 A112">
    <cfRule type="expression" dxfId="4494" priority="100" stopIfTrue="1">
      <formula>IF(AK7&gt;2,0,1)</formula>
    </cfRule>
  </conditionalFormatting>
  <conditionalFormatting sqref="A28 A113">
    <cfRule type="expression" dxfId="4493" priority="101" stopIfTrue="1">
      <formula>IF(AK7&gt;3,0,1)</formula>
    </cfRule>
  </conditionalFormatting>
  <conditionalFormatting sqref="A29 A114">
    <cfRule type="expression" dxfId="4492" priority="102" stopIfTrue="1">
      <formula>IF(AK7&gt;4,0,1)</formula>
    </cfRule>
  </conditionalFormatting>
  <conditionalFormatting sqref="B25:D25 B110:D110">
    <cfRule type="expression" dxfId="4491" priority="103" stopIfTrue="1">
      <formula>IF($AK8&gt;0,0,1)</formula>
    </cfRule>
  </conditionalFormatting>
  <conditionalFormatting sqref="B26:D26 B111:D111">
    <cfRule type="expression" dxfId="4490" priority="104" stopIfTrue="1">
      <formula>IF($AK8&lt;1,1,IF($AK7&lt;2,1,0))</formula>
    </cfRule>
  </conditionalFormatting>
  <conditionalFormatting sqref="B27:D27 B112:D112">
    <cfRule type="expression" dxfId="4489" priority="105" stopIfTrue="1">
      <formula>IF($AK8&lt;1,1,IF($AK7&lt;3,1,0))</formula>
    </cfRule>
  </conditionalFormatting>
  <conditionalFormatting sqref="B28:D28 B113:D113">
    <cfRule type="expression" dxfId="4488" priority="106" stopIfTrue="1">
      <formula>IF($AK8&lt;1,1,IF($AK7&lt;4,1,0))</formula>
    </cfRule>
  </conditionalFormatting>
  <conditionalFormatting sqref="B29:D29 B114:D114">
    <cfRule type="expression" dxfId="4487" priority="107" stopIfTrue="1">
      <formula>IF($AK8&lt;1,1,IF($AK7&lt;5,1,0))</formula>
    </cfRule>
  </conditionalFormatting>
  <conditionalFormatting sqref="AG23 AG108">
    <cfRule type="expression" dxfId="4486" priority="108" stopIfTrue="1">
      <formula>IF($AK8&lt;1,1,0)</formula>
    </cfRule>
  </conditionalFormatting>
  <conditionalFormatting sqref="AH23 AH108">
    <cfRule type="expression" dxfId="4485" priority="109" stopIfTrue="1">
      <formula>IF($AK8&lt;2,1,0)</formula>
    </cfRule>
  </conditionalFormatting>
  <conditionalFormatting sqref="AI23 AI108">
    <cfRule type="expression" dxfId="4484" priority="110" stopIfTrue="1">
      <formula>IF($AK8&lt;3,1,0)</formula>
    </cfRule>
  </conditionalFormatting>
  <conditionalFormatting sqref="AJ23 AJ108">
    <cfRule type="expression" dxfId="4483" priority="111" stopIfTrue="1">
      <formula>IF($AK8&lt;4,1,0)</formula>
    </cfRule>
  </conditionalFormatting>
  <conditionalFormatting sqref="AK23 AK108">
    <cfRule type="expression" dxfId="4482" priority="112" stopIfTrue="1">
      <formula>IF($AK8&lt;5,1,0)</formula>
    </cfRule>
  </conditionalFormatting>
  <conditionalFormatting sqref="AL23 AL108">
    <cfRule type="expression" dxfId="4481" priority="113" stopIfTrue="1">
      <formula>IF($AK8&lt;6,1,0)</formula>
    </cfRule>
  </conditionalFormatting>
  <conditionalFormatting sqref="AM23 AM108">
    <cfRule type="expression" dxfId="4480" priority="114" stopIfTrue="1">
      <formula>IF($AK8&lt;7,1,0)</formula>
    </cfRule>
  </conditionalFormatting>
  <conditionalFormatting sqref="AN23 AN108">
    <cfRule type="expression" dxfId="4479" priority="115" stopIfTrue="1">
      <formula>IF($AK8&lt;8,1,0)</formula>
    </cfRule>
  </conditionalFormatting>
  <conditionalFormatting sqref="AO23 AO108">
    <cfRule type="expression" dxfId="4478" priority="116" stopIfTrue="1">
      <formula>IF($AK8&lt;9,1,0)</formula>
    </cfRule>
  </conditionalFormatting>
  <conditionalFormatting sqref="AP23 AP108">
    <cfRule type="expression" dxfId="4477" priority="117" stopIfTrue="1">
      <formula>IF($AK8&lt;10,1,0)</formula>
    </cfRule>
  </conditionalFormatting>
  <conditionalFormatting sqref="AQ24 AQ109">
    <cfRule type="expression" dxfId="4476" priority="118" stopIfTrue="1">
      <formula>IF($AK9&gt;0,0,1)</formula>
    </cfRule>
  </conditionalFormatting>
  <conditionalFormatting sqref="AQ25 AQ110">
    <cfRule type="expression" dxfId="4475" priority="119" stopIfTrue="1">
      <formula>IF($AK9&gt;1,0,1)</formula>
    </cfRule>
  </conditionalFormatting>
  <conditionalFormatting sqref="AQ26 H25:J25 AQ111 H110:J110">
    <cfRule type="expression" dxfId="4474" priority="120" stopIfTrue="1">
      <formula>IF($AK8&gt;2,0,1)</formula>
    </cfRule>
  </conditionalFormatting>
  <conditionalFormatting sqref="K25:M25 K110:M110">
    <cfRule type="expression" dxfId="4473" priority="121" stopIfTrue="1">
      <formula>IF($AK8&gt;3,0,1)</formula>
    </cfRule>
  </conditionalFormatting>
  <conditionalFormatting sqref="AQ28 AQ113">
    <cfRule type="expression" dxfId="4472" priority="122" stopIfTrue="1">
      <formula>IF($AK9&gt;4,0,1)</formula>
    </cfRule>
  </conditionalFormatting>
  <conditionalFormatting sqref="E26:G26 E111:G111">
    <cfRule type="expression" dxfId="4471" priority="123" stopIfTrue="1">
      <formula>IF($AK8&lt;2,1,IF($AK7&lt;2,1,0))</formula>
    </cfRule>
  </conditionalFormatting>
  <conditionalFormatting sqref="E27:G27 E112:G112">
    <cfRule type="expression" dxfId="4470" priority="124" stopIfTrue="1">
      <formula>IF($AK8&lt;2,1,IF($AK7&lt;3,1,0))</formula>
    </cfRule>
  </conditionalFormatting>
  <conditionalFormatting sqref="E28:G28 E113:G113">
    <cfRule type="expression" dxfId="4469" priority="125" stopIfTrue="1">
      <formula>IF($AK8&lt;2,1,IF($AK7&lt;4,1,0))</formula>
    </cfRule>
  </conditionalFormatting>
  <conditionalFormatting sqref="E29:G29 E114:G114">
    <cfRule type="expression" dxfId="4468" priority="126" stopIfTrue="1">
      <formula>IF($AK8&lt;2,1,IF($AK7&lt;5,1,0))</formula>
    </cfRule>
  </conditionalFormatting>
  <conditionalFormatting sqref="N25:P25 N110:P110">
    <cfRule type="expression" dxfId="4467" priority="127" stopIfTrue="1">
      <formula>IF($AK8&gt;4,0,1)</formula>
    </cfRule>
  </conditionalFormatting>
  <conditionalFormatting sqref="Q25:S25 Q110:S110">
    <cfRule type="expression" dxfId="4466" priority="128" stopIfTrue="1">
      <formula>IF($AK8&gt;5,0,1)</formula>
    </cfRule>
  </conditionalFormatting>
  <conditionalFormatting sqref="T25:V25 T110:V110">
    <cfRule type="expression" dxfId="4465" priority="129" stopIfTrue="1">
      <formula>IF($AK8&gt;6,0,1)</formula>
    </cfRule>
  </conditionalFormatting>
  <conditionalFormatting sqref="W25:Y25 W110:Y110">
    <cfRule type="expression" dxfId="4464" priority="130" stopIfTrue="1">
      <formula>IF($AK8&gt;7,0,1)</formula>
    </cfRule>
  </conditionalFormatting>
  <conditionalFormatting sqref="Z25:AB25 Z110:AB110">
    <cfRule type="expression" dxfId="4463" priority="131" stopIfTrue="1">
      <formula>IF($AK8&gt;8,0,1)</formula>
    </cfRule>
  </conditionalFormatting>
  <conditionalFormatting sqref="AC25:AE25 AC110:AE110">
    <cfRule type="expression" dxfId="4462" priority="132" stopIfTrue="1">
      <formula>IF($AK8&gt;9,0,1)</formula>
    </cfRule>
  </conditionalFormatting>
  <conditionalFormatting sqref="H26:J26 H111:J111">
    <cfRule type="expression" dxfId="4461" priority="133" stopIfTrue="1">
      <formula>IF($AK8&lt;3,1,IF($AK7&lt;2,1,0))</formula>
    </cfRule>
  </conditionalFormatting>
  <conditionalFormatting sqref="K26:M26 K111:M111">
    <cfRule type="expression" dxfId="4460" priority="134" stopIfTrue="1">
      <formula>IF($AK8&lt;4,1,IF($AK7&lt;2,1,0))</formula>
    </cfRule>
  </conditionalFormatting>
  <conditionalFormatting sqref="N26:P26 N111:P111">
    <cfRule type="expression" dxfId="4459" priority="135" stopIfTrue="1">
      <formula>IF($AK8&lt;5,1,IF($AK7&lt;2,1,0))</formula>
    </cfRule>
  </conditionalFormatting>
  <conditionalFormatting sqref="Q26:S26 Q111:S111">
    <cfRule type="expression" dxfId="4458" priority="136" stopIfTrue="1">
      <formula>IF($AK8&lt;6,1,IF($AK7&lt;2,1,0))</formula>
    </cfRule>
  </conditionalFormatting>
  <conditionalFormatting sqref="T26:V26 T111:V111">
    <cfRule type="expression" dxfId="4457" priority="137" stopIfTrue="1">
      <formula>IF($AK8&lt;7,1,IF($AK7&lt;2,1,0))</formula>
    </cfRule>
  </conditionalFormatting>
  <conditionalFormatting sqref="W26:Y26 W111:Y111">
    <cfRule type="expression" dxfId="4456" priority="138" stopIfTrue="1">
      <formula>IF($AK8&lt;8,1,IF($AK7&lt;2,1,0))</formula>
    </cfRule>
  </conditionalFormatting>
  <conditionalFormatting sqref="Z26:AB26 Z111:AB111">
    <cfRule type="expression" dxfId="4455" priority="139" stopIfTrue="1">
      <formula>IF($AK8&lt;9,1,IF($AK7&lt;2,1,0))</formula>
    </cfRule>
  </conditionalFormatting>
  <conditionalFormatting sqref="AC26:AE26 AC111:AE111">
    <cfRule type="expression" dxfId="4454" priority="140" stopIfTrue="1">
      <formula>IF($AK8&lt;10,1,IF($AK7&lt;2,1,0))</formula>
    </cfRule>
  </conditionalFormatting>
  <conditionalFormatting sqref="H27:J27 H112:J112">
    <cfRule type="expression" dxfId="4453" priority="141" stopIfTrue="1">
      <formula>IF($AK8&lt;3,1,IF($AK7&lt;3,1,0))</formula>
    </cfRule>
  </conditionalFormatting>
  <conditionalFormatting sqref="K27:M27 K112:M112">
    <cfRule type="expression" dxfId="4452" priority="142" stopIfTrue="1">
      <formula>IF($AK8&lt;4,1,IF($AK7&lt;3,1,0))</formula>
    </cfRule>
  </conditionalFormatting>
  <conditionalFormatting sqref="N27:P27 N112:P112">
    <cfRule type="expression" dxfId="4451" priority="143" stopIfTrue="1">
      <formula>IF($AK8&lt;5,1,IF($AK7&lt;3,1,0))</formula>
    </cfRule>
  </conditionalFormatting>
  <conditionalFormatting sqref="Q27:S27 Q112:S112">
    <cfRule type="expression" dxfId="4450" priority="144" stopIfTrue="1">
      <formula>IF($AK8&lt;6,1,IF($AK7&lt;3,1,0))</formula>
    </cfRule>
  </conditionalFormatting>
  <conditionalFormatting sqref="T27:V27 T112:V112">
    <cfRule type="expression" dxfId="4449" priority="145" stopIfTrue="1">
      <formula>IF($AK8&lt;7,1,IF($AK7&lt;3,1,0))</formula>
    </cfRule>
  </conditionalFormatting>
  <conditionalFormatting sqref="W27:Y27 W112:Y112">
    <cfRule type="expression" dxfId="4448" priority="146" stopIfTrue="1">
      <formula>IF($AK8&lt;8,1,IF($AK7&lt;3,1,0))</formula>
    </cfRule>
  </conditionalFormatting>
  <conditionalFormatting sqref="Z27:AB27 Z112:AB112">
    <cfRule type="expression" dxfId="4447" priority="147" stopIfTrue="1">
      <formula>IF($AK8&lt;9,1,IF($AK7&lt;3,1,0))</formula>
    </cfRule>
  </conditionalFormatting>
  <conditionalFormatting sqref="AC27:AE27 AC112:AE112">
    <cfRule type="expression" dxfId="4446" priority="148" stopIfTrue="1">
      <formula>IF($AK8&lt;10,1,IF($AK7&lt;3,1,0))</formula>
    </cfRule>
  </conditionalFormatting>
  <conditionalFormatting sqref="H28:J28 H113:J113">
    <cfRule type="expression" dxfId="4445" priority="149" stopIfTrue="1">
      <formula>IF($AK8&lt;3,1,IF($AK7&lt;4,1,0))</formula>
    </cfRule>
  </conditionalFormatting>
  <conditionalFormatting sqref="K28:M28 K113:M113">
    <cfRule type="expression" dxfId="4444" priority="150" stopIfTrue="1">
      <formula>IF($AK8&lt;4,1,IF($AK7&lt;4,1,0))</formula>
    </cfRule>
  </conditionalFormatting>
  <conditionalFormatting sqref="N28:P28 N113:P113">
    <cfRule type="expression" dxfId="4443" priority="151" stopIfTrue="1">
      <formula>IF($AK8&lt;5,1,IF($AK7&lt;4,1,0))</formula>
    </cfRule>
  </conditionalFormatting>
  <conditionalFormatting sqref="Q28:S28 Q113:S113">
    <cfRule type="expression" dxfId="4442" priority="152" stopIfTrue="1">
      <formula>IF($AK8&lt;6,1,IF($AK7&lt;4,1,0))</formula>
    </cfRule>
  </conditionalFormatting>
  <conditionalFormatting sqref="T28:V28 T113:V113">
    <cfRule type="expression" dxfId="4441" priority="153" stopIfTrue="1">
      <formula>IF($AK8&lt;7,1,IF($AK7&lt;4,1,0))</formula>
    </cfRule>
  </conditionalFormatting>
  <conditionalFormatting sqref="W28:Y28 W113:Y113">
    <cfRule type="expression" dxfId="4440" priority="154" stopIfTrue="1">
      <formula>IF($AK8&lt;8,1,IF($AK7&lt;4,1,0))</formula>
    </cfRule>
  </conditionalFormatting>
  <conditionalFormatting sqref="Z28:AB28 Z113:AB113">
    <cfRule type="expression" dxfId="4439" priority="155" stopIfTrue="1">
      <formula>IF($AK8&lt;9,1,IF($AK7&lt;4,1,0))</formula>
    </cfRule>
  </conditionalFormatting>
  <conditionalFormatting sqref="AC28:AE28 AC113:AE113">
    <cfRule type="expression" dxfId="4438" priority="156" stopIfTrue="1">
      <formula>IF($AK8&lt;10,1,IF($AK7&lt;4,1,0))</formula>
    </cfRule>
  </conditionalFormatting>
  <conditionalFormatting sqref="H29:J29 H114:J114">
    <cfRule type="expression" dxfId="4437" priority="157" stopIfTrue="1">
      <formula>IF($AK8&lt;3,1,IF($AK7&lt;5,1,0))</formula>
    </cfRule>
  </conditionalFormatting>
  <conditionalFormatting sqref="K29:M29 K114:M114">
    <cfRule type="expression" dxfId="4436" priority="158" stopIfTrue="1">
      <formula>IF($AK8&lt;4,1,IF($AK7&lt;5,1,0))</formula>
    </cfRule>
  </conditionalFormatting>
  <conditionalFormatting sqref="N29:P29 N114:P114">
    <cfRule type="expression" dxfId="4435" priority="159" stopIfTrue="1">
      <formula>IF($AK8&lt;5,1,IF($AK7&lt;5,1,0))</formula>
    </cfRule>
  </conditionalFormatting>
  <conditionalFormatting sqref="Q29:S29 Q114:S114">
    <cfRule type="expression" dxfId="4434" priority="160" stopIfTrue="1">
      <formula>IF($AK8&lt;6,1,IF($AK7&lt;5,1,0))</formula>
    </cfRule>
  </conditionalFormatting>
  <conditionalFormatting sqref="T29:V29 T114:V114">
    <cfRule type="expression" dxfId="4433" priority="161" stopIfTrue="1">
      <formula>IF($AK8&lt;7,1,IF($AK7&lt;5,1,0))</formula>
    </cfRule>
  </conditionalFormatting>
  <conditionalFormatting sqref="W29:Y29 W114:Y114">
    <cfRule type="expression" dxfId="4432" priority="162" stopIfTrue="1">
      <formula>IF($AK8&lt;8,1,IF($AK7&lt;5,1,0))</formula>
    </cfRule>
  </conditionalFormatting>
  <conditionalFormatting sqref="Z29:AB29 Z114:AB114">
    <cfRule type="expression" dxfId="4431" priority="163" stopIfTrue="1">
      <formula>IF($AK8&lt;9,1,IF($AK7&lt;5,1,0))</formula>
    </cfRule>
  </conditionalFormatting>
  <conditionalFormatting sqref="AC29:AE29 AC114:AE114">
    <cfRule type="expression" dxfId="4430" priority="164" stopIfTrue="1">
      <formula>IF($AK8&lt;10,1,IF($AK7&lt;5,1,0))</formula>
    </cfRule>
  </conditionalFormatting>
  <conditionalFormatting sqref="R14:AB15 AF14:AF15 L14:P15 R99:AB100 AF99:AF100 L99:P100 AG14 AG99">
    <cfRule type="expression" dxfId="4429" priority="165" stopIfTrue="1">
      <formula>IF($AK9&gt;3,0,1)</formula>
    </cfRule>
  </conditionalFormatting>
  <conditionalFormatting sqref="R16:AB17 AF16:AF17 L16:P17 R101:AB102 AF101:AF102 L101:P102 AG16 AG101">
    <cfRule type="expression" dxfId="4428" priority="166" stopIfTrue="1">
      <formula>IF($AK9&gt;4,0,1)</formula>
    </cfRule>
  </conditionalFormatting>
  <conditionalFormatting sqref="R8:AB9 AF8:AF9 L8:P9 R93:AB94 AF93:AF94 L93:P94 AG8 AG93">
    <cfRule type="expression" dxfId="4427" priority="167" stopIfTrue="1">
      <formula>IF($AK9&gt;0,0,1)</formula>
    </cfRule>
  </conditionalFormatting>
  <conditionalFormatting sqref="R10:AB11 AF10:AF11 L10:P11 R95:AB96 AF95:AF96 L95:P96 AG10 AG95">
    <cfRule type="expression" dxfId="4426" priority="168" stopIfTrue="1">
      <formula>IF($AK9&gt;1,0,1)</formula>
    </cfRule>
  </conditionalFormatting>
  <conditionalFormatting sqref="R12:AB13 AF12:AF13 L12:P13 R97:AB98 AF97:AF98 L97:P98 AG12 AG97">
    <cfRule type="expression" dxfId="4425" priority="169" stopIfTrue="1">
      <formula>IF($AK9&gt;2,0,1)</formula>
    </cfRule>
  </conditionalFormatting>
  <conditionalFormatting sqref="E24 E109">
    <cfRule type="expression" dxfId="4424" priority="170" stopIfTrue="1">
      <formula>IF(AK8&gt;1,0,1)</formula>
    </cfRule>
  </conditionalFormatting>
  <conditionalFormatting sqref="H24 H109">
    <cfRule type="expression" dxfId="4423" priority="171" stopIfTrue="1">
      <formula>IF(AK8&gt;2,0,1)</formula>
    </cfRule>
  </conditionalFormatting>
  <conditionalFormatting sqref="K24 K109">
    <cfRule type="expression" dxfId="4422" priority="172" stopIfTrue="1">
      <formula>IF(AK8&gt;3,0,1)</formula>
    </cfRule>
  </conditionalFormatting>
  <conditionalFormatting sqref="N24 N109">
    <cfRule type="expression" dxfId="4421" priority="173" stopIfTrue="1">
      <formula>IF(AK8&gt;4,0,1)</formula>
    </cfRule>
  </conditionalFormatting>
  <conditionalFormatting sqref="Q24 Q109">
    <cfRule type="expression" dxfId="4420" priority="174" stopIfTrue="1">
      <formula>IF(AK8&gt;5,0,1)</formula>
    </cfRule>
  </conditionalFormatting>
  <conditionalFormatting sqref="T24 T109">
    <cfRule type="expression" dxfId="4419" priority="175" stopIfTrue="1">
      <formula>IF(AK8&gt;6,0,1)</formula>
    </cfRule>
  </conditionalFormatting>
  <conditionalFormatting sqref="W24 W109">
    <cfRule type="expression" dxfId="4418" priority="176" stopIfTrue="1">
      <formula>IF(AK8&gt;7,0,1)</formula>
    </cfRule>
  </conditionalFormatting>
  <conditionalFormatting sqref="Z24 Z109">
    <cfRule type="expression" dxfId="4417" priority="177" stopIfTrue="1">
      <formula>IF(AK8&gt;8,0,1)</formula>
    </cfRule>
  </conditionalFormatting>
  <conditionalFormatting sqref="AC24 AC109">
    <cfRule type="expression" dxfId="4416" priority="178" stopIfTrue="1">
      <formula>IF(AK8&gt;9,0,1)</formula>
    </cfRule>
  </conditionalFormatting>
  <conditionalFormatting sqref="AQ27 AQ112">
    <cfRule type="expression" dxfId="4415" priority="179" stopIfTrue="1">
      <formula>IF($AK9&gt;3,0,1)</formula>
    </cfRule>
  </conditionalFormatting>
  <conditionalFormatting sqref="E25:G25 E110:G110">
    <cfRule type="expression" dxfId="4414" priority="180" stopIfTrue="1">
      <formula>IF($AK8&gt;1,0,1)</formula>
    </cfRule>
  </conditionalFormatting>
  <conditionalFormatting sqref="B21:D21 B106:D106">
    <cfRule type="expression" dxfId="4413" priority="181" stopIfTrue="1">
      <formula>IF(AK8&gt;0,0,1)</formula>
    </cfRule>
  </conditionalFormatting>
  <conditionalFormatting sqref="E21:G21 E106:G106">
    <cfRule type="expression" dxfId="4412" priority="182" stopIfTrue="1">
      <formula>IF(AK8&gt;1,0,1)</formula>
    </cfRule>
  </conditionalFormatting>
  <conditionalFormatting sqref="H21:J21 H106:J106">
    <cfRule type="expression" dxfId="4411" priority="183" stopIfTrue="1">
      <formula>IF(AK8&gt;2,0,1)</formula>
    </cfRule>
  </conditionalFormatting>
  <conditionalFormatting sqref="K21:M21 K106:M106">
    <cfRule type="expression" dxfId="4410" priority="184" stopIfTrue="1">
      <formula>IF(AK8&gt;3,0,1)</formula>
    </cfRule>
  </conditionalFormatting>
  <conditionalFormatting sqref="N21:P21 N106:P106">
    <cfRule type="expression" dxfId="4409" priority="185" stopIfTrue="1">
      <formula>IF(AK8&gt;4,0,1)</formula>
    </cfRule>
  </conditionalFormatting>
  <conditionalFormatting sqref="Q21:S21 Q106:S106">
    <cfRule type="expression" dxfId="4408" priority="186" stopIfTrue="1">
      <formula>IF(AK8&gt;5,0,1)</formula>
    </cfRule>
  </conditionalFormatting>
  <conditionalFormatting sqref="T21:V21 T106:V106">
    <cfRule type="expression" dxfId="4407" priority="187" stopIfTrue="1">
      <formula>IF(AK8&gt;6,0,1)</formula>
    </cfRule>
  </conditionalFormatting>
  <conditionalFormatting sqref="W21:Y21 W106:Y106">
    <cfRule type="expression" dxfId="4406" priority="188" stopIfTrue="1">
      <formula>IF(AK8&gt;7,0,1)</formula>
    </cfRule>
  </conditionalFormatting>
  <conditionalFormatting sqref="Z21:AB21 Z106:AB106">
    <cfRule type="expression" dxfId="4405" priority="189" stopIfTrue="1">
      <formula>IF(AK8&gt;8,0,1)</formula>
    </cfRule>
  </conditionalFormatting>
  <conditionalFormatting sqref="AC21:AE21 AC106:AE106">
    <cfRule type="expression" dxfId="4404" priority="190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4403" priority="191" stopIfTrue="1">
      <formula>IF(#REF!&gt;0,0,1)</formula>
    </cfRule>
  </conditionalFormatting>
  <conditionalFormatting sqref="AA215:AB215 AB223 AA218:AB218 Z223 Z215:Z218 F215:G215 G223 F218:G218 E223 E215:E218">
    <cfRule type="expression" dxfId="4402" priority="192" stopIfTrue="1">
      <formula>IF(#REF!&gt;1,0,1)</formula>
    </cfRule>
  </conditionalFormatting>
  <conditionalFormatting sqref="AC215:AC218 AD215:AE215 AE223 AD218:AE218 AC223 H223 H215:H218 I215:J215 J223 I218:J218">
    <cfRule type="expression" dxfId="4401" priority="193" stopIfTrue="1">
      <formula>IF(#REF!&gt;2,0,1)</formula>
    </cfRule>
  </conditionalFormatting>
  <conditionalFormatting sqref="W224 Y224 B224 D224">
    <cfRule type="expression" dxfId="4400" priority="194" stopIfTrue="1">
      <formula>IF(#REF!&lt;1,1,IF(#REF!&lt;2,1,0))</formula>
    </cfRule>
  </conditionalFormatting>
  <conditionalFormatting sqref="Z224 AB224 E224 G224">
    <cfRule type="expression" dxfId="4399" priority="195" stopIfTrue="1">
      <formula>IF(#REF!&lt;2,1,IF(#REF!&lt;2,1,0))</formula>
    </cfRule>
  </conditionalFormatting>
  <conditionalFormatting sqref="AC224 AE224 H224 J224">
    <cfRule type="expression" dxfId="4398" priority="196" stopIfTrue="1">
      <formula>IF(#REF!&lt;3,1,IF(#REF!&lt;2,1,0))</formula>
    </cfRule>
  </conditionalFormatting>
  <conditionalFormatting sqref="Y225 B225 D225 W225">
    <cfRule type="expression" dxfId="4397" priority="197" stopIfTrue="1">
      <formula>IF(#REF!&lt;1,1,IF(#REF!&lt;3,1,0))</formula>
    </cfRule>
  </conditionalFormatting>
  <conditionalFormatting sqref="AB225 E225 G225 Z225">
    <cfRule type="expression" dxfId="4396" priority="198" stopIfTrue="1">
      <formula>IF(#REF!&lt;2,1,IF(#REF!&lt;3,1,0))</formula>
    </cfRule>
  </conditionalFormatting>
  <conditionalFormatting sqref="AE225 H225 J225 AC225">
    <cfRule type="expression" dxfId="4395" priority="199" stopIfTrue="1">
      <formula>IF(#REF!&lt;3,1,IF(#REF!&lt;3,1,0))</formula>
    </cfRule>
  </conditionalFormatting>
  <conditionalFormatting sqref="AG24:AP28 AG109:AP113">
    <cfRule type="cellIs" dxfId="4394" priority="200" stopIfTrue="1" operator="notBetween">
      <formula>-9999</formula>
      <formula>9999</formula>
    </cfRule>
  </conditionalFormatting>
  <conditionalFormatting sqref="AC7 AC92">
    <cfRule type="expression" dxfId="4393" priority="201" stopIfTrue="1">
      <formula>IF($AK$11=0,1,0)</formula>
    </cfRule>
  </conditionalFormatting>
  <conditionalFormatting sqref="B18">
    <cfRule type="expression" dxfId="4392" priority="202" stopIfTrue="1">
      <formula>IF($AK$9&gt;0,0,1)</formula>
    </cfRule>
  </conditionalFormatting>
  <conditionalFormatting sqref="B22:D23 B107:D108">
    <cfRule type="cellIs" dxfId="4391" priority="203" stopIfTrue="1" operator="equal">
      <formula>99</formula>
    </cfRule>
  </conditionalFormatting>
  <conditionalFormatting sqref="X226 AA226 C226 F226">
    <cfRule type="expression" dxfId="4390" priority="204" stopIfTrue="1">
      <formula>IF(#REF!&gt;0,0,1)</formula>
    </cfRule>
  </conditionalFormatting>
  <conditionalFormatting sqref="K215">
    <cfRule type="expression" dxfId="4389" priority="4" stopIfTrue="1">
      <formula>IF(#REF!&gt;2,0,1)</formula>
    </cfRule>
  </conditionalFormatting>
  <conditionalFormatting sqref="K215">
    <cfRule type="expression" dxfId="4388" priority="3" stopIfTrue="1">
      <formula>IF(ISNUMBER(K223),0,1)</formula>
    </cfRule>
  </conditionalFormatting>
  <conditionalFormatting sqref="AF215">
    <cfRule type="expression" dxfId="4387" priority="2" stopIfTrue="1">
      <formula>IF(ISNUMBER(AF223),0,1)</formula>
    </cfRule>
  </conditionalFormatting>
  <conditionalFormatting sqref="B103">
    <cfRule type="expression" dxfId="4386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11266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11266" r:id="rId4" name="Pool2RecalcFinish"/>
      </mc:Fallback>
    </mc:AlternateContent>
    <mc:AlternateContent xmlns:mc="http://schemas.openxmlformats.org/markup-compatibility/2006">
      <mc:Choice Requires="x14">
        <control shapeId="11265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1265" r:id="rId6" name="Pool1RecalcFinish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A1:BY658"/>
  <sheetViews>
    <sheetView zoomScale="70" zoomScaleNormal="70" workbookViewId="0">
      <selection activeCell="AW23" sqref="AW23:AW24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30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3"/>
      <c r="AW1" s="194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221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515" t="s">
        <v>222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223</v>
      </c>
      <c r="AV3" s="15" t="s">
        <v>224</v>
      </c>
      <c r="AW3" s="16">
        <f>VLOOKUP(AV3,Initial!G:K,5,FALSE)</f>
        <v>1600</v>
      </c>
      <c r="AX3" s="17">
        <f t="shared" ref="AX3:AX12" si="0">VLOOKUP(AU3,AT$79:AU$174,2,FALSE)</f>
        <v>1705.0590948093995</v>
      </c>
      <c r="AY3" s="18">
        <f t="shared" ref="AY3:AY12" si="1">IF(ISNA(VLOOKUP(AU3,AT$182:AU$234,2,FALSE)),AX3,VLOOKUP(AU3,AT$182:AU$234,2,FALSE))</f>
        <v>1733.815637065888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26</v>
      </c>
      <c r="F4" s="210"/>
      <c r="G4" s="210"/>
      <c r="H4" s="210"/>
      <c r="I4" s="210"/>
      <c r="J4" s="210"/>
      <c r="K4" s="210"/>
      <c r="L4" s="210"/>
      <c r="M4" s="211"/>
      <c r="N4" s="206" t="s">
        <v>27</v>
      </c>
      <c r="O4" s="207"/>
      <c r="P4" s="207"/>
      <c r="Q4" s="208"/>
      <c r="R4" s="212" t="s">
        <v>28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29</v>
      </c>
      <c r="AC4" s="207"/>
      <c r="AD4" s="207"/>
      <c r="AE4" s="208"/>
      <c r="AF4" s="407">
        <v>42765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225</v>
      </c>
      <c r="AV4" s="15" t="s">
        <v>226</v>
      </c>
      <c r="AW4" s="16">
        <f>VLOOKUP(AV4,Initial!G:K,5,FALSE)</f>
        <v>1600</v>
      </c>
      <c r="AX4" s="20">
        <f t="shared" si="0"/>
        <v>1672.596826725935</v>
      </c>
      <c r="AY4" s="21">
        <f t="shared" si="1"/>
        <v>1658.2208637871806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46" t="s">
        <v>227</v>
      </c>
      <c r="AV5" s="146" t="s">
        <v>228</v>
      </c>
      <c r="AW5" s="16">
        <f>VLOOKUP(AV5,Initial!G:K,5,FALSE)</f>
        <v>1648.5261762534274</v>
      </c>
      <c r="AX5" s="20">
        <f t="shared" si="0"/>
        <v>1515.9353141743402</v>
      </c>
      <c r="AY5" s="21">
        <f t="shared" si="1"/>
        <v>1515.9353141743402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47" t="s">
        <v>229</v>
      </c>
      <c r="AV6" s="147" t="s">
        <v>230</v>
      </c>
      <c r="AW6" s="16">
        <f>VLOOKUP(AV6,Initial!G:K,5,FALSE)</f>
        <v>1546.0358684980845</v>
      </c>
      <c r="AX6" s="20">
        <f t="shared" si="0"/>
        <v>1532.475398790076</v>
      </c>
      <c r="AY6" s="21">
        <f t="shared" si="1"/>
        <v>1543.1249027046999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Games Won</v>
      </c>
      <c r="M7" s="255"/>
      <c r="N7" s="255"/>
      <c r="O7" s="255"/>
      <c r="P7" s="255"/>
      <c r="Q7" s="256"/>
      <c r="R7" s="254" t="str">
        <f>IF($AK10=0,"Games Lost","Matches Lost")</f>
        <v>Games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231</v>
      </c>
      <c r="AV7" s="15" t="s">
        <v>232</v>
      </c>
      <c r="AW7" s="16">
        <f>VLOOKUP(AV7,Initial!G:K,5,FALSE)</f>
        <v>1683.9371318599437</v>
      </c>
      <c r="AX7" s="20">
        <f t="shared" si="0"/>
        <v>1707.9842078948636</v>
      </c>
      <c r="AY7" s="21">
        <f t="shared" si="1"/>
        <v>1706.1407986026627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LAVA 13-ANNA</v>
      </c>
      <c r="F8" s="233"/>
      <c r="G8" s="233"/>
      <c r="H8" s="233"/>
      <c r="I8" s="233"/>
      <c r="J8" s="233"/>
      <c r="K8" s="234"/>
      <c r="L8" s="235">
        <f>IF($AK10=0,AF64,AF46)</f>
        <v>8</v>
      </c>
      <c r="M8" s="236"/>
      <c r="N8" s="236"/>
      <c r="O8" s="236"/>
      <c r="P8" s="236"/>
      <c r="Q8" s="256"/>
      <c r="R8" s="235">
        <f>IF($AK10=0,AG64,AG46)</f>
        <v>0</v>
      </c>
      <c r="S8" s="236"/>
      <c r="T8" s="236"/>
      <c r="U8" s="236"/>
      <c r="V8" s="236"/>
      <c r="W8" s="235">
        <f>AQ24</f>
        <v>81</v>
      </c>
      <c r="X8" s="236"/>
      <c r="Y8" s="236"/>
      <c r="Z8" s="239">
        <f>IF(AF58&gt;0,(AQ24/AF58),0)</f>
        <v>0.40500000000000003</v>
      </c>
      <c r="AA8" s="240"/>
      <c r="AB8" s="240"/>
      <c r="AC8" s="262">
        <f>IF(AF72=0,0,(AF64/AF72))</f>
        <v>1</v>
      </c>
      <c r="AD8" s="263"/>
      <c r="AE8" s="264"/>
      <c r="AF8" s="268">
        <v>1</v>
      </c>
      <c r="AG8" s="268">
        <v>1</v>
      </c>
      <c r="AH8" s="270">
        <v>1</v>
      </c>
      <c r="AI8" s="271"/>
      <c r="AJ8" s="27"/>
      <c r="AK8" s="28">
        <v>10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233</v>
      </c>
      <c r="AV8" s="15" t="s">
        <v>234</v>
      </c>
      <c r="AW8" s="16">
        <f>VLOOKUP(AV8,Initial!G:K,5,FALSE)</f>
        <v>1576.7047718940707</v>
      </c>
      <c r="AX8" s="20">
        <f t="shared" si="0"/>
        <v>1607.8394096297868</v>
      </c>
      <c r="AY8" s="21">
        <f t="shared" si="1"/>
        <v>1622.9329591490934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fj3lavaf3cr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5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235</v>
      </c>
      <c r="AV9" s="15" t="s">
        <v>236</v>
      </c>
      <c r="AW9" s="16">
        <f>VLOOKUP(AV9,Initial!G:K,5,FALSE)</f>
        <v>1568.3090521625732</v>
      </c>
      <c r="AX9" s="20">
        <f t="shared" si="0"/>
        <v>1628.6565056003758</v>
      </c>
      <c r="AY9" s="21">
        <f t="shared" si="1"/>
        <v>1616.1193355748426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PRV 13U Brittany</v>
      </c>
      <c r="F10" s="233"/>
      <c r="G10" s="233"/>
      <c r="H10" s="233"/>
      <c r="I10" s="233"/>
      <c r="J10" s="233"/>
      <c r="K10" s="234"/>
      <c r="L10" s="235">
        <f>IF($AK10=0,AF65,AF47)</f>
        <v>3</v>
      </c>
      <c r="M10" s="236"/>
      <c r="N10" s="236"/>
      <c r="O10" s="236"/>
      <c r="P10" s="236"/>
      <c r="Q10" s="256"/>
      <c r="R10" s="235">
        <f>IF($AK10=0,AG65,AG47)</f>
        <v>5</v>
      </c>
      <c r="S10" s="236"/>
      <c r="T10" s="236"/>
      <c r="U10" s="236"/>
      <c r="V10" s="236"/>
      <c r="W10" s="235">
        <f>AQ25</f>
        <v>-19</v>
      </c>
      <c r="X10" s="236"/>
      <c r="Y10" s="236"/>
      <c r="Z10" s="239">
        <f>IF(AF59&gt;0,(AQ25/AF59),0)</f>
        <v>-9.3596059113300489E-2</v>
      </c>
      <c r="AA10" s="240"/>
      <c r="AB10" s="240"/>
      <c r="AC10" s="262">
        <f>IF(AF73=0,0,(AF65/AF73))</f>
        <v>0.375</v>
      </c>
      <c r="AD10" s="263"/>
      <c r="AE10" s="264"/>
      <c r="AF10" s="268">
        <v>3</v>
      </c>
      <c r="AG10" s="268">
        <v>1</v>
      </c>
      <c r="AH10" s="270">
        <v>6</v>
      </c>
      <c r="AI10" s="271"/>
      <c r="AJ10" s="27"/>
      <c r="AK10" s="28">
        <v>0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237</v>
      </c>
      <c r="AV10" s="15" t="s">
        <v>238</v>
      </c>
      <c r="AW10" s="16">
        <f>VLOOKUP(AV10,Initial!G:K,5,FALSE)</f>
        <v>1568.2233091455873</v>
      </c>
      <c r="AX10" s="20">
        <f t="shared" si="0"/>
        <v>1521.8788549649144</v>
      </c>
      <c r="AY10" s="21">
        <f t="shared" si="1"/>
        <v>1509.7586404382946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FJ3PRAGE1PM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5" t="s">
        <v>239</v>
      </c>
      <c r="AV11" s="15" t="s">
        <v>240</v>
      </c>
      <c r="AW11" s="16">
        <f>VLOOKUP(AV11,Initial!G:K,5,FALSE)</f>
        <v>1540.9289312215133</v>
      </c>
      <c r="AX11" s="20">
        <f t="shared" si="0"/>
        <v>1471.7276842658753</v>
      </c>
      <c r="AY11" s="21">
        <f t="shared" si="1"/>
        <v>1471.7276842658753</v>
      </c>
    </row>
    <row r="12" spans="1:53" ht="18.75" customHeight="1" thickBot="1" x14ac:dyDescent="0.25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Palm Strikers 12 Platinum</v>
      </c>
      <c r="F12" s="233"/>
      <c r="G12" s="233"/>
      <c r="H12" s="233"/>
      <c r="I12" s="233"/>
      <c r="J12" s="233"/>
      <c r="K12" s="234"/>
      <c r="L12" s="235">
        <f>IF($AK10=0,AF66,AF48)</f>
        <v>6</v>
      </c>
      <c r="M12" s="236"/>
      <c r="N12" s="236"/>
      <c r="O12" s="236"/>
      <c r="P12" s="236"/>
      <c r="Q12" s="256"/>
      <c r="R12" s="235">
        <f>IF($AK10=0,AG66,AG48)</f>
        <v>2</v>
      </c>
      <c r="S12" s="236"/>
      <c r="T12" s="236"/>
      <c r="U12" s="236"/>
      <c r="V12" s="236"/>
      <c r="W12" s="235">
        <f>AQ26</f>
        <v>31</v>
      </c>
      <c r="X12" s="236"/>
      <c r="Y12" s="236"/>
      <c r="Z12" s="239">
        <f>IF(AF60&gt;0,(AQ26/AF60),0)</f>
        <v>0.15270935960591134</v>
      </c>
      <c r="AA12" s="240"/>
      <c r="AB12" s="240"/>
      <c r="AC12" s="262">
        <f>IF(AF74=0,0,(AF66/AF74))</f>
        <v>0.75</v>
      </c>
      <c r="AD12" s="263"/>
      <c r="AE12" s="264"/>
      <c r="AF12" s="268">
        <v>2</v>
      </c>
      <c r="AG12" s="268">
        <v>1</v>
      </c>
      <c r="AH12" s="270">
        <v>2</v>
      </c>
      <c r="AI12" s="271"/>
      <c r="AJ12" s="31"/>
      <c r="AK12" s="28">
        <v>8</v>
      </c>
      <c r="AL12" s="32" t="s">
        <v>61</v>
      </c>
      <c r="AM12" s="29"/>
      <c r="AN12" s="29"/>
      <c r="AO12" s="29"/>
      <c r="AP12" s="29"/>
      <c r="AQ12" s="29"/>
      <c r="AR12" s="30"/>
      <c r="AT12" s="33">
        <v>10</v>
      </c>
      <c r="AU12" s="15" t="s">
        <v>241</v>
      </c>
      <c r="AV12" s="15" t="s">
        <v>242</v>
      </c>
      <c r="AW12" s="16">
        <f>VLOOKUP(AV12,Initial!G:K,5,FALSE)</f>
        <v>1511.9591340892896</v>
      </c>
      <c r="AX12" s="34">
        <f t="shared" si="0"/>
        <v>1480.4710782689231</v>
      </c>
      <c r="AY12" s="35">
        <f t="shared" si="1"/>
        <v>1466.8482393616123</v>
      </c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fj2pstri1pm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39" t="s">
        <v>64</v>
      </c>
      <c r="AU13" s="340"/>
      <c r="AV13" s="340"/>
      <c r="AW13" s="340"/>
      <c r="AX13" s="340"/>
      <c r="AY13" s="341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CSRA Heat 13 Black</v>
      </c>
      <c r="F14" s="233"/>
      <c r="G14" s="233"/>
      <c r="H14" s="233"/>
      <c r="I14" s="233"/>
      <c r="J14" s="233"/>
      <c r="K14" s="234"/>
      <c r="L14" s="235">
        <f>IF($AK10=0,AF67,AF49)</f>
        <v>2</v>
      </c>
      <c r="M14" s="236"/>
      <c r="N14" s="236"/>
      <c r="O14" s="236"/>
      <c r="P14" s="236"/>
      <c r="Q14" s="256"/>
      <c r="R14" s="235">
        <f>IF($AK10=0,AG67,AG49)</f>
        <v>6</v>
      </c>
      <c r="S14" s="236"/>
      <c r="T14" s="236"/>
      <c r="U14" s="236"/>
      <c r="V14" s="236"/>
      <c r="W14" s="235">
        <f>AQ27</f>
        <v>-52</v>
      </c>
      <c r="X14" s="236"/>
      <c r="Y14" s="236"/>
      <c r="Z14" s="239">
        <f>IF(AF61&gt;0,(AQ27/AF61),0)</f>
        <v>-0.25870646766169153</v>
      </c>
      <c r="AA14" s="240"/>
      <c r="AB14" s="240"/>
      <c r="AC14" s="262">
        <f>IF(AF75=0,0,(AF67/AF75))</f>
        <v>0.25</v>
      </c>
      <c r="AD14" s="263"/>
      <c r="AE14" s="264"/>
      <c r="AF14" s="268">
        <v>4</v>
      </c>
      <c r="AG14" s="268">
        <v>1</v>
      </c>
      <c r="AH14" s="270">
        <v>7</v>
      </c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42"/>
      <c r="AU14" s="343"/>
      <c r="AV14" s="343"/>
      <c r="AW14" s="343"/>
      <c r="AX14" s="343"/>
      <c r="AY14" s="344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fj3csrah2pm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  <c r="AW15" s="97"/>
      <c r="AX15" s="97"/>
      <c r="AY15" s="97"/>
    </row>
    <row r="16" spans="1:53" ht="18.75" customHeight="1" x14ac:dyDescent="0.2">
      <c r="A16" s="227" t="str">
        <f>IF($AK9&gt;4,"5","")</f>
        <v>5</v>
      </c>
      <c r="B16" s="286" t="s">
        <v>10</v>
      </c>
      <c r="C16" s="287"/>
      <c r="D16" s="287"/>
      <c r="E16" s="232" t="str">
        <f>AU11</f>
        <v>OLC 13 Purple Elite</v>
      </c>
      <c r="F16" s="233"/>
      <c r="G16" s="233"/>
      <c r="H16" s="233"/>
      <c r="I16" s="233"/>
      <c r="J16" s="233"/>
      <c r="K16" s="234"/>
      <c r="L16" s="235">
        <f>IF($AK10=0,AF68,AF50)</f>
        <v>1</v>
      </c>
      <c r="M16" s="236"/>
      <c r="N16" s="236"/>
      <c r="O16" s="236"/>
      <c r="P16" s="236"/>
      <c r="Q16" s="256"/>
      <c r="R16" s="235">
        <f>IF($AK10=0,AG68,AG50)</f>
        <v>7</v>
      </c>
      <c r="S16" s="236"/>
      <c r="T16" s="236"/>
      <c r="U16" s="236"/>
      <c r="V16" s="236"/>
      <c r="W16" s="235">
        <f>AQ28</f>
        <v>-41</v>
      </c>
      <c r="X16" s="236"/>
      <c r="Y16" s="236"/>
      <c r="Z16" s="239">
        <f>IF(AF62&gt;0,(AQ28/AF62),0)</f>
        <v>-0.2</v>
      </c>
      <c r="AA16" s="240"/>
      <c r="AB16" s="240"/>
      <c r="AC16" s="262">
        <f>IF(AF76=0,0,(AF68/AF76))</f>
        <v>0.125</v>
      </c>
      <c r="AD16" s="263"/>
      <c r="AE16" s="264"/>
      <c r="AF16" s="268">
        <v>5</v>
      </c>
      <c r="AG16" s="268">
        <v>1</v>
      </c>
      <c r="AH16" s="270"/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T16" s="39"/>
      <c r="AU16" s="97"/>
      <c r="AV16" s="97"/>
      <c r="AW16" s="97"/>
      <c r="AX16" s="97"/>
      <c r="AY16" s="97"/>
    </row>
    <row r="17" spans="1:51" ht="18.75" customHeight="1" thickBot="1" x14ac:dyDescent="0.25">
      <c r="A17" s="228"/>
      <c r="B17" s="296" t="s">
        <v>11</v>
      </c>
      <c r="C17" s="297"/>
      <c r="D17" s="297"/>
      <c r="E17" s="410" t="str">
        <f>AV11</f>
        <v>fj3ladyc1pm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T17" s="39"/>
      <c r="AU17" s="97"/>
      <c r="AV17" s="97"/>
      <c r="AW17" s="97"/>
      <c r="AX17" s="97"/>
      <c r="AY17" s="97"/>
    </row>
    <row r="18" spans="1:51" ht="21" customHeight="1" thickTop="1" thickBot="1" x14ac:dyDescent="0.25">
      <c r="A18" s="40"/>
      <c r="B18" s="305" t="s">
        <v>65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T18" s="39"/>
      <c r="AU18" s="97"/>
      <c r="AV18" s="97"/>
      <c r="AW18" s="4"/>
    </row>
    <row r="19" spans="1:51" ht="13.5" thickTop="1" x14ac:dyDescent="0.2">
      <c r="A19" s="4" t="s">
        <v>66</v>
      </c>
      <c r="B19" s="308">
        <v>0.35416666666666669</v>
      </c>
      <c r="C19" s="309"/>
      <c r="D19" s="310"/>
      <c r="E19" s="308">
        <v>0.38541666666666669</v>
      </c>
      <c r="F19" s="309"/>
      <c r="G19" s="310"/>
      <c r="H19" s="308">
        <v>0.41666666666666669</v>
      </c>
      <c r="I19" s="309"/>
      <c r="J19" s="310"/>
      <c r="K19" s="308">
        <v>0.44791666666666669</v>
      </c>
      <c r="L19" s="309"/>
      <c r="M19" s="310"/>
      <c r="N19" s="308">
        <v>0.47916666666666669</v>
      </c>
      <c r="O19" s="309"/>
      <c r="P19" s="310"/>
      <c r="Q19" s="308">
        <v>0.51041666666666663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T19" s="39"/>
      <c r="AU19" s="97"/>
      <c r="AV19" s="97"/>
      <c r="AW19" s="4"/>
    </row>
    <row r="20" spans="1:51" x14ac:dyDescent="0.2">
      <c r="A20" s="41" t="s">
        <v>68</v>
      </c>
      <c r="B20" s="319"/>
      <c r="C20" s="320"/>
      <c r="D20" s="321"/>
      <c r="E20" s="319"/>
      <c r="F20" s="320"/>
      <c r="G20" s="321"/>
      <c r="H20" s="319"/>
      <c r="I20" s="320"/>
      <c r="J20" s="321"/>
      <c r="K20" s="319"/>
      <c r="L20" s="320"/>
      <c r="M20" s="321"/>
      <c r="N20" s="319"/>
      <c r="O20" s="320"/>
      <c r="P20" s="321"/>
      <c r="Q20" s="319"/>
      <c r="R20" s="320"/>
      <c r="S20" s="321"/>
      <c r="T20" s="319"/>
      <c r="U20" s="320"/>
      <c r="V20" s="321"/>
      <c r="W20" s="319"/>
      <c r="X20" s="320"/>
      <c r="Y20" s="321"/>
      <c r="Z20" s="319"/>
      <c r="AA20" s="320"/>
      <c r="AB20" s="321"/>
      <c r="AC20" s="319"/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T20" s="39"/>
      <c r="AU20" s="97"/>
      <c r="AV20" s="97"/>
      <c r="AW20" s="4"/>
    </row>
    <row r="21" spans="1:51" x14ac:dyDescent="0.2">
      <c r="A21" s="41" t="s">
        <v>69</v>
      </c>
      <c r="B21" s="319"/>
      <c r="C21" s="320"/>
      <c r="D21" s="321"/>
      <c r="E21" s="319"/>
      <c r="F21" s="320"/>
      <c r="G21" s="321"/>
      <c r="H21" s="319"/>
      <c r="I21" s="320"/>
      <c r="J21" s="321"/>
      <c r="K21" s="319"/>
      <c r="L21" s="320"/>
      <c r="M21" s="321"/>
      <c r="N21" s="319"/>
      <c r="O21" s="320"/>
      <c r="P21" s="321"/>
      <c r="Q21" s="319"/>
      <c r="R21" s="320"/>
      <c r="S21" s="321"/>
      <c r="T21" s="319"/>
      <c r="U21" s="320"/>
      <c r="V21" s="321"/>
      <c r="W21" s="319"/>
      <c r="X21" s="320"/>
      <c r="Y21" s="321"/>
      <c r="Z21" s="319"/>
      <c r="AA21" s="320"/>
      <c r="AB21" s="321"/>
      <c r="AC21" s="319"/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T21" s="6"/>
      <c r="AU21" s="6"/>
      <c r="AV21" s="6"/>
      <c r="AW21" s="4"/>
    </row>
    <row r="22" spans="1:51" ht="13.5" thickBot="1" x14ac:dyDescent="0.25">
      <c r="A22" s="7"/>
      <c r="B22" s="322" t="s">
        <v>70</v>
      </c>
      <c r="C22" s="323"/>
      <c r="D22" s="324"/>
      <c r="E22" s="322" t="str">
        <f>IF($AK8&gt;1,"Match 2","")</f>
        <v>Match 2</v>
      </c>
      <c r="F22" s="323"/>
      <c r="G22" s="324"/>
      <c r="H22" s="322" t="str">
        <f>IF($AK8&gt;2,"Match 3","")</f>
        <v>Match 3</v>
      </c>
      <c r="I22" s="323"/>
      <c r="J22" s="324"/>
      <c r="K22" s="322" t="str">
        <f>IF($AK8&gt;3,"Match 4","")</f>
        <v>Match 4</v>
      </c>
      <c r="L22" s="323"/>
      <c r="M22" s="324"/>
      <c r="N22" s="322" t="str">
        <f>IF($AK8&gt;4,"Match 5","")</f>
        <v>Match 5</v>
      </c>
      <c r="O22" s="323"/>
      <c r="P22" s="324"/>
      <c r="Q22" s="322" t="str">
        <f>IF($AK8&gt;5,"Match 6","")</f>
        <v>Match 6</v>
      </c>
      <c r="R22" s="323"/>
      <c r="S22" s="324"/>
      <c r="T22" s="322" t="str">
        <f>IF($AK8&gt;6,"Match 7","")</f>
        <v>Match 7</v>
      </c>
      <c r="U22" s="323"/>
      <c r="V22" s="324"/>
      <c r="W22" s="322" t="str">
        <f>IF($AK8&gt;7,"Match 8","")</f>
        <v>Match 8</v>
      </c>
      <c r="X22" s="323"/>
      <c r="Y22" s="324"/>
      <c r="Z22" s="322" t="str">
        <f>IF($AK8&gt;8,"Match 9","")</f>
        <v>Match 9</v>
      </c>
      <c r="AA22" s="323"/>
      <c r="AB22" s="324"/>
      <c r="AC22" s="322" t="str">
        <f>IF($AK8&gt;9,"Match 10","")</f>
        <v>Match 10</v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T22" s="39"/>
      <c r="AU22" s="97"/>
      <c r="AV22" s="97"/>
      <c r="AW22" s="4"/>
    </row>
    <row r="23" spans="1:51" ht="15.75" x14ac:dyDescent="0.25">
      <c r="A23" s="7"/>
      <c r="B23" s="325" t="s">
        <v>71</v>
      </c>
      <c r="C23" s="326"/>
      <c r="D23" s="327"/>
      <c r="E23" s="325" t="s">
        <v>72</v>
      </c>
      <c r="F23" s="326"/>
      <c r="G23" s="327"/>
      <c r="H23" s="325" t="s">
        <v>73</v>
      </c>
      <c r="I23" s="326"/>
      <c r="J23" s="327"/>
      <c r="K23" s="325" t="s">
        <v>74</v>
      </c>
      <c r="L23" s="326"/>
      <c r="M23" s="327"/>
      <c r="N23" s="325" t="s">
        <v>75</v>
      </c>
      <c r="O23" s="326"/>
      <c r="P23" s="327"/>
      <c r="Q23" s="325" t="s">
        <v>73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74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9"/>
      <c r="AU23" s="97"/>
      <c r="AV23" s="97"/>
      <c r="AW23" s="97"/>
      <c r="AX23" s="97"/>
      <c r="AY23" s="97"/>
    </row>
    <row r="24" spans="1:51" ht="15.75" x14ac:dyDescent="0.25">
      <c r="A24" s="7"/>
      <c r="B24" s="45">
        <v>2</v>
      </c>
      <c r="C24" s="46" t="s">
        <v>78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2" t="str">
        <f>IF($AK9&gt;0,"Team 1","")</f>
        <v>Team 1</v>
      </c>
      <c r="AG24" s="48" t="str">
        <f>IF($AK9&lt;1,"",IF($AK8&lt;1,"",IF(B24=1,B30-D30,IF(D24=1,D30-B30,""))))</f>
        <v/>
      </c>
      <c r="AH24" s="48">
        <f>IF($AK9&lt;1,"",IF($AK8&lt;2,"",IF(E24=1,E30-G30,IF(G24=1,G30-E30,""))))</f>
        <v>24</v>
      </c>
      <c r="AI24" s="48" t="str">
        <f>IF($AK9&lt;1,"",IF($AK8&lt;3,"",IF(H24=1,H30-J30,IF(J24=1,J30-H30,""))))</f>
        <v/>
      </c>
      <c r="AJ24" s="48" t="str">
        <f>IF($AK9&lt;1,"",IF($AK8&lt;4,"",IF(K24=1,K30-M30,IF(M24=1,M30-K30,""))))</f>
        <v/>
      </c>
      <c r="AK24" s="48">
        <f>IF($AK9&lt;1,"",IF($AK8&lt;5,"",IF(N24=1,N30-P30,IF(P24=1,P30-N30,""))))</f>
        <v>10</v>
      </c>
      <c r="AL24" s="48" t="str">
        <f>IF($AK9&lt;1,"",IF($AK8&lt;6,"",IF(Q24=1,Q30-S30,IF(S24=1,S30-Q30,""))))</f>
        <v/>
      </c>
      <c r="AM24" s="48" t="str">
        <f>IF($AK9&lt;1,"",IF($AK8&lt;7,"",IF(T24=1,T30-V30,IF(V24=1,V30-T30,""))))</f>
        <v/>
      </c>
      <c r="AN24" s="48">
        <f>IF($AK9&lt;1,"",IF($AK8&lt;8,"",IF(W24=1,W30-Y30,IF(Y24=1,Y30-W30,""))))</f>
        <v>19</v>
      </c>
      <c r="AO24" s="48" t="str">
        <f>IF($AK9&lt;1,"",IF($AK8&lt;9,"",IF(Z24=1,Z30-AB30,IF(AB24=1,AB30-Z30,""))))</f>
        <v/>
      </c>
      <c r="AP24" s="48">
        <f>IF($AK9&lt;1,"",IF($AK8&lt;10,"",IF(AC24=1,AC30-AE30,IF(AE24=1,AE30-AC30,""))))</f>
        <v>28</v>
      </c>
      <c r="AQ24" s="44">
        <f>SUM(AG24:AP24)</f>
        <v>81</v>
      </c>
      <c r="AT24" s="39"/>
      <c r="AU24" s="97"/>
      <c r="AV24" s="97"/>
      <c r="AW24" s="97"/>
      <c r="AX24" s="97"/>
      <c r="AY24" s="97"/>
    </row>
    <row r="25" spans="1:51" ht="15" x14ac:dyDescent="0.2">
      <c r="A25" s="4" t="s">
        <v>79</v>
      </c>
      <c r="B25" s="49">
        <v>25</v>
      </c>
      <c r="C25" s="50" t="s">
        <v>80</v>
      </c>
      <c r="D25" s="51">
        <v>22</v>
      </c>
      <c r="E25" s="49">
        <v>25</v>
      </c>
      <c r="F25" s="50" t="str">
        <f>IF($AK8&gt;1,"/","")</f>
        <v>/</v>
      </c>
      <c r="G25" s="51">
        <v>15</v>
      </c>
      <c r="H25" s="49">
        <v>27</v>
      </c>
      <c r="I25" s="50" t="str">
        <f>IF($AK8&gt;2,"/","")</f>
        <v>/</v>
      </c>
      <c r="J25" s="51">
        <v>25</v>
      </c>
      <c r="K25" s="49">
        <v>25</v>
      </c>
      <c r="L25" s="50" t="str">
        <f>IF($AK8&gt;3,"/","")</f>
        <v>/</v>
      </c>
      <c r="M25" s="51">
        <v>18</v>
      </c>
      <c r="N25" s="49">
        <v>25</v>
      </c>
      <c r="O25" s="50" t="str">
        <f>IF($AK8&gt;4,"/","")</f>
        <v>/</v>
      </c>
      <c r="P25" s="51">
        <v>21</v>
      </c>
      <c r="Q25" s="49">
        <v>25</v>
      </c>
      <c r="R25" s="50" t="str">
        <f>IF($AK8&gt;5,"/","")</f>
        <v>/</v>
      </c>
      <c r="S25" s="51">
        <v>22</v>
      </c>
      <c r="T25" s="49">
        <v>24</v>
      </c>
      <c r="U25" s="50" t="str">
        <f>IF($AK8&gt;6,"/","")</f>
        <v>/</v>
      </c>
      <c r="V25" s="51">
        <v>26</v>
      </c>
      <c r="W25" s="49">
        <v>25</v>
      </c>
      <c r="X25" s="50" t="str">
        <f>IF($AK8&gt;7,"/","")</f>
        <v>/</v>
      </c>
      <c r="Y25" s="51">
        <v>11</v>
      </c>
      <c r="Z25" s="49">
        <v>25</v>
      </c>
      <c r="AA25" s="50" t="str">
        <f>IF($AK8&gt;8,"/","")</f>
        <v>/</v>
      </c>
      <c r="AB25" s="51">
        <v>13</v>
      </c>
      <c r="AC25" s="49">
        <v>25</v>
      </c>
      <c r="AD25" s="50" t="str">
        <f>IF($AK8&gt;9,"/","")</f>
        <v>/</v>
      </c>
      <c r="AE25" s="51">
        <v>8</v>
      </c>
      <c r="AF25" s="42" t="str">
        <f>IF($AK9&gt;1,"Team 2","")</f>
        <v>Team 2</v>
      </c>
      <c r="AG25" s="48">
        <f>IF($AK9&lt;2,"",IF($AK8&lt;1,"",IF(B24=2,B30-D30,IF(D24=2,D30-B30,""))))</f>
        <v>2</v>
      </c>
      <c r="AH25" s="48" t="str">
        <f>IF($AK9&lt;2,"",IF($AK8&lt;2,"",IF(E24=2,E30-G30,IF(G24=2,G30-E30,""))))</f>
        <v/>
      </c>
      <c r="AI25" s="48" t="str">
        <f>IF($AK9&lt;2,"",IF($AK8&lt;3,"",IF(H24=2,H30-J30,IF(J24=2,J30-H30,""))))</f>
        <v/>
      </c>
      <c r="AJ25" s="48">
        <f>IF($AK9&lt;2,"",IF($AK8&lt;4,"",IF(K24=2,K30-M30,IF(M24=2,M30-K30,""))))</f>
        <v>11</v>
      </c>
      <c r="AK25" s="48" t="str">
        <f>IF($AK9&lt;2,"",IF($AK8&lt;5,"",IF(N24=2,N30-P30,IF(P24=2,P30-N30,""))))</f>
        <v/>
      </c>
      <c r="AL25" s="48" t="str">
        <f>IF($AK9&lt;2,"",IF($AK8&lt;6,"",IF(Q24=2,Q30-S30,IF(S24=2,S30-Q30,""))))</f>
        <v/>
      </c>
      <c r="AM25" s="48">
        <f>IF($AK9&lt;2,"",IF($AK8&lt;7,"",IF(T24=2,T30-V30,IF(V24=2,V30-T30,""))))</f>
        <v>-4</v>
      </c>
      <c r="AN25" s="48" t="str">
        <f>IF($AK9&lt;2,"",IF($AK8&lt;8,"",IF(W24=2,W30-Y30,IF(Y24=2,Y30-W30,""))))</f>
        <v/>
      </c>
      <c r="AO25" s="48" t="str">
        <f>IF($AK9&lt;2,"",IF($AK8&lt;9,"",IF(Z24=2,Z30-AB30,IF(AB24=2,AB30-Z30,""))))</f>
        <v/>
      </c>
      <c r="AP25" s="48">
        <f>IF($AK9&lt;2,"",IF($AK8&lt;10,"",IF(AC24=2,AC30-AE30,IF(AE24=2,AE30-AC30,""))))</f>
        <v>-28</v>
      </c>
      <c r="AQ25" s="44">
        <f>SUM(AG25:AP25)</f>
        <v>-19</v>
      </c>
      <c r="AW25" s="4"/>
    </row>
    <row r="26" spans="1:51" ht="15" x14ac:dyDescent="0.2">
      <c r="A26" s="3" t="str">
        <f>IF($AK7&gt;1,"Game 2","")</f>
        <v>Game 2</v>
      </c>
      <c r="B26" s="49">
        <v>26</v>
      </c>
      <c r="C26" s="50" t="s">
        <v>80</v>
      </c>
      <c r="D26" s="51">
        <v>27</v>
      </c>
      <c r="E26" s="49">
        <v>25</v>
      </c>
      <c r="F26" s="50" t="str">
        <f>IF($AK8&gt;1,IF($AK7&gt;1,"/",""),"")</f>
        <v>/</v>
      </c>
      <c r="G26" s="51">
        <v>11</v>
      </c>
      <c r="H26" s="49">
        <v>25</v>
      </c>
      <c r="I26" s="50" t="str">
        <f>IF($AK8&gt;2,IF($AK7&gt;1,"/",""),"")</f>
        <v>/</v>
      </c>
      <c r="J26" s="51">
        <v>12</v>
      </c>
      <c r="K26" s="49">
        <v>25</v>
      </c>
      <c r="L26" s="50" t="str">
        <f>IF($AK8&gt;3,IF($AK7&gt;1,"/",""),"")</f>
        <v>/</v>
      </c>
      <c r="M26" s="51">
        <v>21</v>
      </c>
      <c r="N26" s="49">
        <v>25</v>
      </c>
      <c r="O26" s="50" t="str">
        <f>IF($AK8&gt;4,IF($AK7&gt;1,"/",""),"")</f>
        <v>/</v>
      </c>
      <c r="P26" s="51">
        <v>19</v>
      </c>
      <c r="Q26" s="49">
        <v>26</v>
      </c>
      <c r="R26" s="50" t="str">
        <f>IF($AK8&gt;5,IF($AK7&gt;1,"/",""),"")</f>
        <v>/</v>
      </c>
      <c r="S26" s="51">
        <v>24</v>
      </c>
      <c r="T26" s="49">
        <v>23</v>
      </c>
      <c r="U26" s="50" t="str">
        <f>IF($AK8&gt;6,IF($AK7&gt;1,"/",""),"")</f>
        <v>/</v>
      </c>
      <c r="V26" s="51">
        <v>25</v>
      </c>
      <c r="W26" s="49">
        <v>25</v>
      </c>
      <c r="X26" s="50" t="str">
        <f>IF($AK8&gt;7,IF($AK7&gt;1,"/",""),"")</f>
        <v>/</v>
      </c>
      <c r="Y26" s="51">
        <v>20</v>
      </c>
      <c r="Z26" s="49">
        <v>25</v>
      </c>
      <c r="AA26" s="50" t="str">
        <f>IF($AK8&gt;8,IF($AK7&gt;1,"/",""),"")</f>
        <v>/</v>
      </c>
      <c r="AB26" s="51">
        <v>15</v>
      </c>
      <c r="AC26" s="49">
        <v>25</v>
      </c>
      <c r="AD26" s="50" t="str">
        <f>IF($AK8&gt;9,IF($AK7&gt;1,"/",""),"")</f>
        <v>/</v>
      </c>
      <c r="AE26" s="51">
        <v>14</v>
      </c>
      <c r="AF26" s="42" t="str">
        <f>IF($AK9&gt;2,"Team 3","")</f>
        <v>Team 3</v>
      </c>
      <c r="AG26" s="48" t="str">
        <f>IF($AK9&lt;3,"",IF($AK8&lt;1,"",IF(B24=3,B30-D30,IF(D24=3,D30-B30,""))))</f>
        <v/>
      </c>
      <c r="AH26" s="48" t="str">
        <f>IF($AK9&lt;3,"",IF($AK8&lt;2,"",IF(E24=3,E30-G30,IF(G24=3,G30-E30,""))))</f>
        <v/>
      </c>
      <c r="AI26" s="48">
        <f>IF($AK9&lt;3,"",IF($AK8&lt;3,"",IF(H24=3,H30-J30,IF(J24=3,J30-H30,""))))</f>
        <v>15</v>
      </c>
      <c r="AJ26" s="48" t="str">
        <f>IF($AK9&lt;3,"",IF($AK8&lt;4,"",IF(K24=3,K30-M30,IF(M24=3,M30-K30,""))))</f>
        <v/>
      </c>
      <c r="AK26" s="48">
        <f>IF($AK9&lt;3,"",IF($AK8&lt;5,"",IF(N24=3,N30-P30,IF(P24=3,P30-N30,""))))</f>
        <v>-10</v>
      </c>
      <c r="AL26" s="48" t="str">
        <f>IF($AK9&lt;3,"",IF($AK8&lt;6,"",IF(Q24=3,Q30-S30,IF(S24=3,S30-Q30,""))))</f>
        <v/>
      </c>
      <c r="AM26" s="48">
        <f>IF($AK9&lt;3,"",IF($AK8&lt;7,"",IF(T24=3,T30-V30,IF(V24=3,V30-T30,""))))</f>
        <v>4</v>
      </c>
      <c r="AN26" s="48" t="str">
        <f>IF($AK9&lt;3,"",IF($AK8&lt;8,"",IF(W24=3,W30-Y30,IF(Y24=3,Y30-W30,""))))</f>
        <v/>
      </c>
      <c r="AO26" s="48">
        <f>IF($AK9&lt;3,"",IF($AK8&lt;9,"",IF(Z24=3,Z30-AB30,IF(AB24=3,AB30-Z30,""))))</f>
        <v>22</v>
      </c>
      <c r="AP26" s="48" t="str">
        <f>IF($AK9&lt;3,"",IF($AK8&lt;9,"",IF(AC24=3,AC30-AE30,IF(AE24=3,AE30-AC30,""))))</f>
        <v/>
      </c>
      <c r="AQ26" s="44">
        <f>SUM(AG26:AP26)</f>
        <v>31</v>
      </c>
      <c r="AW26" s="4"/>
    </row>
    <row r="27" spans="1:51" ht="15" x14ac:dyDescent="0.2">
      <c r="A27" s="3" t="str">
        <f>IF($AK7&gt;2,"Game 3","")</f>
        <v/>
      </c>
      <c r="B27" s="49"/>
      <c r="C27" s="50" t="s">
        <v>80</v>
      </c>
      <c r="D27" s="51"/>
      <c r="E27" s="49"/>
      <c r="F27" s="50" t="str">
        <f>IF($AK8&gt;1,IF($AK7&gt;2,"/",""),"")</f>
        <v/>
      </c>
      <c r="G27" s="51"/>
      <c r="H27" s="49"/>
      <c r="I27" s="50" t="str">
        <f>IF($AK8&gt;2,IF($AK7&gt;2,"/",""),"")</f>
        <v/>
      </c>
      <c r="J27" s="51"/>
      <c r="K27" s="49"/>
      <c r="L27" s="50" t="str">
        <f>IF($AK8&gt;3,IF($AK7&gt;2,"/",""),"")</f>
        <v/>
      </c>
      <c r="M27" s="51"/>
      <c r="N27" s="49"/>
      <c r="O27" s="50" t="str">
        <f>IF($AK8&gt;4,IF($AK7&gt;2,"/",""),"")</f>
        <v/>
      </c>
      <c r="P27" s="51"/>
      <c r="Q27" s="49"/>
      <c r="R27" s="50" t="str">
        <f>IF($AK8&gt;5,IF($AK7&gt;2,"/",""),"")</f>
        <v/>
      </c>
      <c r="S27" s="51"/>
      <c r="T27" s="49"/>
      <c r="U27" s="50" t="str">
        <f>IF($AK8&gt;6,IF($AK7&gt;2,"/",""),"")</f>
        <v/>
      </c>
      <c r="V27" s="51"/>
      <c r="W27" s="49"/>
      <c r="X27" s="50" t="str">
        <f>IF($AK8&gt;7,IF($AK7&gt;2,"/",""),"")</f>
        <v/>
      </c>
      <c r="Y27" s="51"/>
      <c r="Z27" s="49"/>
      <c r="AA27" s="50" t="str">
        <f>IF($AK8&gt;8,IF($AK7&gt;2,"/",""),"")</f>
        <v/>
      </c>
      <c r="AB27" s="51"/>
      <c r="AC27" s="49"/>
      <c r="AD27" s="50" t="str">
        <f>IF($AK8&gt;9,IF($AK7&gt;2,"/",""),"")</f>
        <v/>
      </c>
      <c r="AE27" s="51"/>
      <c r="AF27" s="42" t="str">
        <f>IF($AK9&gt;3,"Team 4","")</f>
        <v>Team 4</v>
      </c>
      <c r="AG27" s="48" t="str">
        <f>IF($AK9&lt;4,"",IF($AK8&lt;1,"",IF(B24=4,B30-D30,IF(D24=4,D30-B30,""))))</f>
        <v/>
      </c>
      <c r="AH27" s="48">
        <f>IF($AK9&lt;4,"",IF($AK8&lt;2,"",IF(E24=4,E30-G30,IF(G24=4,G30-E30,""))))</f>
        <v>-24</v>
      </c>
      <c r="AI27" s="48" t="str">
        <f>IF($AK9&lt;4,"",IF($AK8&lt;3,"",IF(H24=4,H30-J30,IF(J24=4,J30-H30,""))))</f>
        <v/>
      </c>
      <c r="AJ27" s="48">
        <f>IF($AK9&lt;4,"",IF($AK8&lt;4,"",IF(K24=4,K30-M30,IF(M24=4,M30-K30,""))))</f>
        <v>-11</v>
      </c>
      <c r="AK27" s="48" t="str">
        <f>IF($AK9&lt;4,"",IF($AK8&lt;5,"",IF(N24=4,N30-P30,IF(P24=4,P30-N30,""))))</f>
        <v/>
      </c>
      <c r="AL27" s="48">
        <f>IF($AK9&lt;4,"",IF($AK8&lt;6,"",IF(Q24=4,Q30-S30,IF(S24=4,S30-Q30,""))))</f>
        <v>5</v>
      </c>
      <c r="AM27" s="48" t="str">
        <f>IF($AK9&lt;4,"",IF($AK8&lt;7,"",IF(T24=4,T30-V30,IF(V24=4,V30-T30,""))))</f>
        <v/>
      </c>
      <c r="AN27" s="48" t="str">
        <f>IF($AK9&lt;4,"",IF($AK8&lt;8,"",IF(W24=4,W30-Y30,IF(Y24=4,Y30-W30,""))))</f>
        <v/>
      </c>
      <c r="AO27" s="48">
        <f>IF($AK9&lt;4,"",IF($AK8&lt;9,"",IF(Z24=4,Z30-AB30,IF(AB24=4,AB30-Z30,""))))</f>
        <v>-22</v>
      </c>
      <c r="AP27" s="48" t="str">
        <f>IF($AK9&lt;4,"",IF($AK8&lt;10,"",IF(AC24=4,AC30-AE30,IF(AE24=4,AE30-AC30,""))))</f>
        <v/>
      </c>
      <c r="AQ27" s="44">
        <f>SUM(AG27:AP27)</f>
        <v>-52</v>
      </c>
      <c r="AW27" s="4"/>
    </row>
    <row r="28" spans="1:51" ht="15" x14ac:dyDescent="0.2">
      <c r="A28" s="3" t="str">
        <f>IF($AK7&gt;3,"Game 4","")</f>
        <v/>
      </c>
      <c r="B28" s="49"/>
      <c r="C28" s="50" t="s">
        <v>80</v>
      </c>
      <c r="D28" s="51"/>
      <c r="E28" s="49"/>
      <c r="F28" s="50" t="str">
        <f>IF($AK8&gt;1,IF($AK7&gt;3,"/",""),"")</f>
        <v/>
      </c>
      <c r="G28" s="51"/>
      <c r="H28" s="49"/>
      <c r="I28" s="50" t="str">
        <f>IF($AK8&gt;2,IF($AK7&gt;3,"/",""),"")</f>
        <v/>
      </c>
      <c r="J28" s="51"/>
      <c r="K28" s="49"/>
      <c r="L28" s="50" t="str">
        <f>IF($AK8&gt;3,IF($AK7&gt;3,"/",""),"")</f>
        <v/>
      </c>
      <c r="M28" s="51"/>
      <c r="N28" s="49"/>
      <c r="O28" s="50" t="str">
        <f>IF($AK8&gt;4,IF($AK7&gt;3,"/",""),"")</f>
        <v/>
      </c>
      <c r="P28" s="51"/>
      <c r="Q28" s="49"/>
      <c r="R28" s="50" t="str">
        <f>IF($AK8&gt;5,IF($AK7&gt;3,"/",""),"")</f>
        <v/>
      </c>
      <c r="S28" s="51"/>
      <c r="T28" s="49"/>
      <c r="U28" s="50" t="str">
        <f>IF($AK8&gt;6,IF($AK7&gt;3,"/",""),"")</f>
        <v/>
      </c>
      <c r="V28" s="51"/>
      <c r="W28" s="49"/>
      <c r="X28" s="50" t="str">
        <f>IF($AK8&gt;7,IF($AK7&gt;3,"/",""),"")</f>
        <v/>
      </c>
      <c r="Y28" s="51"/>
      <c r="Z28" s="49"/>
      <c r="AA28" s="50" t="str">
        <f>IF($AK8&gt;8,IF($AK7&gt;3,"/",""),"")</f>
        <v/>
      </c>
      <c r="AB28" s="51"/>
      <c r="AC28" s="49"/>
      <c r="AD28" s="50" t="str">
        <f>IF($AK8&gt;9,IF($AK7&gt;3,"/",""),"")</f>
        <v/>
      </c>
      <c r="AE28" s="51"/>
      <c r="AF28" s="42" t="str">
        <f>IF($AK9&gt;4,"Team 5","")</f>
        <v>Team 5</v>
      </c>
      <c r="AG28" s="52">
        <f>IF($AK9&lt;5,"",IF($AK8&lt;1,"",IF(B24=5,B30-D30,IF(D24=5,D30-B30,""))))</f>
        <v>-2</v>
      </c>
      <c r="AH28" s="48" t="str">
        <f>IF($AK9&lt;5,"",IF($AK8&lt;2,"",IF(E24=5,E30-G30,IF(G24=5,G30-E30,""))))</f>
        <v/>
      </c>
      <c r="AI28" s="48">
        <f>IF($AK9&lt;5,"",IF($AK8&lt;3,"",IF(H24=5,H30-J30,IF(J24=5,J30-H30,""))))</f>
        <v>-15</v>
      </c>
      <c r="AJ28" s="48" t="str">
        <f>IF($AK9&lt;5,"",IF($AK8&lt;4,"",IF(K24=5,K30-M30,IF(M24=5,M30-K30,""))))</f>
        <v/>
      </c>
      <c r="AK28" s="48" t="str">
        <f>IF($AK9&lt;5,"",IF($AK8&lt;5,"",IF(N24=5,N30-P30,IF(P24=5,P30-N30,""))))</f>
        <v/>
      </c>
      <c r="AL28" s="48">
        <f>IF($AK9&lt;5,"",IF($AK8&lt;6,"",IF(Q24=5,Q30-S30,IF(S24=5,S30-Q30,""))))</f>
        <v>-5</v>
      </c>
      <c r="AM28" s="48" t="str">
        <f>IF($AK9&lt;5,"",IF($AK8&lt;7,"",IF(T24=5,T30-V30,IF(V24=5,V30-T30,""))))</f>
        <v/>
      </c>
      <c r="AN28" s="48">
        <f>IF($AK9&lt;5,"",IF($AK8&lt;8,"",IF(W24=5,W30-Y30,IF(Y24=5,Y30-W30,""))))</f>
        <v>-19</v>
      </c>
      <c r="AO28" s="48" t="str">
        <f>IF($AK9&lt;5,"",IF($AK8&lt;9,"",IF(Z24=5,Z30-AB30,IF(AB24=5,AB30-Z30,""))))</f>
        <v/>
      </c>
      <c r="AP28" s="48" t="str">
        <f>IF($AK9&lt;5,"",IF($AK8&lt;10,"",IF(AC24=5,AC30-AE30,IF(AE24=5,AE30-AC30,""))))</f>
        <v/>
      </c>
      <c r="AQ28" s="44">
        <f>SUM(AG28:AP28)</f>
        <v>-41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49"/>
      <c r="C29" s="50" t="s">
        <v>80</v>
      </c>
      <c r="D29" s="51"/>
      <c r="E29" s="49"/>
      <c r="F29" s="50" t="str">
        <f>IF($AK8&gt;1,IF($AK7&gt;4,"/",""),"")</f>
        <v/>
      </c>
      <c r="G29" s="51"/>
      <c r="H29" s="49"/>
      <c r="I29" s="50" t="str">
        <f>IF($AK8&gt;2,IF($AK7&gt;4,"/",""),"")</f>
        <v/>
      </c>
      <c r="J29" s="51"/>
      <c r="K29" s="49"/>
      <c r="L29" s="50" t="str">
        <f>IF($AK8&gt;3,IF($AK7&gt;4,"/",""),"")</f>
        <v/>
      </c>
      <c r="M29" s="51"/>
      <c r="N29" s="49"/>
      <c r="O29" s="50" t="str">
        <f>IF($AK8&gt;4,IF($AK7&gt;4,"/",""),"")</f>
        <v/>
      </c>
      <c r="P29" s="51"/>
      <c r="Q29" s="49"/>
      <c r="R29" s="50" t="str">
        <f>IF($AK8&gt;5,IF($AK7&gt;4,"/",""),"")</f>
        <v/>
      </c>
      <c r="S29" s="51"/>
      <c r="T29" s="49"/>
      <c r="U29" s="50" t="str">
        <f>IF($AK8&gt;6,IF($AK7&gt;4,"/",""),"")</f>
        <v/>
      </c>
      <c r="V29" s="51"/>
      <c r="W29" s="49"/>
      <c r="X29" s="50" t="str">
        <f>IF($AK8&gt;7,IF($AK7&gt;4,"/",""),"")</f>
        <v/>
      </c>
      <c r="Y29" s="51"/>
      <c r="Z29" s="49"/>
      <c r="AA29" s="50" t="str">
        <f>IF($AK8&gt;8,IF($AK7&gt;4,"/",""),"")</f>
        <v/>
      </c>
      <c r="AB29" s="51"/>
      <c r="AC29" s="49"/>
      <c r="AD29" s="50" t="str">
        <f>IF($AK8&gt;9,IF($AK7&gt;4,"/",""),"")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3"/>
      <c r="B30" s="53">
        <f>IF($AK7=5,SUM(B25:B29),IF($AK7=4,SUM(B25:B28),IF($AK7=3,SUM(B25:B27),IF($AK7=2,SUM(B25:B26),B25))))</f>
        <v>51</v>
      </c>
      <c r="C30" s="53"/>
      <c r="D30" s="53">
        <f>IF($AK7=5,SUM(D25:D29),IF($AK7=4,SUM(D25:D28),IF($AK7=3,SUM(D25:D27),IF($AK7=2,SUM(D25:D26),D25))))</f>
        <v>49</v>
      </c>
      <c r="E30" s="53">
        <f>IF($AK7=5,SUM(E25:E29),IF($AK7=4,SUM(E25:E28),IF($AK7=3,SUM(E25:E27),IF($AK7=2,SUM(E25:E26),E25))))</f>
        <v>50</v>
      </c>
      <c r="F30" s="53"/>
      <c r="G30" s="53">
        <f>IF($AK7=5,SUM(G25:G29),IF($AK7=4,SUM(G25:G28),IF($AK7=3,SUM(G25:G27),IF($AK7=2,SUM(G25:G26),G25))))</f>
        <v>26</v>
      </c>
      <c r="H30" s="53">
        <f>IF($AK7=5,SUM(H25:H29),IF($AK7=4,SUM(H25:H28),IF($AK7=3,SUM(H25:H27),IF($AK7=2,SUM(H25:H26),H25))))</f>
        <v>52</v>
      </c>
      <c r="I30" s="53"/>
      <c r="J30" s="53">
        <f>IF($AK7=5,SUM(J25:J29),IF($AK7=4,SUM(J25:J28),IF($AK7=3,SUM(J25:J27),IF($AK7=2,SUM(J25:J26),J25))))</f>
        <v>37</v>
      </c>
      <c r="K30" s="53">
        <f>IF($AK7=5,SUM(K25:K29),IF($AK7=4,SUM(K25:K28),IF($AK7=3,SUM(K25:K27),IF($AK7=2,SUM(K25:K26),K25))))</f>
        <v>50</v>
      </c>
      <c r="L30" s="53"/>
      <c r="M30" s="53">
        <f>IF($AK7=5,SUM(M25:M29),IF($AK7=4,SUM(M25:M28),IF($AK7=3,SUM(M25:M27),IF($AK7=2,SUM(M25:M26),M25))))</f>
        <v>39</v>
      </c>
      <c r="N30" s="53">
        <f>IF($AK7=5,SUM(N25:N29),IF($AK7=4,SUM(N25:N28),IF($AK7=3,SUM(N25:N27),IF($AK7=2,SUM(N25:N26),N25))))</f>
        <v>50</v>
      </c>
      <c r="O30" s="53"/>
      <c r="P30" s="53">
        <f>IF($AK7=5,SUM(P25:P29),IF($AK7=4,SUM(P25:P28),IF($AK7=3,SUM(P25:P27),IF($AK7=2,SUM(P25:P26),P25))))</f>
        <v>40</v>
      </c>
      <c r="Q30" s="53">
        <f>IF($AK7=5,SUM(Q25:Q29),IF($AK7=4,SUM(Q25:Q28),IF($AK7=3,SUM(Q25:Q27),IF($AK7=2,SUM(Q25:Q26),Q25))))</f>
        <v>51</v>
      </c>
      <c r="R30" s="53"/>
      <c r="S30" s="53">
        <f>IF($AK7=5,SUM(S25:S29),IF($AK7=4,SUM(S25:S28),IF($AK7=3,SUM(S25:S27),IF($AK7=2,SUM(S25:S26),S25))))</f>
        <v>46</v>
      </c>
      <c r="T30" s="53">
        <f>IF($AK7=5,SUM(T25:T29),IF($AK7=4,SUM(T25:T28),IF($AK7=3,SUM(T25:T27),IF($AK7=2,SUM(T25:T26),T25))))</f>
        <v>47</v>
      </c>
      <c r="U30" s="53"/>
      <c r="V30" s="53">
        <f>IF($AK7=5,SUM(V25:V29),IF($AK7=4,SUM(V25:V28),IF($AK7=3,SUM(V25:V27),IF($AK7=2,SUM(V25:V26),V25))))</f>
        <v>51</v>
      </c>
      <c r="W30" s="53">
        <f>IF($AK7=5,SUM(W25:W29),IF($AK7=4,SUM(W25:W28),IF($AK7=3,SUM(W25:W27),IF($AK7=2,SUM(W25:W26),W25))))</f>
        <v>50</v>
      </c>
      <c r="X30" s="53"/>
      <c r="Y30" s="53">
        <f>IF($AK7=5,SUM(Y25:Y29),IF($AK7=4,SUM(Y25:Y28),IF($AK7=3,SUM(Y25:Y27),IF($AK7=2,SUM(Y25:Y26),Y25))))</f>
        <v>31</v>
      </c>
      <c r="Z30" s="53">
        <f>IF($AK7=5,SUM(Z25:Z29),IF($AK7=4,SUM(Z25:Z28),IF($AK7=3,SUM(Z25:Z27),IF($AK7=2,SUM(Z25:Z26),Z25))))</f>
        <v>50</v>
      </c>
      <c r="AA30" s="53"/>
      <c r="AB30" s="53">
        <f>IF($AK7=5,SUM(AB25:AB29),IF($AK7=4,SUM(AB25:AB28),IF($AK7=3,SUM(AB25:AB27),IF($AK7=2,SUM(AB25:AB26),AB25))))</f>
        <v>28</v>
      </c>
      <c r="AC30" s="53">
        <f>IF($AK7=5,SUM(AC25:AC29),IF($AK7=4,SUM(AC25:AC28),IF($AK7=3,SUM(AC25:AC27),IF($AK7=2,SUM(AC25:AC26),AC25))))</f>
        <v>50</v>
      </c>
      <c r="AD30" s="53"/>
      <c r="AE30" s="53">
        <f>IF($AK7=5,SUM(AE25:AE29),IF($AK7=4,SUM(AE25:AE28),IF($AK7=3,SUM(AE25:AE27),IF($AK7=2,SUM(AE25:AE26),AE25))))</f>
        <v>22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5" customFormat="1" ht="12.75" hidden="1" customHeight="1" x14ac:dyDescent="0.2">
      <c r="A31" s="55" t="s">
        <v>81</v>
      </c>
      <c r="B31" s="56">
        <f>IF(AND(B25&gt;D25,$AK8&gt;0,ISNUMBER(B25),ISNUMBER(D25)),1,0)</f>
        <v>1</v>
      </c>
      <c r="C31" s="56"/>
      <c r="D31" s="57">
        <f>IF(AND(D25&gt;B25,$AK8&gt;0,ISNUMBER(B25),ISNUMBER(D25)),1,0)</f>
        <v>0</v>
      </c>
      <c r="E31" s="56">
        <f>IF(AND(E25&gt;G25,$AK8&gt;1,ISNUMBER(E25),ISNUMBER(G25)),1,0)</f>
        <v>1</v>
      </c>
      <c r="F31" s="56"/>
      <c r="G31" s="57">
        <f>IF(AND(G25&gt;E25,$AK8&gt;1,ISNUMBER(E25),ISNUMBER(G25)),1,0)</f>
        <v>0</v>
      </c>
      <c r="H31" s="56">
        <f>IF(AND(H25&gt;J25,$AK8&gt;2,ISNUMBER(H25),ISNUMBER(J25)),1,0)</f>
        <v>1</v>
      </c>
      <c r="I31" s="56"/>
      <c r="J31" s="57">
        <f>IF(AND(J25&gt;H25,$AK8&gt;2,ISNUMBER(H25),ISNUMBER(J25)),1,0)</f>
        <v>0</v>
      </c>
      <c r="K31" s="56">
        <f>IF(AND(K25&gt;M25,$AK8&gt;3,ISNUMBER(K25),ISNUMBER(M25)),1,0)</f>
        <v>1</v>
      </c>
      <c r="L31" s="56"/>
      <c r="M31" s="57">
        <f>IF(AND(M25&gt;K25,$AK8&gt;3,ISNUMBER(K25),ISNUMBER(M25)),1,0)</f>
        <v>0</v>
      </c>
      <c r="N31" s="56">
        <f>IF(AND(N25&gt;P25,$AK8&gt;4,ISNUMBER(N25),ISNUMBER(P25)),1,0)</f>
        <v>1</v>
      </c>
      <c r="O31" s="56"/>
      <c r="P31" s="57">
        <f>IF(AND(P25&gt;N25,$AK8&gt;4,ISNUMBER(N25),ISNUMBER(P25)),1,0)</f>
        <v>0</v>
      </c>
      <c r="Q31" s="56">
        <f>IF(AND(Q25&gt;S25,$AK8&gt;5,ISNUMBER(Q25),ISNUMBER(S25)),1,0)</f>
        <v>1</v>
      </c>
      <c r="R31" s="56"/>
      <c r="S31" s="57">
        <f>IF(AND(S25&gt;Q25,$AK8&gt;5,ISNUMBER(Q25),ISNUMBER(S25)),1,0)</f>
        <v>0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1</v>
      </c>
      <c r="W31" s="56">
        <f>IF(AND(W25&gt;Y25,$AK8&gt;7,ISNUMBER(W25),ISNUMBER(Y25)),1,0)</f>
        <v>1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1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1</v>
      </c>
      <c r="AD31" s="56"/>
      <c r="AE31" s="57">
        <f>IF(AND(AE25&gt;AC25,$AK8&gt;9,ISNUMBER(AC25),ISNUMBER(AE25)),1,0)</f>
        <v>0</v>
      </c>
      <c r="AW31" s="58"/>
    </row>
    <row r="32" spans="1:51" s="55" customFormat="1" ht="12.75" hidden="1" customHeight="1" x14ac:dyDescent="0.2">
      <c r="A32" s="55" t="s">
        <v>82</v>
      </c>
      <c r="B32" s="56">
        <f>IF(AND(B26&gt;D26,$AK8&gt;0,$AK7&gt;1,ISNUMBER(B26),ISNUMBER(D26)),1,0)</f>
        <v>0</v>
      </c>
      <c r="C32" s="56"/>
      <c r="D32" s="57">
        <f>IF(AND(D26&gt;B26,$AK8&gt;0,$AK7&gt;1,ISNUMBER(B26),ISNUMBER(D26)),1,0)</f>
        <v>1</v>
      </c>
      <c r="E32" s="56">
        <f>IF(AND(E26&gt;G26,$AK8&gt;1,$AK7&gt;1,ISNUMBER(E26),ISNUMBER(G26)),1,0)</f>
        <v>1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1</v>
      </c>
      <c r="I32" s="56"/>
      <c r="J32" s="57">
        <f>IF(AND(J26&gt;H26,$AK8&gt;2,$AK7&gt;1,ISNUMBER(H26),ISNUMBER(J26)),1,0)</f>
        <v>0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1</v>
      </c>
      <c r="O32" s="56"/>
      <c r="P32" s="57">
        <f>IF(AND(P26&gt;N26,$AK8&gt;4,$AK7&gt;1,ISNUMBER(N26),ISNUMBER(P26)),1,0)</f>
        <v>0</v>
      </c>
      <c r="Q32" s="56">
        <f>IF(AND(Q26&gt;S26,$AK8&gt;5,$AK7&gt;1,ISNUMBER(Q26),ISNUMBER(S26)),1,0)</f>
        <v>1</v>
      </c>
      <c r="R32" s="56"/>
      <c r="S32" s="57">
        <f>IF(AND(S26&gt;Q26,$AK8&gt;5,$AK7&gt;1,ISNUMBER(Q26),ISNUMBER(S26)),1,0)</f>
        <v>0</v>
      </c>
      <c r="T32" s="56">
        <f>IF(AND(T26&gt;V26,$AK8&gt;6,$AK7&gt;1,ISNUMBER(T26),ISNUMBER(V26)),1,0)</f>
        <v>0</v>
      </c>
      <c r="U32" s="56"/>
      <c r="V32" s="57">
        <f>IF(AND(V26&gt;T26,$AK8&gt;6,$AK7&gt;1,ISNUMBER(T26),ISNUMBER(V26)),1,0)</f>
        <v>1</v>
      </c>
      <c r="W32" s="56">
        <f>IF(AND(W26&gt;Y26,$AK8&gt;7,$AK7&gt;1,ISNUMBER(W26),ISNUMBER(Y26)),1,0)</f>
        <v>1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1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1</v>
      </c>
      <c r="AD32" s="56"/>
      <c r="AE32" s="57">
        <f>IF(AND(AE26&gt;AC26,$AK8&gt;9,$AK7&gt;1,ISNUMBER(AC26),ISNUMBER(AE26)),1,0)</f>
        <v>0</v>
      </c>
      <c r="AW32" s="58"/>
    </row>
    <row r="33" spans="1:49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  <c r="AW33" s="58"/>
    </row>
    <row r="34" spans="1:49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  <c r="AW34" s="58"/>
    </row>
    <row r="35" spans="1:49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  <c r="AW35" s="58"/>
    </row>
    <row r="36" spans="1:49" s="55" customFormat="1" ht="38.25" hidden="1" customHeight="1" x14ac:dyDescent="0.2">
      <c r="A36" s="59" t="s">
        <v>86</v>
      </c>
      <c r="B36" s="55">
        <f>SUM(B31:B35)</f>
        <v>1</v>
      </c>
      <c r="D36" s="60">
        <f>SUM(D31:D35)</f>
        <v>1</v>
      </c>
      <c r="E36" s="55">
        <f>SUM(E31:E35)</f>
        <v>2</v>
      </c>
      <c r="G36" s="60">
        <f>SUM(G31:G35)</f>
        <v>0</v>
      </c>
      <c r="H36" s="55">
        <f>SUM(H31:H35)</f>
        <v>2</v>
      </c>
      <c r="J36" s="60">
        <f>SUM(J31:J35)</f>
        <v>0</v>
      </c>
      <c r="K36" s="55">
        <f>SUM(K31:K35)</f>
        <v>2</v>
      </c>
      <c r="M36" s="60">
        <f>SUM(M31:M35)</f>
        <v>0</v>
      </c>
      <c r="N36" s="55">
        <f>SUM(N31:N35)</f>
        <v>2</v>
      </c>
      <c r="P36" s="60">
        <f>SUM(P31:P35)</f>
        <v>0</v>
      </c>
      <c r="Q36" s="55">
        <f>SUM(Q31:Q35)</f>
        <v>2</v>
      </c>
      <c r="S36" s="60">
        <f>SUM(S31:S35)</f>
        <v>0</v>
      </c>
      <c r="T36" s="55">
        <f>SUM(T31:T35)</f>
        <v>0</v>
      </c>
      <c r="V36" s="60">
        <f>SUM(V31:V35)</f>
        <v>2</v>
      </c>
      <c r="W36" s="55">
        <f>SUM(W31:W35)</f>
        <v>2</v>
      </c>
      <c r="Y36" s="60">
        <f>SUM(Y31:Y35)</f>
        <v>0</v>
      </c>
      <c r="Z36" s="55">
        <f>SUM(Z31:Z35)</f>
        <v>2</v>
      </c>
      <c r="AB36" s="60">
        <f>SUM(AB31:AB35)</f>
        <v>0</v>
      </c>
      <c r="AC36" s="55">
        <f>SUM(AC31:AC35)</f>
        <v>2</v>
      </c>
      <c r="AE36" s="60">
        <f>SUM(AE31:AE35)</f>
        <v>0</v>
      </c>
      <c r="AW36" s="58"/>
    </row>
    <row r="37" spans="1:49" s="55" customFormat="1" ht="25.5" hidden="1" customHeight="1" x14ac:dyDescent="0.2">
      <c r="A37" s="59" t="s">
        <v>87</v>
      </c>
      <c r="B37" s="55">
        <f>IF(B36&gt;D36,IF(C71=AK7,1,IF(C71=AK7-1,1,0)),0)</f>
        <v>0</v>
      </c>
      <c r="C37" s="55">
        <f>B37+D37</f>
        <v>0</v>
      </c>
      <c r="D37" s="60">
        <f>IF(D36&gt;B36,IF(C71=AK7,1,IF(C71=AK7-1,1,0)),0)</f>
        <v>0</v>
      </c>
      <c r="E37" s="55">
        <f>IF(E36&gt;G36,IF(F71=AK7,1,IF(F71=AK7-1,1,0)),0)</f>
        <v>1</v>
      </c>
      <c r="F37" s="55">
        <f>E37+G37</f>
        <v>1</v>
      </c>
      <c r="G37" s="60">
        <f>IF(G36&gt;E36,IF(F71=AK7,1,IF(F71=AK7-1,1,0)),0)</f>
        <v>0</v>
      </c>
      <c r="H37" s="55">
        <f>IF(H36&gt;J36,IF(I71=AK7,1,IF(I71=AK7-1,1,0)),0)</f>
        <v>1</v>
      </c>
      <c r="I37" s="55">
        <f>H37+J37</f>
        <v>1</v>
      </c>
      <c r="J37" s="60">
        <f>IF(J36&gt;H36,IF(I71=AK7,1,IF(I71=AK7-1,1,0)),0)</f>
        <v>0</v>
      </c>
      <c r="K37" s="55">
        <f>IF(K36&gt;M36,IF(L71=AK7,1,IF(L71=AK7-1,1,0)),0)</f>
        <v>1</v>
      </c>
      <c r="L37" s="55">
        <f>K37+M37</f>
        <v>1</v>
      </c>
      <c r="M37" s="60">
        <f>IF(M36&gt;K36,IF(L71=AK7,1,IF(L71=AK7-1,1,0)),0)</f>
        <v>0</v>
      </c>
      <c r="N37" s="55">
        <f>IF(N36&gt;P36,IF(O71=AK7,1,IF(O71=AK7-1,1,0)),0)</f>
        <v>1</v>
      </c>
      <c r="O37" s="55">
        <f>N37+P37</f>
        <v>1</v>
      </c>
      <c r="P37" s="60">
        <f>IF(P36&gt;N36,IF(O71=AK7,1,IF(O71=AK7-1,1,0)),0)</f>
        <v>0</v>
      </c>
      <c r="Q37" s="55">
        <f>IF(Q36&gt;S36,IF(R71=AK7,1,IF(R71=AK7-1,1,0)),0)</f>
        <v>1</v>
      </c>
      <c r="R37" s="55">
        <f>Q37+S37</f>
        <v>1</v>
      </c>
      <c r="S37" s="60">
        <f>IF(S36&gt;Q36,IF(R71=AK7,1,IF(R71=AK7-1,1,0)),0)</f>
        <v>0</v>
      </c>
      <c r="T37" s="55">
        <f>IF(T36&gt;V36,IF(U71=AK7,1,IF(U71=AK7-1,1,0)),0)</f>
        <v>0</v>
      </c>
      <c r="U37" s="55">
        <f>T37+V37</f>
        <v>1</v>
      </c>
      <c r="V37" s="60">
        <f>IF(V36&gt;T36,IF(U71=AK7,1,IF(U71=AK7-1,1,0)),0)</f>
        <v>1</v>
      </c>
      <c r="W37" s="55">
        <f>IF(W36&gt;Y36,IF(X71=AK7,1,IF(X71=AK7-1,1,0)),0)</f>
        <v>1</v>
      </c>
      <c r="X37" s="55">
        <f>W37+Y37</f>
        <v>1</v>
      </c>
      <c r="Y37" s="60">
        <f>IF(Y36&gt;W36,IF(X71=AK7,1,IF(X71=AK7-1,1,0)),0)</f>
        <v>0</v>
      </c>
      <c r="Z37" s="55">
        <f>IF(Z36&gt;AB36,IF(AA71=AK7,1,IF(AA71=AK7-1,1,0)),0)</f>
        <v>1</v>
      </c>
      <c r="AA37" s="55">
        <f>Z37+AB37</f>
        <v>1</v>
      </c>
      <c r="AB37" s="60">
        <f>IF(AB36&gt;Z36,IF(AA71=AK7,1,IF(AA71=AK7-1,1,0)),0)</f>
        <v>0</v>
      </c>
      <c r="AC37" s="55">
        <f>IF(AC36&gt;AE36,IF(AD71=AK7,1,IF(AD71=AK7-1,1,0)),0)</f>
        <v>1</v>
      </c>
      <c r="AD37" s="55">
        <f>AC37+AE37</f>
        <v>1</v>
      </c>
      <c r="AE37" s="60">
        <f>IF(AE36&gt;AC36,IF(AD71=AK7,1,IF(AD71=AK7-1,1,0)),0)</f>
        <v>0</v>
      </c>
      <c r="AW37" s="58"/>
    </row>
    <row r="38" spans="1:49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  <c r="AW38" s="58"/>
    </row>
    <row r="39" spans="1:49" s="55" customFormat="1" ht="12.75" hidden="1" customHeight="1" x14ac:dyDescent="0.2">
      <c r="A39" s="55" t="s">
        <v>88</v>
      </c>
      <c r="B39" s="55">
        <f>IF(B31=1,B25,0)</f>
        <v>25</v>
      </c>
      <c r="D39" s="60">
        <f t="shared" ref="D39:E43" si="2">IF(D31=1,D25,0)</f>
        <v>0</v>
      </c>
      <c r="E39" s="55">
        <f t="shared" si="2"/>
        <v>25</v>
      </c>
      <c r="G39" s="60">
        <f t="shared" ref="G39:H43" si="3">IF(G31=1,G25,0)</f>
        <v>0</v>
      </c>
      <c r="H39" s="55">
        <f t="shared" si="3"/>
        <v>27</v>
      </c>
      <c r="J39" s="60">
        <f t="shared" ref="J39:K43" si="4">IF(J31=1,J25,0)</f>
        <v>0</v>
      </c>
      <c r="K39" s="55">
        <f t="shared" si="4"/>
        <v>25</v>
      </c>
      <c r="M39" s="60">
        <f t="shared" ref="M39:N43" si="5">IF(M31=1,M25,0)</f>
        <v>0</v>
      </c>
      <c r="N39" s="55">
        <f t="shared" si="5"/>
        <v>25</v>
      </c>
      <c r="P39" s="60">
        <f t="shared" ref="P39:Q43" si="6">IF(P31=1,P25,0)</f>
        <v>0</v>
      </c>
      <c r="Q39" s="55">
        <f t="shared" si="6"/>
        <v>25</v>
      </c>
      <c r="S39" s="60">
        <f t="shared" ref="S39:T43" si="7">IF(S31=1,S25,0)</f>
        <v>0</v>
      </c>
      <c r="T39" s="55">
        <f t="shared" si="7"/>
        <v>0</v>
      </c>
      <c r="V39" s="60">
        <f t="shared" ref="V39:W43" si="8">IF(V31=1,V25,0)</f>
        <v>26</v>
      </c>
      <c r="W39" s="55">
        <f t="shared" si="8"/>
        <v>25</v>
      </c>
      <c r="Y39" s="60">
        <f t="shared" ref="Y39:Z43" si="9">IF(Y31=1,Y25,0)</f>
        <v>0</v>
      </c>
      <c r="Z39" s="55">
        <f t="shared" si="9"/>
        <v>25</v>
      </c>
      <c r="AB39" s="60">
        <f t="shared" ref="AB39:AC43" si="10">IF(AB31=1,AB25,0)</f>
        <v>0</v>
      </c>
      <c r="AC39" s="55">
        <f t="shared" si="10"/>
        <v>25</v>
      </c>
      <c r="AE39" s="60">
        <f>IF(AE31=1,AE25,0)</f>
        <v>0</v>
      </c>
      <c r="AW39" s="58"/>
    </row>
    <row r="40" spans="1:49" s="55" customFormat="1" ht="12.75" hidden="1" customHeight="1" x14ac:dyDescent="0.2">
      <c r="A40" s="55" t="s">
        <v>89</v>
      </c>
      <c r="B40" s="55">
        <f>IF(B32=1,B26,0)</f>
        <v>0</v>
      </c>
      <c r="D40" s="60">
        <f t="shared" si="2"/>
        <v>27</v>
      </c>
      <c r="E40" s="55">
        <f t="shared" si="2"/>
        <v>25</v>
      </c>
      <c r="G40" s="60">
        <f t="shared" si="3"/>
        <v>0</v>
      </c>
      <c r="H40" s="55">
        <f t="shared" si="3"/>
        <v>25</v>
      </c>
      <c r="J40" s="60">
        <f t="shared" si="4"/>
        <v>0</v>
      </c>
      <c r="K40" s="55">
        <f t="shared" si="4"/>
        <v>25</v>
      </c>
      <c r="M40" s="60">
        <f t="shared" si="5"/>
        <v>0</v>
      </c>
      <c r="N40" s="55">
        <f t="shared" si="5"/>
        <v>25</v>
      </c>
      <c r="P40" s="60">
        <f t="shared" si="6"/>
        <v>0</v>
      </c>
      <c r="Q40" s="55">
        <f t="shared" si="6"/>
        <v>26</v>
      </c>
      <c r="S40" s="60">
        <f t="shared" si="7"/>
        <v>0</v>
      </c>
      <c r="T40" s="55">
        <f t="shared" si="7"/>
        <v>0</v>
      </c>
      <c r="V40" s="60">
        <f t="shared" si="8"/>
        <v>25</v>
      </c>
      <c r="W40" s="55">
        <f t="shared" si="8"/>
        <v>25</v>
      </c>
      <c r="Y40" s="60">
        <f t="shared" si="9"/>
        <v>0</v>
      </c>
      <c r="Z40" s="55">
        <f t="shared" si="9"/>
        <v>25</v>
      </c>
      <c r="AB40" s="60">
        <f t="shared" si="10"/>
        <v>0</v>
      </c>
      <c r="AC40" s="55">
        <f t="shared" si="10"/>
        <v>25</v>
      </c>
      <c r="AE40" s="60">
        <f>IF(AE32=1,AE26,0)</f>
        <v>0</v>
      </c>
      <c r="AW40" s="58"/>
    </row>
    <row r="41" spans="1:49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  <c r="AW41" s="58"/>
    </row>
    <row r="42" spans="1:49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  <c r="AW42" s="58"/>
    </row>
    <row r="43" spans="1:49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  <c r="AW43" s="58"/>
    </row>
    <row r="44" spans="1:49" s="55" customFormat="1" ht="38.25" hidden="1" customHeight="1" x14ac:dyDescent="0.2">
      <c r="A44" s="59" t="s">
        <v>93</v>
      </c>
      <c r="B44" s="55">
        <f>SUM(B39:D43)</f>
        <v>52</v>
      </c>
      <c r="D44" s="60"/>
      <c r="E44" s="55">
        <f>SUM(E39:G43)</f>
        <v>50</v>
      </c>
      <c r="G44" s="60"/>
      <c r="H44" s="55">
        <f>SUM(H39:J43)</f>
        <v>52</v>
      </c>
      <c r="J44" s="60"/>
      <c r="K44" s="55">
        <f>SUM(K39:M43)</f>
        <v>50</v>
      </c>
      <c r="M44" s="60"/>
      <c r="N44" s="55">
        <f>SUM(N39:P43)</f>
        <v>50</v>
      </c>
      <c r="P44" s="60"/>
      <c r="Q44" s="55">
        <f>SUM(Q39:S43)</f>
        <v>51</v>
      </c>
      <c r="S44" s="60"/>
      <c r="T44" s="55">
        <f>SUM(T39:V43)</f>
        <v>51</v>
      </c>
      <c r="V44" s="60"/>
      <c r="W44" s="55">
        <f>SUM(W39:Y43)</f>
        <v>50</v>
      </c>
      <c r="Y44" s="60"/>
      <c r="Z44" s="55">
        <f>SUM(Z39:AB43)</f>
        <v>50</v>
      </c>
      <c r="AB44" s="60"/>
      <c r="AC44" s="55">
        <f>SUM(AC39:AE43)</f>
        <v>50</v>
      </c>
      <c r="AE44" s="60"/>
      <c r="AW44" s="58"/>
    </row>
    <row r="45" spans="1:49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  <c r="AW45" s="58"/>
    </row>
    <row r="46" spans="1:49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1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1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1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1</v>
      </c>
      <c r="AE46" s="60">
        <f>IF(AE24=1,IF(AE37=1,1,0),0)</f>
        <v>0</v>
      </c>
      <c r="AF46" s="55">
        <f>SUM(B46:AE46)</f>
        <v>4</v>
      </c>
      <c r="AG46" s="55">
        <f>AF52-AF46</f>
        <v>0</v>
      </c>
      <c r="AW46" s="58"/>
    </row>
    <row r="47" spans="1:49" s="55" customFormat="1" ht="12.75" hidden="1" customHeight="1" x14ac:dyDescent="0.2">
      <c r="A47" s="55" t="s">
        <v>98</v>
      </c>
      <c r="B47" s="55">
        <f>IF(B24=2,IF(B37=1,1,0),0)</f>
        <v>0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1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1</v>
      </c>
      <c r="AG47" s="55">
        <f>AF53-AF47</f>
        <v>2</v>
      </c>
      <c r="AW47" s="58"/>
    </row>
    <row r="48" spans="1:49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1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1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1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3</v>
      </c>
      <c r="AG48" s="55">
        <f>AF54-AF48</f>
        <v>1</v>
      </c>
      <c r="AW48" s="58"/>
    </row>
    <row r="49" spans="1:49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1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1</v>
      </c>
      <c r="AG49" s="55">
        <f>AF55-AF49</f>
        <v>3</v>
      </c>
      <c r="AW49" s="58"/>
    </row>
    <row r="50" spans="1:49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0</v>
      </c>
      <c r="AG50" s="55">
        <f>AF56-AF50</f>
        <v>3</v>
      </c>
      <c r="AW50" s="58"/>
    </row>
    <row r="51" spans="1:49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  <c r="AW51" s="58"/>
    </row>
    <row r="52" spans="1:49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1</v>
      </c>
      <c r="P52" s="60">
        <f>IF(P24=1,IF(O37=1,1,0),0)</f>
        <v>0</v>
      </c>
      <c r="Q52" s="55">
        <f>IF(Q24=1,IF(R37=1,1,0),0)</f>
        <v>0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1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1</v>
      </c>
      <c r="AE52" s="60">
        <f>IF(AE24=1,IF(AD37=1,1,0),0)</f>
        <v>0</v>
      </c>
      <c r="AF52" s="55">
        <f>SUM(B52:AE52)</f>
        <v>4</v>
      </c>
      <c r="AW52" s="58"/>
    </row>
    <row r="53" spans="1:49" s="55" customFormat="1" ht="12.75" hidden="1" customHeight="1" x14ac:dyDescent="0.2">
      <c r="A53" s="55" t="s">
        <v>104</v>
      </c>
      <c r="B53" s="55">
        <f>IF(B24=2,IF(C37=1,1,0),0)</f>
        <v>0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0</v>
      </c>
      <c r="J53" s="60">
        <f>IF(J24=2,IF(I37=1,1,0),0)</f>
        <v>0</v>
      </c>
      <c r="K53" s="55">
        <f>IF(K24=2,IF(L37=1,1,0),0)</f>
        <v>1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0</v>
      </c>
      <c r="T53" s="55">
        <f>IF(T24=2,IF(U37=1,1,0),0)</f>
        <v>1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1</v>
      </c>
      <c r="AF53" s="55">
        <f>SUM(B53:AE53)</f>
        <v>3</v>
      </c>
      <c r="AW53" s="58"/>
    </row>
    <row r="54" spans="1:49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0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1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1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1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1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4</v>
      </c>
      <c r="AW54" s="58"/>
    </row>
    <row r="55" spans="1:49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0</v>
      </c>
      <c r="K55" s="55">
        <f>IF(K24=4,IF(L37=1,1,0),0)</f>
        <v>0</v>
      </c>
      <c r="M55" s="60">
        <f>IF(M24=4,IF(L37=1,1,0),0)</f>
        <v>1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1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1</v>
      </c>
      <c r="AC55" s="55">
        <f>IF(AC24=4,IF(AD37=1,1,0),0)</f>
        <v>0</v>
      </c>
      <c r="AE55" s="60">
        <f>IF(AE24=4,IF(AD37=1,1,0),0)</f>
        <v>0</v>
      </c>
      <c r="AF55" s="55">
        <f>SUM(B55:AE55)</f>
        <v>4</v>
      </c>
      <c r="AW55" s="58"/>
    </row>
    <row r="56" spans="1:49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0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1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1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1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3</v>
      </c>
      <c r="AW56" s="58"/>
    </row>
    <row r="57" spans="1:49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  <c r="AW57" s="58"/>
    </row>
    <row r="58" spans="1:49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50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0</v>
      </c>
      <c r="M58" s="60">
        <f>IF(M24=1,K44,0)</f>
        <v>0</v>
      </c>
      <c r="N58" s="55">
        <f>IF(N24=1,N44,0)</f>
        <v>50</v>
      </c>
      <c r="P58" s="60">
        <f>IF(P24=1,N44,0)</f>
        <v>0</v>
      </c>
      <c r="Q58" s="55">
        <f>IF(Q24=1,Q44,0)</f>
        <v>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50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50</v>
      </c>
      <c r="AE58" s="60">
        <f>IF(AE24=1,AC44,0)</f>
        <v>0</v>
      </c>
      <c r="AF58" s="55">
        <f>SUM(B58:AE58)</f>
        <v>200</v>
      </c>
      <c r="AW58" s="58"/>
    </row>
    <row r="59" spans="1:49" s="55" customFormat="1" ht="12.75" hidden="1" customHeight="1" x14ac:dyDescent="0.2">
      <c r="A59" s="55" t="s">
        <v>104</v>
      </c>
      <c r="B59" s="55">
        <f>IF(B24=2,B44,0)</f>
        <v>52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0</v>
      </c>
      <c r="J59" s="60">
        <f>IF(J24=2,H44,0)</f>
        <v>0</v>
      </c>
      <c r="K59" s="55">
        <f>IF(K24=2,K44,0)</f>
        <v>50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0</v>
      </c>
      <c r="T59" s="55">
        <f>IF(T24=2,T44,0)</f>
        <v>51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50</v>
      </c>
      <c r="AF59" s="55">
        <f>SUM(B59:AE59)</f>
        <v>203</v>
      </c>
      <c r="AW59" s="58"/>
    </row>
    <row r="60" spans="1:49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0</v>
      </c>
      <c r="E60" s="55">
        <f>IF(E24=3,E44,0)</f>
        <v>0</v>
      </c>
      <c r="G60" s="60">
        <f>IF(G24=3,E44,0)</f>
        <v>0</v>
      </c>
      <c r="H60" s="55">
        <f>IF(H24=3,H44,0)</f>
        <v>52</v>
      </c>
      <c r="J60" s="60">
        <f>IF(J24=3,H44,0)</f>
        <v>0</v>
      </c>
      <c r="K60" s="55">
        <f>IF(K24=3,K44,0)</f>
        <v>0</v>
      </c>
      <c r="M60" s="60">
        <f>IF(M24=3,K44,0)</f>
        <v>0</v>
      </c>
      <c r="N60" s="55">
        <f>IF(N24=3,N44,0)</f>
        <v>0</v>
      </c>
      <c r="P60" s="60">
        <f>IF(P24=3,N44,0)</f>
        <v>50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51</v>
      </c>
      <c r="W60" s="55">
        <f>IF(W24=3,W44,0)</f>
        <v>0</v>
      </c>
      <c r="Y60" s="60">
        <f>IF(Y24=3,W44,0)</f>
        <v>0</v>
      </c>
      <c r="Z60" s="55">
        <f>IF(Z24=3,Z44,0)</f>
        <v>50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203</v>
      </c>
      <c r="AW60" s="58"/>
    </row>
    <row r="61" spans="1:49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50</v>
      </c>
      <c r="H61" s="55">
        <f>IF(H24=4,H44,0)</f>
        <v>0</v>
      </c>
      <c r="J61" s="60">
        <f>IF(J24=4,H44,0)</f>
        <v>0</v>
      </c>
      <c r="K61" s="55">
        <f>IF(K24=4,K44,0)</f>
        <v>0</v>
      </c>
      <c r="M61" s="60">
        <f>IF(M24=4,K44,0)</f>
        <v>50</v>
      </c>
      <c r="N61" s="55">
        <f>IF(N24=4,N44,0)</f>
        <v>0</v>
      </c>
      <c r="P61" s="60">
        <f>IF(P24=4,N44,0)</f>
        <v>0</v>
      </c>
      <c r="Q61" s="55">
        <f>IF(Q24=4,Q44,0)</f>
        <v>51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50</v>
      </c>
      <c r="AC61" s="55">
        <f>IF(AC24=4,AC44,0)</f>
        <v>0</v>
      </c>
      <c r="AE61" s="60">
        <f>IF(AE24=4,AC44,0)</f>
        <v>0</v>
      </c>
      <c r="AF61" s="55">
        <f>SUM(B61:AE61)</f>
        <v>201</v>
      </c>
      <c r="AW61" s="58"/>
    </row>
    <row r="62" spans="1:49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52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52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51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50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205</v>
      </c>
      <c r="AW62" s="58"/>
    </row>
    <row r="63" spans="1:49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  <c r="AW63" s="58"/>
    </row>
    <row r="64" spans="1:49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2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2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2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2</v>
      </c>
      <c r="AE64" s="60">
        <f>IF(AE24=1,SUMIF(AE31:AE35,"&gt;0"),0)</f>
        <v>0</v>
      </c>
      <c r="AF64" s="55">
        <f>SUM(B64:AE64)</f>
        <v>8</v>
      </c>
      <c r="AG64" s="55">
        <f>AF72-AF64</f>
        <v>0</v>
      </c>
      <c r="AW64" s="58"/>
    </row>
    <row r="65" spans="1:54" s="55" customFormat="1" ht="12.75" hidden="1" customHeight="1" x14ac:dyDescent="0.2">
      <c r="A65" s="55" t="s">
        <v>98</v>
      </c>
      <c r="B65" s="55">
        <f>IF(B24=2,SUMIF(B31:B35,"&gt;0"),0)</f>
        <v>1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2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0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3</v>
      </c>
      <c r="AG65" s="55">
        <f>AF73-AF65</f>
        <v>5</v>
      </c>
      <c r="AW65" s="58"/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2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2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2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6</v>
      </c>
      <c r="AG66" s="55">
        <f>AF74-AF66</f>
        <v>2</v>
      </c>
      <c r="AW66" s="58"/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0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2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0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2</v>
      </c>
      <c r="AG67" s="55">
        <f>AF75-AF67</f>
        <v>6</v>
      </c>
      <c r="AW67" s="58"/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1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0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1</v>
      </c>
      <c r="AG68" s="55">
        <f>AF76-AF68</f>
        <v>7</v>
      </c>
      <c r="AW68" s="58"/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  <c r="AW69" s="58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  <c r="AW70" s="58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2</v>
      </c>
      <c r="V71" s="60"/>
      <c r="X71" s="55">
        <f>SUMIF(W64:Y68,"&gt;0")</f>
        <v>2</v>
      </c>
      <c r="Y71" s="60"/>
      <c r="AA71" s="55">
        <f>SUMIF(Z64:AB68,"&gt;0")</f>
        <v>2</v>
      </c>
      <c r="AB71" s="60"/>
      <c r="AD71" s="55">
        <f>SUMIF(AC64:AE68,"&gt;0")</f>
        <v>2</v>
      </c>
      <c r="AE71" s="60"/>
      <c r="AF71" s="59" t="s">
        <v>113</v>
      </c>
      <c r="AW71" s="58"/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0</v>
      </c>
      <c r="M72" s="60">
        <f>IF(M24=1,L71,0)</f>
        <v>0</v>
      </c>
      <c r="N72" s="55">
        <f>IF(N24=1,O71,0)</f>
        <v>2</v>
      </c>
      <c r="P72" s="60">
        <f>IF(P24=1,O71,0)</f>
        <v>0</v>
      </c>
      <c r="Q72" s="55">
        <f>IF(Q24=1,R71,0)</f>
        <v>0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2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2</v>
      </c>
      <c r="AE72" s="60">
        <f>IF(AE24=1,AD71,0)</f>
        <v>0</v>
      </c>
      <c r="AF72" s="55">
        <f>SUM(B72:AE72)</f>
        <v>8</v>
      </c>
      <c r="AW72" s="58"/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0</v>
      </c>
      <c r="J73" s="60">
        <f>IF(J24=2,I71,0)</f>
        <v>0</v>
      </c>
      <c r="K73" s="55">
        <f>IF(K24=2,L71,0)</f>
        <v>2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0</v>
      </c>
      <c r="T73" s="55">
        <f>IF(T24=2,U71,0)</f>
        <v>2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2</v>
      </c>
      <c r="AF73" s="55">
        <f>SUM(B73:AE73)</f>
        <v>8</v>
      </c>
      <c r="AW73" s="58"/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0</v>
      </c>
      <c r="E74" s="55">
        <f>IF(E24=3,F71,0)</f>
        <v>0</v>
      </c>
      <c r="G74" s="60">
        <f>IF(G24=3,F71,0)</f>
        <v>0</v>
      </c>
      <c r="H74" s="55">
        <f>IF(H24=3,I71,0)</f>
        <v>2</v>
      </c>
      <c r="J74" s="60">
        <f>IF(J24=3,I71,0)</f>
        <v>0</v>
      </c>
      <c r="K74" s="55">
        <f>IF(K24=3,L71,0)</f>
        <v>0</v>
      </c>
      <c r="M74" s="60">
        <f>IF(M24=3,L71,0)</f>
        <v>0</v>
      </c>
      <c r="N74" s="55">
        <f>IF(N24=3,O71,0)</f>
        <v>0</v>
      </c>
      <c r="P74" s="60">
        <f>IF(P24=3,O71,0)</f>
        <v>2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2</v>
      </c>
      <c r="W74" s="55">
        <f>IF(W24=3,X71,0)</f>
        <v>0</v>
      </c>
      <c r="Y74" s="60">
        <f>IF(Y24=3,X71,0)</f>
        <v>0</v>
      </c>
      <c r="Z74" s="55">
        <f>IF(Z24=3,AA71,0)</f>
        <v>2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  <c r="AW74" s="58"/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0</v>
      </c>
      <c r="K75" s="55">
        <f>IF(K24=4,L71,0)</f>
        <v>0</v>
      </c>
      <c r="M75" s="60">
        <f>IF(M24=4,L71,0)</f>
        <v>2</v>
      </c>
      <c r="N75" s="55">
        <f>IF(N24=4,O71,0)</f>
        <v>0</v>
      </c>
      <c r="P75" s="60">
        <f>IF(P24=4,O71,0)</f>
        <v>0</v>
      </c>
      <c r="Q75" s="55">
        <f>IF(Q24=4,R71,0)</f>
        <v>2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2</v>
      </c>
      <c r="AC75" s="55">
        <f>IF(AC24=4,AD71,0)</f>
        <v>0</v>
      </c>
      <c r="AE75" s="60">
        <f>IF(AE24=4,AD71,0)</f>
        <v>0</v>
      </c>
      <c r="AF75" s="55">
        <f>SUM(B75:AE75)</f>
        <v>8</v>
      </c>
      <c r="AW75" s="58"/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2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2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2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2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8</v>
      </c>
      <c r="AW76" s="58"/>
    </row>
    <row r="77" spans="1:54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BB77" s="130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LAVA 13-ANNA</v>
      </c>
      <c r="C79" s="67">
        <f>VLOOKUP(B79,AU$3:AY$12,3,FALSE)</f>
        <v>1600</v>
      </c>
      <c r="D79" s="67">
        <f>IF(B72,B87,IF(D72,D87,C79))</f>
        <v>1600</v>
      </c>
      <c r="E79" s="67"/>
      <c r="F79" s="67"/>
      <c r="G79" s="67">
        <f>IF(E72,E87,IF(G72,G87,D79))</f>
        <v>1629.0813921824474</v>
      </c>
      <c r="H79" s="67"/>
      <c r="I79" s="67"/>
      <c r="J79" s="67">
        <f>IF(H72,H87,IF(J72,J87,G79))</f>
        <v>1629.0813921824474</v>
      </c>
      <c r="K79" s="67"/>
      <c r="L79" s="67"/>
      <c r="M79" s="67">
        <f>IF(K72,K87,IF(M72,M87,J79))</f>
        <v>1629.0813921824474</v>
      </c>
      <c r="N79" s="67"/>
      <c r="O79" s="67"/>
      <c r="P79" s="67">
        <f>IF(N72,N87,IF(P72,P87,M79))</f>
        <v>1667.8325805034924</v>
      </c>
      <c r="Q79" s="67"/>
      <c r="R79" s="67"/>
      <c r="S79" s="67">
        <f>IF(Q72,Q87,IF(S72,S87,P79))</f>
        <v>1667.8325805034924</v>
      </c>
      <c r="T79" s="67"/>
      <c r="U79" s="67"/>
      <c r="V79" s="67">
        <f>IF(T72,T87,IF(V72,V87,S79))</f>
        <v>1667.8325805034924</v>
      </c>
      <c r="W79" s="67"/>
      <c r="X79" s="67"/>
      <c r="Y79" s="67">
        <f>IF(W72,W87,IF(Y72,Y87,V79))</f>
        <v>1684.6439642326891</v>
      </c>
      <c r="Z79" s="67"/>
      <c r="AA79" s="67"/>
      <c r="AB79" s="67">
        <f>IF(Z72,Z87,IF(AB72,AB87,Y79))</f>
        <v>1684.6439642326891</v>
      </c>
      <c r="AC79" s="67"/>
      <c r="AD79" s="67"/>
      <c r="AE79" s="67">
        <f>IF(AC72,AC87,IF(AE72,AE87,AB79))</f>
        <v>1705.0590948093995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LAVA 13-ANNA</v>
      </c>
      <c r="AU79" s="63">
        <f>AE79</f>
        <v>1705.0590948093995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PRV 13U Brittany</v>
      </c>
      <c r="C80" s="67">
        <f>VLOOKUP(B80,AU$3:AY$12,3,FALSE)</f>
        <v>1546.0358684980845</v>
      </c>
      <c r="D80" s="67">
        <f>IF(B73,B87,IF(D73,D87,C80))</f>
        <v>1545.565536065033</v>
      </c>
      <c r="E80" s="67"/>
      <c r="F80" s="67"/>
      <c r="G80" s="67">
        <f>IF(E73,E87,IF(G73,G87,D80))</f>
        <v>1545.565536065033</v>
      </c>
      <c r="H80" s="67"/>
      <c r="I80" s="67"/>
      <c r="J80" s="67">
        <f>IF(H73,H87,IF(J73,J87,G80))</f>
        <v>1545.565536065033</v>
      </c>
      <c r="K80" s="67"/>
      <c r="L80" s="67"/>
      <c r="M80" s="67">
        <f>IF(K73,K87,IF(M73,M87,J80))</f>
        <v>1576.9739662855686</v>
      </c>
      <c r="N80" s="67"/>
      <c r="O80" s="67"/>
      <c r="P80" s="67">
        <f>IF(N73,N87,IF(P73,P87,M80))</f>
        <v>1576.9739662855686</v>
      </c>
      <c r="Q80" s="67"/>
      <c r="R80" s="67"/>
      <c r="S80" s="67">
        <f>IF(Q73,Q87,IF(S73,S87,P80))</f>
        <v>1576.9739662855686</v>
      </c>
      <c r="T80" s="67"/>
      <c r="U80" s="67"/>
      <c r="V80" s="67">
        <f>IF(T73,T87,IF(V73,V87,S80))</f>
        <v>1552.8905293667865</v>
      </c>
      <c r="W80" s="67"/>
      <c r="X80" s="67"/>
      <c r="Y80" s="67">
        <f>IF(W73,W87,IF(Y73,Y87,V80))</f>
        <v>1552.8905293667865</v>
      </c>
      <c r="Z80" s="67"/>
      <c r="AA80" s="67"/>
      <c r="AB80" s="67">
        <f>IF(Z73,Z87,IF(AB73,AB87,Y80))</f>
        <v>1552.8905293667865</v>
      </c>
      <c r="AC80" s="67"/>
      <c r="AD80" s="67"/>
      <c r="AE80" s="67">
        <f>IF(AC73,AC87,IF(AE73,AE87,AB80))</f>
        <v>1532.475398790076</v>
      </c>
      <c r="AF80" s="4"/>
      <c r="AG80" s="4"/>
      <c r="AJ80" s="4"/>
      <c r="AL80" s="4"/>
      <c r="AM80" s="4"/>
      <c r="AN80" s="4"/>
      <c r="AO80" s="4"/>
      <c r="AT80" s="63" t="str">
        <f>B80</f>
        <v>PRV 13U Brittany</v>
      </c>
      <c r="AU80" s="63">
        <f>AE80</f>
        <v>1532.475398790076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Palm Strikers 12 Platinum</v>
      </c>
      <c r="C81" s="67">
        <f>VLOOKUP(B81,AU$3:AY$12,3,FALSE)</f>
        <v>1683.9371318599437</v>
      </c>
      <c r="D81" s="67">
        <f>IF(B74,B87,IF(D74,D87,C81))</f>
        <v>1683.9371318599437</v>
      </c>
      <c r="E81" s="67"/>
      <c r="F81" s="67"/>
      <c r="G81" s="67">
        <f>IF(E74,E87,IF(G74,G87,D81))</f>
        <v>1683.9371318599437</v>
      </c>
      <c r="H81" s="67"/>
      <c r="I81" s="67"/>
      <c r="J81" s="67">
        <f>IF(H74,H87,IF(J74,J87,G81))</f>
        <v>1703.4990248836777</v>
      </c>
      <c r="K81" s="67"/>
      <c r="L81" s="67"/>
      <c r="M81" s="67">
        <f>IF(K74,K87,IF(M74,M87,J81))</f>
        <v>1703.4990248836777</v>
      </c>
      <c r="N81" s="67"/>
      <c r="O81" s="67"/>
      <c r="P81" s="67">
        <f>IF(N74,N87,IF(P74,P87,M81))</f>
        <v>1664.7478365626328</v>
      </c>
      <c r="Q81" s="67"/>
      <c r="R81" s="67"/>
      <c r="S81" s="67">
        <f>IF(Q74,Q87,IF(S74,S87,P81))</f>
        <v>1664.7478365626328</v>
      </c>
      <c r="T81" s="67"/>
      <c r="U81" s="67"/>
      <c r="V81" s="67">
        <f>IF(T74,T87,IF(V74,V87,S81))</f>
        <v>1688.8312734814149</v>
      </c>
      <c r="W81" s="67"/>
      <c r="X81" s="67"/>
      <c r="Y81" s="67">
        <f>IF(W74,W87,IF(Y74,Y87,V81))</f>
        <v>1688.8312734814149</v>
      </c>
      <c r="Z81" s="67"/>
      <c r="AA81" s="67"/>
      <c r="AB81" s="67">
        <f>IF(Z74,Z87,IF(AB74,AB87,Y81))</f>
        <v>1707.9842078948636</v>
      </c>
      <c r="AC81" s="67"/>
      <c r="AD81" s="67"/>
      <c r="AE81" s="67">
        <f>IF(AC74,AC87,IF(AE74,AE87,AB81))</f>
        <v>1707.9842078948636</v>
      </c>
      <c r="AF81" s="4"/>
      <c r="AG81" s="4"/>
      <c r="AJ81" s="4"/>
      <c r="AL81" s="4"/>
      <c r="AM81" s="4"/>
      <c r="AN81" s="4"/>
      <c r="AO81" s="4"/>
      <c r="AT81" s="63" t="str">
        <f>B81</f>
        <v>Palm Strikers 12 Platinum</v>
      </c>
      <c r="AU81" s="63">
        <f>AE81</f>
        <v>1707.9842078948636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CSRA Heat 13 Black</v>
      </c>
      <c r="C82" s="67">
        <f>VLOOKUP(B82,AU$3:AY$12,3,FALSE)</f>
        <v>1568.2233091455873</v>
      </c>
      <c r="D82" s="67">
        <f>IF(B75,B87,IF(D75,D87,C82))</f>
        <v>1568.2233091455873</v>
      </c>
      <c r="E82" s="67"/>
      <c r="F82" s="67"/>
      <c r="G82" s="67">
        <f>IF(E75,E87,IF(G75,G87,D82))</f>
        <v>1539.1419169631399</v>
      </c>
      <c r="H82" s="67"/>
      <c r="I82" s="67"/>
      <c r="J82" s="67">
        <f>IF(H75,H87,IF(J75,J87,G82))</f>
        <v>1539.1419169631399</v>
      </c>
      <c r="K82" s="67"/>
      <c r="L82" s="67"/>
      <c r="M82" s="67">
        <f>IF(K75,K87,IF(M75,M87,J82))</f>
        <v>1507.7334867426043</v>
      </c>
      <c r="N82" s="67"/>
      <c r="O82" s="67"/>
      <c r="P82" s="67">
        <f>IF(N75,N87,IF(P75,P87,M82))</f>
        <v>1507.7334867426043</v>
      </c>
      <c r="Q82" s="67"/>
      <c r="R82" s="67"/>
      <c r="S82" s="67">
        <f>IF(Q75,Q87,IF(S75,S87,P82))</f>
        <v>1541.0317893783631</v>
      </c>
      <c r="T82" s="67"/>
      <c r="U82" s="67"/>
      <c r="V82" s="67">
        <f>IF(T75,T87,IF(V75,V87,S82))</f>
        <v>1541.0317893783631</v>
      </c>
      <c r="W82" s="67"/>
      <c r="X82" s="67"/>
      <c r="Y82" s="67">
        <f>IF(W75,W87,IF(Y75,Y87,V82))</f>
        <v>1541.0317893783631</v>
      </c>
      <c r="Z82" s="67"/>
      <c r="AA82" s="67"/>
      <c r="AB82" s="67">
        <f>IF(Z75,Z87,IF(AB75,AB87,Y82))</f>
        <v>1521.8788549649144</v>
      </c>
      <c r="AC82" s="67"/>
      <c r="AD82" s="67"/>
      <c r="AE82" s="67">
        <f>IF(AC75,AC87,IF(AE75,AE87,AB82))</f>
        <v>1521.8788549649144</v>
      </c>
      <c r="AF82" s="4"/>
      <c r="AG82" s="4"/>
      <c r="AJ82" s="4"/>
      <c r="AL82" s="4"/>
      <c r="AM82" s="4"/>
      <c r="AN82" s="4"/>
      <c r="AO82" s="4"/>
      <c r="AT82" s="63" t="str">
        <f>B82</f>
        <v>CSRA Heat 13 Black</v>
      </c>
      <c r="AU82" s="63">
        <f>AE82</f>
        <v>1521.8788549649144</v>
      </c>
      <c r="AW82" s="66"/>
      <c r="BB82" s="66"/>
    </row>
    <row r="83" spans="1:54" s="63" customFormat="1" hidden="1" x14ac:dyDescent="0.2">
      <c r="A83" s="67">
        <v>5</v>
      </c>
      <c r="B83" s="67" t="str">
        <f>E16</f>
        <v>OLC 13 Purple Elite</v>
      </c>
      <c r="C83" s="67">
        <f>VLOOKUP(B83,AU$3:AY$12,3,FALSE)</f>
        <v>1540.9289312215133</v>
      </c>
      <c r="D83" s="67">
        <f>IF(B76,B87,IF(D76,D87,C83))</f>
        <v>1541.3992636545647</v>
      </c>
      <c r="E83" s="67"/>
      <c r="F83" s="67"/>
      <c r="G83" s="67">
        <f>IF(E76,E87,IF(G76,G87,D83))</f>
        <v>1541.3992636545647</v>
      </c>
      <c r="H83" s="67"/>
      <c r="I83" s="67"/>
      <c r="J83" s="67">
        <f>IF(H76,H87,IF(J76,J87,G83))</f>
        <v>1521.8373706308307</v>
      </c>
      <c r="K83" s="67"/>
      <c r="L83" s="67"/>
      <c r="M83" s="67">
        <f>IF(K76,K87,IF(M76,M87,J83))</f>
        <v>1521.8373706308307</v>
      </c>
      <c r="N83" s="67"/>
      <c r="O83" s="67"/>
      <c r="P83" s="67">
        <f>IF(N76,N87,IF(P76,P87,M83))</f>
        <v>1521.8373706308307</v>
      </c>
      <c r="Q83" s="67"/>
      <c r="R83" s="67"/>
      <c r="S83" s="67">
        <f>IF(Q76,Q87,IF(S76,S87,P83))</f>
        <v>1488.5390679950719</v>
      </c>
      <c r="T83" s="67"/>
      <c r="U83" s="67"/>
      <c r="V83" s="67">
        <f>IF(T76,T87,IF(V76,V87,S83))</f>
        <v>1488.5390679950719</v>
      </c>
      <c r="W83" s="67"/>
      <c r="X83" s="67"/>
      <c r="Y83" s="67">
        <f>IF(W76,W87,IF(Y76,Y87,V83))</f>
        <v>1471.7276842658753</v>
      </c>
      <c r="Z83" s="67"/>
      <c r="AA83" s="67"/>
      <c r="AB83" s="67">
        <f>IF(Z76,Z87,IF(AB76,AB87,Y83))</f>
        <v>1471.7276842658753</v>
      </c>
      <c r="AC83" s="67"/>
      <c r="AD83" s="67"/>
      <c r="AE83" s="67">
        <f>IF(AC76,AC87,IF(AE76,AE87,AB83))</f>
        <v>1471.7276842658753</v>
      </c>
      <c r="AF83" s="4"/>
      <c r="AG83" s="4"/>
      <c r="AJ83" s="4"/>
      <c r="AL83" s="4"/>
      <c r="AM83" s="4"/>
      <c r="AN83" s="4"/>
      <c r="AO83" s="4"/>
      <c r="AT83" s="63" t="str">
        <f>B83</f>
        <v>OLC 13 Purple Elite</v>
      </c>
      <c r="AU83" s="63">
        <f>AE83</f>
        <v>1471.7276842658753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1546.0358684980845</v>
      </c>
      <c r="C85" s="67">
        <v>1</v>
      </c>
      <c r="D85" s="67">
        <f>VLOOKUP(D24,$A79:$AE83,3,FALSE)</f>
        <v>1540.9289312215133</v>
      </c>
      <c r="E85" s="67">
        <f>VLOOKUP(E24,$A79:$AE83,4,FALSE)</f>
        <v>1600</v>
      </c>
      <c r="F85" s="67">
        <v>2</v>
      </c>
      <c r="G85" s="67">
        <f>VLOOKUP(G24,$A79:$AE83,4,FALSE)</f>
        <v>1568.2233091455873</v>
      </c>
      <c r="H85" s="67">
        <f>VLOOKUP(H24,$A79:$AE83,7,FALSE)</f>
        <v>1683.9371318599437</v>
      </c>
      <c r="I85" s="67">
        <v>3</v>
      </c>
      <c r="J85" s="67">
        <f>VLOOKUP(J24,$A79:$AE83,7,FALSE)</f>
        <v>1541.3992636545647</v>
      </c>
      <c r="K85" s="67">
        <f>VLOOKUP(K24,$A79:$AE83,10,FALSE)</f>
        <v>1545.565536065033</v>
      </c>
      <c r="L85" s="67">
        <v>4</v>
      </c>
      <c r="M85" s="67">
        <f>VLOOKUP(M24,$A79:$AE83,10,FALSE)</f>
        <v>1539.1419169631399</v>
      </c>
      <c r="N85" s="67">
        <f>VLOOKUP(N24,$A79:$AE83,13,FALSE)</f>
        <v>1629.0813921824474</v>
      </c>
      <c r="O85" s="67">
        <v>5</v>
      </c>
      <c r="P85" s="67">
        <f>VLOOKUP(P24,$A79:$AE83,13,FALSE)</f>
        <v>1703.4990248836777</v>
      </c>
      <c r="Q85" s="67">
        <f>VLOOKUP(Q24,$A79:$AE83,16,FALSE)</f>
        <v>1507.7334867426043</v>
      </c>
      <c r="R85" s="67">
        <v>6</v>
      </c>
      <c r="S85" s="67">
        <f>VLOOKUP(S24,$A79:$AE83,16,FALSE)</f>
        <v>1521.8373706308307</v>
      </c>
      <c r="T85" s="67">
        <f>VLOOKUP(T24,$A79:$AE83,19,FALSE)</f>
        <v>1576.9739662855686</v>
      </c>
      <c r="U85" s="67">
        <v>7</v>
      </c>
      <c r="V85" s="67">
        <f>VLOOKUP(V24,$A79:$AE83,19,FALSE)</f>
        <v>1664.7478365626328</v>
      </c>
      <c r="W85" s="67">
        <f>VLOOKUP(W24,$A79:$AE83,22,FALSE)</f>
        <v>1667.8325805034924</v>
      </c>
      <c r="X85" s="67">
        <v>8</v>
      </c>
      <c r="Y85" s="67">
        <f>VLOOKUP(Y24,$A79:$AE83,22,FALSE)</f>
        <v>1488.5390679950719</v>
      </c>
      <c r="Z85" s="67">
        <f>VLOOKUP(Z24,$A79:$AE83,25,FALSE)</f>
        <v>1688.8312734814149</v>
      </c>
      <c r="AA85" s="67">
        <v>9</v>
      </c>
      <c r="AB85" s="67">
        <f>VLOOKUP(AB24,$A79:$AE83,25,FALSE)</f>
        <v>1541.0317893783631</v>
      </c>
      <c r="AC85" s="67">
        <f>VLOOKUP(AC24,$A79:$AE83,28,FALSE)</f>
        <v>1684.6439642326891</v>
      </c>
      <c r="AD85" s="67">
        <v>10</v>
      </c>
      <c r="AE85" s="67">
        <f>VLOOKUP(AE24,$A79:$AE83,28,FALSE)</f>
        <v>1552.8905293667865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1.0146978885328564</v>
      </c>
      <c r="C86" s="68"/>
      <c r="D86" s="68">
        <f>1/(1+(10^-((D85-B85)/400)))*(B36+D36)</f>
        <v>0.98530211146714364</v>
      </c>
      <c r="E86" s="68">
        <f>1/(1+(10^-((E85-G85)/400)))*(E36+G36)</f>
        <v>1.091206494298516</v>
      </c>
      <c r="F86" s="68"/>
      <c r="G86" s="68">
        <f>1/(1+(10^-((G85-E85)/400)))*(E36+G36)</f>
        <v>0.90879350570148387</v>
      </c>
      <c r="H86" s="68">
        <f>1/(1+(10^-((H85-J85)/400)))*(H36+J36)</f>
        <v>1.388690843008312</v>
      </c>
      <c r="I86" s="68"/>
      <c r="J86" s="68">
        <f>1/(1+(10^-((J85-H85)/400)))*(H36+J36)</f>
        <v>0.61130915699168797</v>
      </c>
      <c r="K86" s="68">
        <f>1/(1+(10^-((K85-M85)/400)))*(K36+M36)</f>
        <v>1.0184865556082643</v>
      </c>
      <c r="L86" s="68"/>
      <c r="M86" s="68">
        <f>1/(1+(10^-((M85-K85)/400)))*(K36+M36)</f>
        <v>0.98151344439173582</v>
      </c>
      <c r="N86" s="68">
        <f>1/(1+(10^-((N85-P85)/400)))*(N36+P36)</f>
        <v>0.78902536496734366</v>
      </c>
      <c r="O86" s="68"/>
      <c r="P86" s="68">
        <f>1/(1+(10^-((P85-N85)/400)))*(N36+P36)</f>
        <v>1.2109746350326565</v>
      </c>
      <c r="Q86" s="68">
        <f>1/(1+(10^-((Q85-S85)/400)))*(Q36+S36)</f>
        <v>0.95942804263253501</v>
      </c>
      <c r="R86" s="68"/>
      <c r="S86" s="68">
        <f>1/(1+(10^-((S85-Q85)/400)))*(Q36+S36)</f>
        <v>1.040571957367465</v>
      </c>
      <c r="T86" s="68">
        <f>1/(1+(10^-((T85-V85)/400)))*(T36+V36)</f>
        <v>0.7526074037119429</v>
      </c>
      <c r="U86" s="68"/>
      <c r="V86" s="68">
        <f>1/(1+(10^-((V85-T85)/400)))*(T36+V36)</f>
        <v>1.247392596288057</v>
      </c>
      <c r="W86" s="68">
        <f>1/(1+(10^-((W85-Y85)/400)))*(W36+Y36)</f>
        <v>1.4746442584626061</v>
      </c>
      <c r="X86" s="68"/>
      <c r="Y86" s="68">
        <f>1/(1+(10^-((Y85-W85)/400)))*(W36+Y36)</f>
        <v>0.52535574153739417</v>
      </c>
      <c r="Z86" s="68">
        <f>1/(1+(10^-((Z85-AB85)/400)))*(Z36+AB36)</f>
        <v>1.4014707995797289</v>
      </c>
      <c r="AA86" s="68"/>
      <c r="AB86" s="68">
        <f>1/(1+(10^-((AB85-Z85)/400)))*(Z36+AB36)</f>
        <v>0.59852920042027136</v>
      </c>
      <c r="AC86" s="68">
        <f>1/(1+(10^-((AC85-AE85)/400)))*(AC36+AE36)</f>
        <v>1.3620271694777992</v>
      </c>
      <c r="AD86" s="68"/>
      <c r="AE86" s="68">
        <f>1/(1+(10^-((AE85-AC85)/400)))*(AC36+AE36)</f>
        <v>0.63797283052220088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1545.565536065033</v>
      </c>
      <c r="C87" s="74"/>
      <c r="D87" s="74">
        <f>D85+(D36-D86)*$BA$1</f>
        <v>1541.3992636545647</v>
      </c>
      <c r="E87" s="74">
        <f>E85+(E36-E86)*$BA$1</f>
        <v>1629.0813921824474</v>
      </c>
      <c r="F87" s="74"/>
      <c r="G87" s="74">
        <f>G85+(G36-G86)*$BA$1</f>
        <v>1539.1419169631399</v>
      </c>
      <c r="H87" s="74">
        <f>H85+(H36-H86)*$BA$1</f>
        <v>1703.4990248836777</v>
      </c>
      <c r="I87" s="74"/>
      <c r="J87" s="74">
        <f>J85+(J36-J86)*$BA$1</f>
        <v>1521.8373706308307</v>
      </c>
      <c r="K87" s="74">
        <f>K85+(K36-K86)*$BA$1</f>
        <v>1576.9739662855686</v>
      </c>
      <c r="L87" s="74"/>
      <c r="M87" s="74">
        <f>M85+(M36-M86)*$BA$1</f>
        <v>1507.7334867426043</v>
      </c>
      <c r="N87" s="74">
        <f>N85+(N36-N86)*$BA$1</f>
        <v>1667.8325805034924</v>
      </c>
      <c r="O87" s="74"/>
      <c r="P87" s="74">
        <f>P85+(P36-P86)*$BA$1</f>
        <v>1664.7478365626328</v>
      </c>
      <c r="Q87" s="74">
        <f>Q85+(Q36-Q86)*$BA$1</f>
        <v>1541.0317893783631</v>
      </c>
      <c r="R87" s="74"/>
      <c r="S87" s="74">
        <f>S85+(S36-S86)*$BA$1</f>
        <v>1488.5390679950719</v>
      </c>
      <c r="T87" s="74">
        <f>T85+(T36-T86)*$BA$1</f>
        <v>1552.8905293667865</v>
      </c>
      <c r="U87" s="74"/>
      <c r="V87" s="74">
        <f>V85+(V36-V86)*$BA$1</f>
        <v>1688.8312734814149</v>
      </c>
      <c r="W87" s="74">
        <f>W85+(W36-W86)*$BA$1</f>
        <v>1684.6439642326891</v>
      </c>
      <c r="X87" s="74"/>
      <c r="Y87" s="74">
        <f>Y85+(Y36-Y86)*$BA$1</f>
        <v>1471.7276842658753</v>
      </c>
      <c r="Z87" s="74">
        <f>Z85+(Z36-Z86)*$BA$1</f>
        <v>1707.9842078948636</v>
      </c>
      <c r="AA87" s="74"/>
      <c r="AB87" s="74">
        <f>AB85+(AB36-AB86)*$BA$1</f>
        <v>1521.8788549649144</v>
      </c>
      <c r="AC87" s="74">
        <f>AC85+(AC36-AC86)*$BA$1</f>
        <v>1705.0590948093995</v>
      </c>
      <c r="AD87" s="74"/>
      <c r="AE87" s="74">
        <f>AE85+(AE36-AE86)*$BA$1</f>
        <v>1532.475398790076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  <c r="AW89" s="66"/>
    </row>
    <row r="90" spans="1:54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W90" s="66"/>
    </row>
    <row r="91" spans="1:54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Games Won</v>
      </c>
      <c r="M92" s="255"/>
      <c r="N92" s="255"/>
      <c r="O92" s="255"/>
      <c r="P92" s="255"/>
      <c r="Q92" s="256"/>
      <c r="R92" s="254" t="str">
        <f>IF($AK95=0,"Games Lost","Matches Lost")</f>
        <v>Games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Gaston Galaxy VBC 13</v>
      </c>
      <c r="F93" s="233"/>
      <c r="G93" s="233"/>
      <c r="H93" s="233"/>
      <c r="I93" s="233"/>
      <c r="J93" s="233"/>
      <c r="K93" s="234"/>
      <c r="L93" s="235">
        <f>IF($AK95=0,AF149,AF131)</f>
        <v>7</v>
      </c>
      <c r="M93" s="236"/>
      <c r="N93" s="236"/>
      <c r="O93" s="236"/>
      <c r="P93" s="236"/>
      <c r="Q93" s="256"/>
      <c r="R93" s="235">
        <f>IF($AK95=0,AG149,AG131)</f>
        <v>1</v>
      </c>
      <c r="S93" s="236"/>
      <c r="T93" s="236"/>
      <c r="U93" s="236"/>
      <c r="V93" s="236"/>
      <c r="W93" s="235">
        <f>AQ109</f>
        <v>69</v>
      </c>
      <c r="X93" s="236"/>
      <c r="Y93" s="236"/>
      <c r="Z93" s="239">
        <f>IF(AF143&gt;0,(AQ109/AF143),0)</f>
        <v>0.34499999999999997</v>
      </c>
      <c r="AA93" s="240"/>
      <c r="AB93" s="240"/>
      <c r="AC93" s="262">
        <f>IF(AF157=0,0,(AF149/AF157))</f>
        <v>0.875</v>
      </c>
      <c r="AD93" s="263"/>
      <c r="AE93" s="264"/>
      <c r="AF93" s="268">
        <v>1</v>
      </c>
      <c r="AG93" s="268">
        <v>1</v>
      </c>
      <c r="AH93" s="270">
        <v>3</v>
      </c>
      <c r="AI93" s="271"/>
      <c r="AJ93" s="27"/>
      <c r="AK93" s="28">
        <v>10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228"/>
      <c r="B94" s="274" t="s">
        <v>11</v>
      </c>
      <c r="C94" s="275"/>
      <c r="D94" s="276"/>
      <c r="E94" s="277" t="str">
        <f>AV4</f>
        <v>fj3galxy1cr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5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CSRA Heat 14 Red</v>
      </c>
      <c r="F95" s="233"/>
      <c r="G95" s="233"/>
      <c r="H95" s="233"/>
      <c r="I95" s="233"/>
      <c r="J95" s="233"/>
      <c r="K95" s="234"/>
      <c r="L95" s="235">
        <f>IF($AK95=0,AF150,AF132)</f>
        <v>0</v>
      </c>
      <c r="M95" s="236"/>
      <c r="N95" s="236"/>
      <c r="O95" s="236"/>
      <c r="P95" s="236"/>
      <c r="Q95" s="256"/>
      <c r="R95" s="235">
        <f>IF($AK95=0,AG150,AG132)</f>
        <v>8</v>
      </c>
      <c r="S95" s="236"/>
      <c r="T95" s="236"/>
      <c r="U95" s="236"/>
      <c r="V95" s="236"/>
      <c r="W95" s="235">
        <f>AQ110</f>
        <v>-69</v>
      </c>
      <c r="X95" s="236"/>
      <c r="Y95" s="236"/>
      <c r="Z95" s="239">
        <f>IF(AF144&gt;0,(AQ110/AF144),0)</f>
        <v>-0.34499999999999997</v>
      </c>
      <c r="AA95" s="240"/>
      <c r="AB95" s="240"/>
      <c r="AC95" s="262">
        <f>IF(AF158=0,0,(AF150/AF158))</f>
        <v>0</v>
      </c>
      <c r="AD95" s="263"/>
      <c r="AE95" s="264"/>
      <c r="AF95" s="268">
        <v>5</v>
      </c>
      <c r="AG95" s="268">
        <v>1</v>
      </c>
      <c r="AH95" s="270"/>
      <c r="AI95" s="271"/>
      <c r="AJ95" s="27"/>
      <c r="AK95" s="28">
        <v>0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228"/>
      <c r="B96" s="284" t="s">
        <v>11</v>
      </c>
      <c r="C96" s="285"/>
      <c r="D96" s="285"/>
      <c r="E96" s="277" t="str">
        <f>AV5</f>
        <v>fj4csrah4pm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MBVC 13 Red Teresa</v>
      </c>
      <c r="F97" s="233"/>
      <c r="G97" s="233"/>
      <c r="H97" s="233"/>
      <c r="I97" s="233"/>
      <c r="J97" s="233"/>
      <c r="K97" s="234"/>
      <c r="L97" s="235">
        <f>IF($AK95=0,AF151,AF133)</f>
        <v>5</v>
      </c>
      <c r="M97" s="236"/>
      <c r="N97" s="236"/>
      <c r="O97" s="236"/>
      <c r="P97" s="236"/>
      <c r="Q97" s="256"/>
      <c r="R97" s="235">
        <f>IF($AK95=0,AG151,AG133)</f>
        <v>3</v>
      </c>
      <c r="S97" s="236"/>
      <c r="T97" s="236"/>
      <c r="U97" s="236"/>
      <c r="V97" s="236"/>
      <c r="W97" s="235">
        <f>AQ111</f>
        <v>11</v>
      </c>
      <c r="X97" s="236"/>
      <c r="Y97" s="236"/>
      <c r="Z97" s="239">
        <f>IF(AF145&gt;0,(AQ111/AF145),0)</f>
        <v>5.5E-2</v>
      </c>
      <c r="AA97" s="240"/>
      <c r="AB97" s="240"/>
      <c r="AC97" s="262">
        <f>IF(AF159=0,0,(AF151/AF159))</f>
        <v>0.625</v>
      </c>
      <c r="AD97" s="263"/>
      <c r="AE97" s="264"/>
      <c r="AF97" s="268">
        <v>3</v>
      </c>
      <c r="AG97" s="268">
        <v>1</v>
      </c>
      <c r="AH97" s="270">
        <v>5</v>
      </c>
      <c r="AI97" s="271"/>
      <c r="AJ97" s="31"/>
      <c r="AK97" s="28">
        <v>8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fj3mbeac2pm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Intense 13 Orange</v>
      </c>
      <c r="F99" s="233"/>
      <c r="G99" s="233"/>
      <c r="H99" s="233"/>
      <c r="I99" s="233"/>
      <c r="J99" s="233"/>
      <c r="K99" s="234"/>
      <c r="L99" s="235">
        <f>IF($AK95=0,AF152,AF134)</f>
        <v>6</v>
      </c>
      <c r="M99" s="236"/>
      <c r="N99" s="236"/>
      <c r="O99" s="236"/>
      <c r="P99" s="236"/>
      <c r="Q99" s="256"/>
      <c r="R99" s="235">
        <f>IF($AK95=0,AG152,AG134)</f>
        <v>2</v>
      </c>
      <c r="S99" s="236"/>
      <c r="T99" s="236"/>
      <c r="U99" s="236"/>
      <c r="V99" s="236"/>
      <c r="W99" s="235">
        <f>AQ112</f>
        <v>31</v>
      </c>
      <c r="X99" s="236"/>
      <c r="Y99" s="236"/>
      <c r="Z99" s="239">
        <f>IF(AF146&gt;0,(AQ112/AF146),0)</f>
        <v>0.155</v>
      </c>
      <c r="AA99" s="240"/>
      <c r="AB99" s="240"/>
      <c r="AC99" s="262">
        <f>IF(AF160=0,0,(AF152/AF160))</f>
        <v>0.75</v>
      </c>
      <c r="AD99" s="263"/>
      <c r="AE99" s="264"/>
      <c r="AF99" s="268">
        <v>2</v>
      </c>
      <c r="AG99" s="268">
        <v>1</v>
      </c>
      <c r="AH99" s="270">
        <v>3</v>
      </c>
      <c r="AI99" s="271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fj3inten2pm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227" t="str">
        <f>IF($AK94&gt;4,"5","")</f>
        <v>5</v>
      </c>
      <c r="B101" s="286" t="s">
        <v>10</v>
      </c>
      <c r="C101" s="287"/>
      <c r="D101" s="287"/>
      <c r="E101" s="232" t="str">
        <f>AU12</f>
        <v>SC Midlands 13 Garnet</v>
      </c>
      <c r="F101" s="233"/>
      <c r="G101" s="233"/>
      <c r="H101" s="233"/>
      <c r="I101" s="233"/>
      <c r="J101" s="233"/>
      <c r="K101" s="234"/>
      <c r="L101" s="235">
        <f>IF($AK95=0,AF153,AF135)</f>
        <v>2</v>
      </c>
      <c r="M101" s="236"/>
      <c r="N101" s="236"/>
      <c r="O101" s="236"/>
      <c r="P101" s="236"/>
      <c r="Q101" s="256"/>
      <c r="R101" s="235">
        <f>IF($AK95=0,AG153,AG135)</f>
        <v>6</v>
      </c>
      <c r="S101" s="236"/>
      <c r="T101" s="236"/>
      <c r="U101" s="236"/>
      <c r="V101" s="236"/>
      <c r="W101" s="235">
        <f>AQ113</f>
        <v>-42</v>
      </c>
      <c r="X101" s="236"/>
      <c r="Y101" s="236"/>
      <c r="Z101" s="239">
        <f>IF(AF147&gt;0,(AQ113/AF147),0)</f>
        <v>-0.21</v>
      </c>
      <c r="AA101" s="240"/>
      <c r="AB101" s="240"/>
      <c r="AC101" s="262">
        <f>IF(AF161=0,0,(AF153/AF161))</f>
        <v>0.25</v>
      </c>
      <c r="AD101" s="263"/>
      <c r="AE101" s="264"/>
      <c r="AF101" s="268">
        <v>4</v>
      </c>
      <c r="AG101" s="268">
        <v>1</v>
      </c>
      <c r="AH101" s="270">
        <v>7</v>
      </c>
      <c r="AI101" s="271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410" t="str">
        <f>AV12</f>
        <v>fj3scmid3pm</v>
      </c>
      <c r="F102" s="411"/>
      <c r="G102" s="411"/>
      <c r="H102" s="411"/>
      <c r="I102" s="411"/>
      <c r="J102" s="411"/>
      <c r="K102" s="411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305" t="s">
        <v>65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thickTop="1" x14ac:dyDescent="0.2">
      <c r="A104" s="4" t="s">
        <v>66</v>
      </c>
      <c r="B104" s="308">
        <v>0.35416666666666669</v>
      </c>
      <c r="C104" s="309"/>
      <c r="D104" s="310"/>
      <c r="E104" s="308">
        <v>0.38541666666666669</v>
      </c>
      <c r="F104" s="309"/>
      <c r="G104" s="310"/>
      <c r="H104" s="308">
        <v>0.41666666666666669</v>
      </c>
      <c r="I104" s="309"/>
      <c r="J104" s="310"/>
      <c r="K104" s="308">
        <v>0.44791666666666669</v>
      </c>
      <c r="L104" s="309"/>
      <c r="M104" s="310"/>
      <c r="N104" s="308">
        <v>0.47916666666666669</v>
      </c>
      <c r="O104" s="309"/>
      <c r="P104" s="310"/>
      <c r="Q104" s="308">
        <v>0.51041666666666663</v>
      </c>
      <c r="R104" s="309"/>
      <c r="S104" s="310"/>
      <c r="T104" s="308">
        <v>4.1666666666666664E-2</v>
      </c>
      <c r="U104" s="309"/>
      <c r="V104" s="310"/>
      <c r="W104" s="308">
        <v>7.2916666666666671E-2</v>
      </c>
      <c r="X104" s="309"/>
      <c r="Y104" s="310"/>
      <c r="Z104" s="308">
        <v>0.10416666666666667</v>
      </c>
      <c r="AA104" s="309"/>
      <c r="AB104" s="310"/>
      <c r="AC104" s="308">
        <v>0.13541666666666666</v>
      </c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/>
      <c r="C105" s="320"/>
      <c r="D105" s="321"/>
      <c r="E105" s="319"/>
      <c r="F105" s="320"/>
      <c r="G105" s="321"/>
      <c r="H105" s="319"/>
      <c r="I105" s="320"/>
      <c r="J105" s="321"/>
      <c r="K105" s="319"/>
      <c r="L105" s="320"/>
      <c r="M105" s="321"/>
      <c r="N105" s="319"/>
      <c r="O105" s="320"/>
      <c r="P105" s="321"/>
      <c r="Q105" s="319"/>
      <c r="R105" s="320"/>
      <c r="S105" s="321"/>
      <c r="T105" s="319"/>
      <c r="U105" s="320"/>
      <c r="V105" s="321"/>
      <c r="W105" s="319"/>
      <c r="X105" s="320"/>
      <c r="Y105" s="321"/>
      <c r="Z105" s="319"/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/>
      <c r="C106" s="320"/>
      <c r="D106" s="321"/>
      <c r="E106" s="319"/>
      <c r="F106" s="320"/>
      <c r="G106" s="321"/>
      <c r="H106" s="319"/>
      <c r="I106" s="320"/>
      <c r="J106" s="321"/>
      <c r="K106" s="319"/>
      <c r="L106" s="320"/>
      <c r="M106" s="321"/>
      <c r="N106" s="319"/>
      <c r="O106" s="320"/>
      <c r="P106" s="321"/>
      <c r="Q106" s="319"/>
      <c r="R106" s="320"/>
      <c r="S106" s="321"/>
      <c r="T106" s="319"/>
      <c r="U106" s="320"/>
      <c r="V106" s="321"/>
      <c r="W106" s="319"/>
      <c r="X106" s="320"/>
      <c r="Y106" s="321"/>
      <c r="Z106" s="319"/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7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>Match 7</v>
      </c>
      <c r="U107" s="323"/>
      <c r="V107" s="324"/>
      <c r="W107" s="322" t="str">
        <f>IF(AK93&gt;7,"Match 8","")</f>
        <v>Match 8</v>
      </c>
      <c r="X107" s="323"/>
      <c r="Y107" s="324"/>
      <c r="Z107" s="322" t="str">
        <f>IF(AK93&gt;8,"Match 9","")</f>
        <v>Match 9</v>
      </c>
      <c r="AA107" s="323"/>
      <c r="AB107" s="324"/>
      <c r="AC107" s="322" t="str">
        <f>IF(AK93&gt;9,"Match 10","")</f>
        <v>Match 10</v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7"/>
      <c r="B108" s="325" t="s">
        <v>71</v>
      </c>
      <c r="C108" s="326"/>
      <c r="D108" s="327"/>
      <c r="E108" s="325" t="s">
        <v>72</v>
      </c>
      <c r="F108" s="326"/>
      <c r="G108" s="327"/>
      <c r="H108" s="325" t="s">
        <v>73</v>
      </c>
      <c r="I108" s="326"/>
      <c r="J108" s="327"/>
      <c r="K108" s="325" t="s">
        <v>74</v>
      </c>
      <c r="L108" s="326"/>
      <c r="M108" s="327"/>
      <c r="N108" s="325" t="s">
        <v>75</v>
      </c>
      <c r="O108" s="326"/>
      <c r="P108" s="327"/>
      <c r="Q108" s="325" t="s">
        <v>73</v>
      </c>
      <c r="R108" s="326"/>
      <c r="S108" s="327"/>
      <c r="T108" s="325" t="s">
        <v>71</v>
      </c>
      <c r="U108" s="326"/>
      <c r="V108" s="327"/>
      <c r="W108" s="325" t="s">
        <v>75</v>
      </c>
      <c r="X108" s="326"/>
      <c r="Y108" s="327"/>
      <c r="Z108" s="325" t="s">
        <v>74</v>
      </c>
      <c r="AA108" s="326"/>
      <c r="AB108" s="327"/>
      <c r="AC108" s="325" t="s">
        <v>72</v>
      </c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5</v>
      </c>
      <c r="AI109" s="48" t="str">
        <f>IF(AK94&lt;1,"",IF(AK93&lt;3,"",IF(H109=1,H115-J115,IF(J109=1,J115-H115,""))))</f>
        <v/>
      </c>
      <c r="AJ109" s="48" t="str">
        <f>IF(AK94&lt;1,"",IF(AK93&lt;4,"",IF(K109=1,K115-M115,IF(M109=1,M115-K115,""))))</f>
        <v/>
      </c>
      <c r="AK109" s="48">
        <f>IF(AK94&lt;1,"",IF(AK93&lt;5,"",IF(N109=1,N115-P115,IF(P109=1,P115-N115,""))))</f>
        <v>12</v>
      </c>
      <c r="AL109" s="48" t="str">
        <f>IF(AK94&lt;1,"",IF(AK93&lt;6,"",IF(Q109=1,Q115-S115,IF(S109=1,S115-Q115,""))))</f>
        <v/>
      </c>
      <c r="AM109" s="48" t="str">
        <f>IF(AK94&lt;1,"",IF(AK93&lt;7,"",IF(T109=1,T115-V115,IF(V109=1,V115-T115,""))))</f>
        <v/>
      </c>
      <c r="AN109" s="48">
        <f>IF(AK94&lt;1,"",IF(AK93&lt;8,"",IF(W109=1,W115-Y115,IF(Y109=1,Y115-W115,""))))</f>
        <v>25</v>
      </c>
      <c r="AO109" s="48" t="str">
        <f>IF(AK94&lt;1,"",IF(AK93&lt;9,"",IF(Z109=1,Z115-AB115,IF(AB109=1,AB115-Z115,""))))</f>
        <v/>
      </c>
      <c r="AP109" s="48">
        <f>IF(AK94&lt;1,"",IF(AK93&lt;10,"",IF(AC109=1,AC115-AE115,IF(AE109=1,AE115-AC115,""))))</f>
        <v>27</v>
      </c>
      <c r="AQ109" s="44">
        <f>SUM(AG109:AP109)</f>
        <v>69</v>
      </c>
    </row>
    <row r="110" spans="1:44" ht="15" x14ac:dyDescent="0.2">
      <c r="A110" s="4" t="s">
        <v>79</v>
      </c>
      <c r="B110" s="49">
        <v>19</v>
      </c>
      <c r="C110" s="50" t="s">
        <v>80</v>
      </c>
      <c r="D110" s="51">
        <v>25</v>
      </c>
      <c r="E110" s="49">
        <v>25</v>
      </c>
      <c r="F110" s="50" t="str">
        <f>IF(AK93&gt;1,"/","")</f>
        <v>/</v>
      </c>
      <c r="G110" s="51">
        <v>16</v>
      </c>
      <c r="H110" s="49">
        <v>25</v>
      </c>
      <c r="I110" s="50" t="str">
        <f>IF(AK93&gt;2,"/","")</f>
        <v>/</v>
      </c>
      <c r="J110" s="51">
        <v>20</v>
      </c>
      <c r="K110" s="49">
        <v>13</v>
      </c>
      <c r="L110" s="50" t="str">
        <f>IF(AK93&gt;3,"/","")</f>
        <v>/</v>
      </c>
      <c r="M110" s="51">
        <v>25</v>
      </c>
      <c r="N110" s="49">
        <v>25</v>
      </c>
      <c r="O110" s="50" t="str">
        <f>IF(AK93&gt;4,"/","")</f>
        <v>/</v>
      </c>
      <c r="P110" s="51">
        <v>15</v>
      </c>
      <c r="Q110" s="49">
        <v>25</v>
      </c>
      <c r="R110" s="50" t="str">
        <f>IF(AK93&gt;5,"/","")</f>
        <v>/</v>
      </c>
      <c r="S110" s="51">
        <v>14</v>
      </c>
      <c r="T110" s="49">
        <v>21</v>
      </c>
      <c r="U110" s="50" t="str">
        <f>IF(AK93&gt;6,"/","")</f>
        <v>/</v>
      </c>
      <c r="V110" s="51">
        <v>25</v>
      </c>
      <c r="W110" s="49">
        <v>25</v>
      </c>
      <c r="X110" s="50" t="str">
        <f>IF(AK93&gt;7,"/","")</f>
        <v>/</v>
      </c>
      <c r="Y110" s="51">
        <v>16</v>
      </c>
      <c r="Z110" s="49">
        <v>25</v>
      </c>
      <c r="AA110" s="50" t="str">
        <f>IF(AK93&gt;8,"/","")</f>
        <v>/</v>
      </c>
      <c r="AB110" s="51">
        <v>21</v>
      </c>
      <c r="AC110" s="49">
        <v>25</v>
      </c>
      <c r="AD110" s="50" t="str">
        <f>IF(AK93&gt;9,"/","")</f>
        <v>/</v>
      </c>
      <c r="AE110" s="51">
        <v>9</v>
      </c>
      <c r="AF110" s="42" t="str">
        <f>IF(AK94&gt;1,"Team 2","")</f>
        <v>Team 2</v>
      </c>
      <c r="AG110" s="48">
        <f>IF(AK94&lt;2,"",IF(AK93&lt;1,"",IF(B109=2,B115-D115,IF(D109=2,D115-B115,""))))</f>
        <v>-9</v>
      </c>
      <c r="AH110" s="48" t="str">
        <f>IF(AK94&lt;2,"",IF(AK93&lt;2,"",IF(E109=2,E115-G115,IF(G109=2,G115-E115,""))))</f>
        <v/>
      </c>
      <c r="AI110" s="48" t="str">
        <f>IF(AK94&lt;2,"",IF(AK93&lt;3,"",IF(H109=2,H115-J115,IF(J109=2,J115-H115,""))))</f>
        <v/>
      </c>
      <c r="AJ110" s="48">
        <f>IF(AK94&lt;2,"",IF(AK93&lt;4,"",IF(K109=2,K115-M115,IF(M109=2,M115-K115,""))))</f>
        <v>-23</v>
      </c>
      <c r="AK110" s="48" t="str">
        <f>IF(AK94&lt;2,"",IF(AK93&lt;5,"",IF(N109=2,N115-P115,IF(P109=2,P115-N115,""))))</f>
        <v/>
      </c>
      <c r="AL110" s="48" t="str">
        <f>IF(AK94&lt;2,"",IF(AK93&lt;6,"",IF(Q109=2,Q115-S115,IF(S109=2,S115-Q115,""))))</f>
        <v/>
      </c>
      <c r="AM110" s="48">
        <f>IF(AK94&lt;2,"",IF(AK93&lt;7,"",IF(T109=2,T115-V115,IF(V109=2,V115-T115,""))))</f>
        <v>-10</v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>
        <f>IF(AK94&lt;2,"",IF(AK93&lt;10,"",IF(AC109=2,AC115-AE115,IF(AE109=2,AE115-AC115,""))))</f>
        <v>-27</v>
      </c>
      <c r="AQ110" s="44">
        <f>SUM(AG110:AP110)</f>
        <v>-69</v>
      </c>
    </row>
    <row r="111" spans="1:44" ht="15" x14ac:dyDescent="0.2">
      <c r="A111" s="3" t="str">
        <f>IF(AK92&gt;1,"Game 2","")</f>
        <v>Game 2</v>
      </c>
      <c r="B111" s="49">
        <v>22</v>
      </c>
      <c r="C111" s="50" t="s">
        <v>80</v>
      </c>
      <c r="D111" s="51">
        <v>25</v>
      </c>
      <c r="E111" s="49">
        <v>21</v>
      </c>
      <c r="F111" s="50" t="str">
        <f>IF(AK93&gt;1,IF(AK92&gt;1,"/",""),"")</f>
        <v>/</v>
      </c>
      <c r="G111" s="51">
        <v>25</v>
      </c>
      <c r="H111" s="49">
        <v>25</v>
      </c>
      <c r="I111" s="50" t="str">
        <f>IF(AK93&gt;2,IF(AK92&gt;1,"/",""),"")</f>
        <v>/</v>
      </c>
      <c r="J111" s="51">
        <v>19</v>
      </c>
      <c r="K111" s="49">
        <v>14</v>
      </c>
      <c r="L111" s="50" t="str">
        <f>IF(AK93&gt;3,IF(AK92&gt;1,"/",""),"")</f>
        <v>/</v>
      </c>
      <c r="M111" s="51">
        <v>25</v>
      </c>
      <c r="N111" s="49">
        <v>25</v>
      </c>
      <c r="O111" s="50" t="str">
        <f>IF(AK93&gt;4,IF(AK92&gt;1,"/",""),"")</f>
        <v>/</v>
      </c>
      <c r="P111" s="51">
        <v>23</v>
      </c>
      <c r="Q111" s="49">
        <v>25</v>
      </c>
      <c r="R111" s="50" t="str">
        <f>IF(AK93&gt;5,IF(AK92&gt;1,"/",""),"")</f>
        <v>/</v>
      </c>
      <c r="S111" s="51">
        <v>21</v>
      </c>
      <c r="T111" s="49">
        <v>19</v>
      </c>
      <c r="U111" s="50" t="str">
        <f>IF(AK93&gt;6,IF(AK92&gt;1,"/",""),"")</f>
        <v>/</v>
      </c>
      <c r="V111" s="51">
        <v>25</v>
      </c>
      <c r="W111" s="49">
        <v>25</v>
      </c>
      <c r="X111" s="50" t="str">
        <f>IF(AK93&gt;7,IF(AK92&gt;1,"/",""),"")</f>
        <v>/</v>
      </c>
      <c r="Y111" s="51">
        <v>9</v>
      </c>
      <c r="Z111" s="49">
        <v>23</v>
      </c>
      <c r="AA111" s="50" t="str">
        <f>IF(AK93&gt;8,IF(AK92&gt;1,"/",""),"")</f>
        <v>/</v>
      </c>
      <c r="AB111" s="51">
        <v>25</v>
      </c>
      <c r="AC111" s="49">
        <v>25</v>
      </c>
      <c r="AD111" s="50" t="str">
        <f>IF(AK93&gt;9,IF(AK92&gt;1,"/",""),"")</f>
        <v>/</v>
      </c>
      <c r="AE111" s="51">
        <v>14</v>
      </c>
      <c r="AF111" s="42" t="str">
        <f>IF(AK94&gt;2,"Team 3","")</f>
        <v>Team 3</v>
      </c>
      <c r="AG111" s="48" t="str">
        <f>IF(AK94&lt;3,"",IF(AK93&lt;1,"",IF(B109=3,B115-D115,IF(D109=3,D115-B115,""))))</f>
        <v/>
      </c>
      <c r="AH111" s="48" t="str">
        <f>IF(AK94&lt;3,"",IF(AK93&lt;2,"",IF(E109=3,E115-G115,IF(G109=3,G115-E115,""))))</f>
        <v/>
      </c>
      <c r="AI111" s="48">
        <f>IF(AK94&lt;3,"",IF(AK93&lt;3,"",IF(H109=3,H115-J115,IF(J109=3,J115-H115,""))))</f>
        <v>11</v>
      </c>
      <c r="AJ111" s="48" t="str">
        <f>IF(AK94&lt;3,"",IF(AK93&lt;4,"",IF(K109=3,K115-M115,IF(M109=3,M115-K115,""))))</f>
        <v/>
      </c>
      <c r="AK111" s="48">
        <f>IF(AK94&lt;3,"",IF(AK93&lt;5,"",IF(N109=3,N115-P115,IF(P109=3,P115-N115,""))))</f>
        <v>-12</v>
      </c>
      <c r="AL111" s="48" t="str">
        <f>IF(AK94&lt;3,"",IF(AK93&lt;6,"",IF(Q109=3,Q115-S115,IF(S109=3,S115-Q115,""))))</f>
        <v/>
      </c>
      <c r="AM111" s="48">
        <f>IF(AK94&lt;3,"",IF(AK93&lt;7,"",IF(T109=3,T115-V115,IF(V109=3,V115-T115,""))))</f>
        <v>10</v>
      </c>
      <c r="AN111" s="48" t="str">
        <f>IF(AK94&lt;3,"",IF(AK93&lt;8,"",IF(W109=3,W115-Y115,IF(Y109=3,Y115-W115,""))))</f>
        <v/>
      </c>
      <c r="AO111" s="48">
        <f>IF(AK94&lt;3,"",IF(AK93&lt;9,"",IF(Z109=3,Z115-AB115,IF(AB109=3,AB115-Z115,""))))</f>
        <v>2</v>
      </c>
      <c r="AP111" s="48" t="str">
        <f>IF(AK94&lt;3,"",IF(AK93&lt;9,"",IF(AC109=3,AC115-AE115,IF(AE109=3,AE115-AC115,""))))</f>
        <v/>
      </c>
      <c r="AQ111" s="44">
        <f>SUM(AG111:AP111)</f>
        <v>11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-5</v>
      </c>
      <c r="AI112" s="48" t="str">
        <f>IF(AK94&lt;4,"",IF(AK93&lt;3,"",IF(H109=4,H115-J115,IF(J109=4,J115-H115,""))))</f>
        <v/>
      </c>
      <c r="AJ112" s="48">
        <f>IF(AK94&lt;4,"",IF(AK93&lt;4,"",IF(K109=4,K115-M115,IF(M109=4,M115-K115,""))))</f>
        <v>23</v>
      </c>
      <c r="AK112" s="48" t="str">
        <f>IF(AK94&lt;4,"",IF(AK93&lt;5,"",IF(N109=4,N115-P115,IF(P109=4,P115-N115,""))))</f>
        <v/>
      </c>
      <c r="AL112" s="48">
        <f>IF(AK94&lt;4,"",IF(AK93&lt;6,"",IF(Q109=4,Q115-S115,IF(S109=4,S115-Q115,""))))</f>
        <v>15</v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>
        <f>IF(AK94&lt;4,"",IF(AK93&lt;9,"",IF(Z109=4,Z115-AB115,IF(AB109=4,AB115-Z115,""))))</f>
        <v>-2</v>
      </c>
      <c r="AP112" s="48" t="str">
        <f>IF(AK94&lt;4,"",IF(AK93&lt;10,"",IF(AC109=4,AC115-AE115,IF(AE109=4,AE115-AC115,""))))</f>
        <v/>
      </c>
      <c r="AQ112" s="44">
        <f>SUM(AG112:AP112)</f>
        <v>31</v>
      </c>
    </row>
    <row r="113" spans="1:49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>Team 5</v>
      </c>
      <c r="AG113" s="52">
        <f>IF(AK94&lt;5,"",IF(AK93&lt;1,"",IF(B109=5,B115-D115,IF(D109=5,D115-B115,""))))</f>
        <v>9</v>
      </c>
      <c r="AH113" s="48" t="str">
        <f>IF(AK94&lt;5,"",IF(AK93&lt;2,"",IF(E109=5,E115-G115,IF(G109=5,G115-E115,""))))</f>
        <v/>
      </c>
      <c r="AI113" s="48">
        <f>IF(AK94&lt;5,"",IF(AK93&lt;3,"",IF(H109=5,H115-J115,IF(J109=5,J115-H115,""))))</f>
        <v>-11</v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>
        <f>IF(AK94&lt;5,"",IF(AK93&lt;6,"",IF(Q109=5,Q115-S115,IF(S109=5,S115-Q115,""))))</f>
        <v>-15</v>
      </c>
      <c r="AM113" s="48" t="str">
        <f>IF(AK94&lt;5,"",IF(AK93&lt;7,"",IF(T109=5,T115-V115,IF(V109=5,V115-T115,""))))</f>
        <v/>
      </c>
      <c r="AN113" s="48">
        <f>IF(AK94&lt;5,"",IF(AK93&lt;8,"",IF(W109=5,W115-Y115,IF(Y109=5,Y115-W115,""))))</f>
        <v>-25</v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-42</v>
      </c>
    </row>
    <row r="114" spans="1:49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3"/>
      <c r="B115" s="53">
        <f>IF($AK92=5,SUM(B110:B114),IF($AK92=4,SUM(B110:B113),IF($AK92=3,SUM(B110:B112),IF($AK92=2,SUM(B110:B111),B110))))</f>
        <v>41</v>
      </c>
      <c r="C115" s="53"/>
      <c r="D115" s="53">
        <f>IF($AK92=5,SUM(D110:D114),IF($AK92=4,SUM(D110:D113),IF($AK92=3,SUM(D110:D112),IF($AK92=2,SUM(D110:D111),D110))))</f>
        <v>50</v>
      </c>
      <c r="E115" s="53">
        <f>IF($AK92=5,SUM(E110:E114),IF($AK92=4,SUM(E110:E113),IF($AK92=3,SUM(E110:E112),IF($AK92=2,SUM(E110:E111),E110))))</f>
        <v>46</v>
      </c>
      <c r="F115" s="53"/>
      <c r="G115" s="53">
        <f>IF($AK92=5,SUM(G110:G114),IF($AK92=4,SUM(G110:G113),IF($AK92=3,SUM(G110:G112),IF($AK92=2,SUM(G110:G111),G110))))</f>
        <v>41</v>
      </c>
      <c r="H115" s="53">
        <f>IF($AK92=5,SUM(H110:H114),IF($AK92=4,SUM(H110:H113),IF($AK92=3,SUM(H110:H112),IF($AK92=2,SUM(H110:H111),H110))))</f>
        <v>50</v>
      </c>
      <c r="I115" s="53"/>
      <c r="J115" s="53">
        <f>IF($AK92=5,SUM(J110:J114),IF($AK92=4,SUM(J110:J113),IF($AK92=3,SUM(J110:J112),IF($AK92=2,SUM(J110:J111),J110))))</f>
        <v>39</v>
      </c>
      <c r="K115" s="53">
        <f>IF($AK92=5,SUM(K110:K114),IF($AK92=4,SUM(K110:K113),IF($AK92=3,SUM(K110:K112),IF($AK92=2,SUM(K110:K111),K110))))</f>
        <v>27</v>
      </c>
      <c r="L115" s="53"/>
      <c r="M115" s="53">
        <f>IF($AK92=5,SUM(M110:M114),IF($AK92=4,SUM(M110:M113),IF($AK92=3,SUM(M110:M112),IF($AK92=2,SUM(M110:M111),M110))))</f>
        <v>50</v>
      </c>
      <c r="N115" s="53">
        <f>IF($AK92=5,SUM(N110:N114),IF($AK92=4,SUM(N110:N113),IF($AK92=3,SUM(N110:N112),IF($AK92=2,SUM(N110:N111),N110))))</f>
        <v>50</v>
      </c>
      <c r="O115" s="53"/>
      <c r="P115" s="53">
        <f>IF($AK92=5,SUM(P110:P114),IF($AK92=4,SUM(P110:P113),IF($AK92=3,SUM(P110:P112),IF($AK92=2,SUM(P110:P111),P110))))</f>
        <v>38</v>
      </c>
      <c r="Q115" s="53">
        <f>IF($AK92=5,SUM(Q110:Q114),IF($AK92=4,SUM(Q110:Q113),IF($AK92=3,SUM(Q110:Q112),IF($AK92=2,SUM(Q110:Q111),Q110))))</f>
        <v>50</v>
      </c>
      <c r="R115" s="53"/>
      <c r="S115" s="53">
        <f>IF($AK92=5,SUM(S110:S114),IF($AK92=4,SUM(S110:S113),IF($AK92=3,SUM(S110:S112),IF($AK92=2,SUM(S110:S111),S110))))</f>
        <v>35</v>
      </c>
      <c r="T115" s="53">
        <f>IF($AK92=5,SUM(T110:T114),IF($AK92=4,SUM(T110:T113),IF($AK92=3,SUM(T110:T112),IF($AK92=2,SUM(T110:T111),T110))))</f>
        <v>40</v>
      </c>
      <c r="U115" s="53"/>
      <c r="V115" s="53">
        <f>IF($AK92=5,SUM(V110:V114),IF($AK92=4,SUM(V110:V113),IF($AK92=3,SUM(V110:V112),IF($AK92=2,SUM(V110:V111),V110))))</f>
        <v>50</v>
      </c>
      <c r="W115" s="53">
        <f>IF($AK92=5,SUM(W110:W114),IF($AK92=4,SUM(W110:W113),IF($AK92=3,SUM(W110:W112),IF($AK92=2,SUM(W110:W111),W110))))</f>
        <v>50</v>
      </c>
      <c r="X115" s="53"/>
      <c r="Y115" s="53">
        <f>IF($AK92=5,SUM(Y110:Y114),IF($AK92=4,SUM(Y110:Y113),IF($AK92=3,SUM(Y110:Y112),IF($AK92=2,SUM(Y110:Y111),Y110))))</f>
        <v>25</v>
      </c>
      <c r="Z115" s="53">
        <f>IF($AK92=5,SUM(Z110:Z114),IF($AK92=4,SUM(Z110:Z113),IF($AK92=3,SUM(Z110:Z112),IF($AK92=2,SUM(Z110:Z111),Z110))))</f>
        <v>48</v>
      </c>
      <c r="AA115" s="53"/>
      <c r="AB115" s="53">
        <f>IF($AK92=5,SUM(AB110:AB114),IF($AK92=4,SUM(AB110:AB113),IF($AK92=3,SUM(AB110:AB112),IF($AK92=2,SUM(AB110:AB111),AB110))))</f>
        <v>46</v>
      </c>
      <c r="AC115" s="53">
        <f>IF($AK92=5,SUM(AC110:AC114),IF($AK92=4,SUM(AC110:AC113),IF($AK92=3,SUM(AC110:AC112),IF($AK92=2,SUM(AC110:AC111),AC110))))</f>
        <v>50</v>
      </c>
      <c r="AD115" s="53"/>
      <c r="AE115" s="53">
        <f>IF($AK92=5,SUM(AE110:AE114),IF($AK92=4,SUM(AE110:AE113),IF($AK92=3,SUM(AE110:AE112),IF($AK92=2,SUM(AE110:AE111),AE110))))</f>
        <v>23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5" customFormat="1" ht="12.75" hidden="1" customHeight="1" x14ac:dyDescent="0.2">
      <c r="A116" s="55" t="s">
        <v>81</v>
      </c>
      <c r="B116" s="56">
        <f>IF(AND(B110&gt;D110,$AK93&gt;0,ISNUMBER(B110),ISNUMBER(D110)),1,0)</f>
        <v>0</v>
      </c>
      <c r="C116" s="56"/>
      <c r="D116" s="57">
        <f>IF(AND(D110&gt;B110,$AK93&gt;0,ISNUMBER(B110),ISNUMBER(D110)),1,0)</f>
        <v>1</v>
      </c>
      <c r="E116" s="56">
        <f>IF(AND(E110&gt;G110,$AK93&gt;1,ISNUMBER(E110),ISNUMBER(G110)),1,0)</f>
        <v>1</v>
      </c>
      <c r="F116" s="56"/>
      <c r="G116" s="57">
        <f>IF(AND(G110&gt;E110,$AK93&gt;1,ISNUMBER(E110),ISNUMBER(G110)),1,0)</f>
        <v>0</v>
      </c>
      <c r="H116" s="56">
        <f>IF(AND(H110&gt;J110,$AK93&gt;2,ISNUMBER(H110),ISNUMBER(J110)),1,0)</f>
        <v>1</v>
      </c>
      <c r="I116" s="56"/>
      <c r="J116" s="57">
        <f>IF(AND(J110&gt;H110,$AK93&gt;2,ISNUMBER(H110),ISNUMBER(J110)),1,0)</f>
        <v>0</v>
      </c>
      <c r="K116" s="56">
        <f>IF(AND(K110&gt;M110,$AK93&gt;3,ISNUMBER(K110),ISNUMBER(M110)),1,0)</f>
        <v>0</v>
      </c>
      <c r="L116" s="56"/>
      <c r="M116" s="57">
        <f>IF(AND(M110&gt;K110,$AK93&gt;3,ISNUMBER(K110),ISNUMBER(M110)),1,0)</f>
        <v>1</v>
      </c>
      <c r="N116" s="56">
        <f>IF(AND(N110&gt;P110,$AK93&gt;4,ISNUMBER(N110),ISNUMBER(P110)),1,0)</f>
        <v>1</v>
      </c>
      <c r="O116" s="56"/>
      <c r="P116" s="57">
        <f>IF(AND(P110&gt;N110,$AK93&gt;4,ISNUMBER(N110),ISNUMBER(P110)),1,0)</f>
        <v>0</v>
      </c>
      <c r="Q116" s="56">
        <f>IF(AND(Q110&gt;S110,$AK93&gt;5,ISNUMBER(Q110),ISNUMBER(S110)),1,0)</f>
        <v>1</v>
      </c>
      <c r="R116" s="56"/>
      <c r="S116" s="57">
        <f>IF(AND(S110&gt;Q110,$AK93&gt;5,ISNUMBER(Q110),ISNUMBER(S110)),1,0)</f>
        <v>0</v>
      </c>
      <c r="T116" s="56">
        <f>IF(AND(T110&gt;V110,$AK93&gt;6,ISNUMBER(T110),ISNUMBER(V110)),1,0)</f>
        <v>0</v>
      </c>
      <c r="U116" s="56"/>
      <c r="V116" s="57">
        <f>IF(AND(V110&gt;T110,$AK93&gt;6,ISNUMBER(T110),ISNUMBER(V110)),1,0)</f>
        <v>1</v>
      </c>
      <c r="W116" s="56">
        <f>IF(AND(W110&gt;Y110,$AK93&gt;7,ISNUMBER(W110),ISNUMBER(Y110)),1,0)</f>
        <v>1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1</v>
      </c>
      <c r="AA116" s="56"/>
      <c r="AB116" s="57">
        <f>IF(AND(AB110&gt;Z110,$AK93&gt;8,ISNUMBER(Z110),ISNUMBER(AB110)),1,0)</f>
        <v>0</v>
      </c>
      <c r="AC116" s="56">
        <f>IF(AND(AC110&gt;AE110,$AK93&gt;9,ISNUMBER(AC110),ISNUMBER(AE110)),1,0)</f>
        <v>1</v>
      </c>
      <c r="AD116" s="56"/>
      <c r="AE116" s="57">
        <f>IF(AND(AE110&gt;AC110,$AK93&gt;9,ISNUMBER(AC110),ISNUMBER(AE110)),1,0)</f>
        <v>0</v>
      </c>
      <c r="AW116" s="58"/>
    </row>
    <row r="117" spans="1:49" s="55" customFormat="1" ht="12.75" hidden="1" customHeight="1" x14ac:dyDescent="0.2">
      <c r="A117" s="55" t="s">
        <v>82</v>
      </c>
      <c r="B117" s="56">
        <f>IF(AND(B111&gt;D111,$AK93&gt;0,$AK92&gt;1,ISNUMBER(B111),ISNUMBER(D111)),1,0)</f>
        <v>0</v>
      </c>
      <c r="C117" s="56"/>
      <c r="D117" s="57">
        <f>IF(AND(D111&gt;B111,$AK93&gt;0,$AK92&gt;1,ISNUMBER(B111),ISNUMBER(D111)),1,0)</f>
        <v>1</v>
      </c>
      <c r="E117" s="56">
        <f>IF(AND(E111&gt;G111,$AK93&gt;1,$AK92&gt;1,ISNUMBER(E111),ISNUMBER(G111)),1,0)</f>
        <v>0</v>
      </c>
      <c r="F117" s="56"/>
      <c r="G117" s="57">
        <f>IF(AND(G111&gt;E111,$AK93&gt;1,$AK92&gt;1,ISNUMBER(E111),ISNUMBER(G111)),1,0)</f>
        <v>1</v>
      </c>
      <c r="H117" s="56">
        <f>IF(AND(H111&gt;J111,$AK93&gt;2,$AK92&gt;1,ISNUMBER(H111),ISNUMBER(J111)),1,0)</f>
        <v>1</v>
      </c>
      <c r="I117" s="56"/>
      <c r="J117" s="57">
        <f>IF(AND(J111&gt;H111,$AK93&gt;2,$AK92&gt;1,ISNUMBER(H111),ISNUMBER(J111)),1,0)</f>
        <v>0</v>
      </c>
      <c r="K117" s="56">
        <f>IF(AND(K111&gt;M111,$AK93&gt;3,$AK92&gt;1,ISNUMBER(K111),ISNUMBER(M111)),1,0)</f>
        <v>0</v>
      </c>
      <c r="L117" s="56"/>
      <c r="M117" s="57">
        <f>IF(AND(M111&gt;K111,$AK93&gt;3,$AK92&gt;1,ISNUMBER(K111),ISNUMBER(M111)),1,0)</f>
        <v>1</v>
      </c>
      <c r="N117" s="56">
        <f>IF(AND(N111&gt;P111,$AK93&gt;4,$AK92&gt;1,ISNUMBER(N111),ISNUMBER(P111)),1,0)</f>
        <v>1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1</v>
      </c>
      <c r="R117" s="56"/>
      <c r="S117" s="57">
        <f>IF(AND(S111&gt;Q111,$AK93&gt;5,$AK92&gt;1,ISNUMBER(Q111),ISNUMBER(S111)),1,0)</f>
        <v>0</v>
      </c>
      <c r="T117" s="56">
        <f>IF(AND(T111&gt;V111,$AK93&gt;6,$AK92&gt;1,ISNUMBER(T111),ISNUMBER(V111)),1,0)</f>
        <v>0</v>
      </c>
      <c r="U117" s="56"/>
      <c r="V117" s="57">
        <f>IF(AND(V111&gt;T111,$AK93&gt;6,$AK92&gt;1,ISNUMBER(T111),ISNUMBER(V111)),1,0)</f>
        <v>1</v>
      </c>
      <c r="W117" s="56">
        <f>IF(AND(W111&gt;Y111,$AK93&gt;7,$AK92&gt;1,ISNUMBER(W111),ISNUMBER(Y111)),1,0)</f>
        <v>1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1</v>
      </c>
      <c r="AC117" s="56">
        <f>IF(AND(AC111&gt;AE111,$AK93&gt;9,$AK92&gt;1,ISNUMBER(AC111),ISNUMBER(AE111)),1,0)</f>
        <v>1</v>
      </c>
      <c r="AD117" s="56"/>
      <c r="AE117" s="57">
        <f>IF(AND(AE111&gt;AC111,$AK93&gt;9,$AK92&gt;1,ISNUMBER(AC111),ISNUMBER(AE111)),1,0)</f>
        <v>0</v>
      </c>
      <c r="AW117" s="58"/>
    </row>
    <row r="118" spans="1:49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  <c r="AW118" s="58"/>
    </row>
    <row r="119" spans="1:49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  <c r="AW119" s="58"/>
    </row>
    <row r="120" spans="1:49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  <c r="AW120" s="58"/>
    </row>
    <row r="121" spans="1:49" s="55" customFormat="1" ht="38.25" hidden="1" customHeight="1" x14ac:dyDescent="0.2">
      <c r="A121" s="59" t="s">
        <v>86</v>
      </c>
      <c r="B121" s="55">
        <f>SUM(B116:B120)</f>
        <v>0</v>
      </c>
      <c r="D121" s="60">
        <f>SUM(D116:D120)</f>
        <v>2</v>
      </c>
      <c r="E121" s="55">
        <f>SUM(E116:E120)</f>
        <v>1</v>
      </c>
      <c r="G121" s="60">
        <f>SUM(G116:G120)</f>
        <v>1</v>
      </c>
      <c r="H121" s="55">
        <f>SUM(H116:H120)</f>
        <v>2</v>
      </c>
      <c r="J121" s="60">
        <f>SUM(J116:J120)</f>
        <v>0</v>
      </c>
      <c r="K121" s="55">
        <f>SUM(K116:K120)</f>
        <v>0</v>
      </c>
      <c r="M121" s="60">
        <f>SUM(M116:M120)</f>
        <v>2</v>
      </c>
      <c r="N121" s="55">
        <f>SUM(N116:N120)</f>
        <v>2</v>
      </c>
      <c r="P121" s="60">
        <f>SUM(P116:P120)</f>
        <v>0</v>
      </c>
      <c r="Q121" s="55">
        <f>SUM(Q116:Q120)</f>
        <v>2</v>
      </c>
      <c r="S121" s="60">
        <f>SUM(S116:S120)</f>
        <v>0</v>
      </c>
      <c r="T121" s="55">
        <f>SUM(T116:T120)</f>
        <v>0</v>
      </c>
      <c r="V121" s="60">
        <f>SUM(V116:V120)</f>
        <v>2</v>
      </c>
      <c r="W121" s="55">
        <f>SUM(W116:W120)</f>
        <v>2</v>
      </c>
      <c r="Y121" s="60">
        <f>SUM(Y116:Y120)</f>
        <v>0</v>
      </c>
      <c r="Z121" s="55">
        <f>SUM(Z116:Z120)</f>
        <v>1</v>
      </c>
      <c r="AB121" s="60">
        <f>SUM(AB116:AB120)</f>
        <v>1</v>
      </c>
      <c r="AC121" s="55">
        <f>SUM(AC116:AC120)</f>
        <v>2</v>
      </c>
      <c r="AE121" s="60">
        <f>SUM(AE116:AE120)</f>
        <v>0</v>
      </c>
      <c r="AW121" s="58"/>
    </row>
    <row r="122" spans="1:49" s="55" customFormat="1" ht="25.5" hidden="1" customHeight="1" x14ac:dyDescent="0.2">
      <c r="A122" s="59" t="s">
        <v>87</v>
      </c>
      <c r="B122" s="55">
        <f>IF(B121&gt;D121,IF(C156=AK92,1,IF(C156=AK92-1,1,0)),0)</f>
        <v>0</v>
      </c>
      <c r="C122" s="55">
        <f>B122+D122</f>
        <v>1</v>
      </c>
      <c r="D122" s="60">
        <f>IF(D121&gt;B121,IF(C156=AK92,1,IF(C156=AK92-1,1,0)),0)</f>
        <v>1</v>
      </c>
      <c r="E122" s="55">
        <f>IF(E121&gt;G121,IF(F156=AK92,1,IF(F156=AK92-1,1,0)),0)</f>
        <v>0</v>
      </c>
      <c r="F122" s="55">
        <f>E122+G122</f>
        <v>0</v>
      </c>
      <c r="G122" s="60">
        <f>IF(G121&gt;E121,IF(F156=AK92,1,IF(F156=AK92-1,1,0)),0)</f>
        <v>0</v>
      </c>
      <c r="H122" s="55">
        <f>IF(H121&gt;J121,IF(I156=AK92,1,IF(I156=AK92-1,1,0)),0)</f>
        <v>1</v>
      </c>
      <c r="I122" s="55">
        <f>H122+J122</f>
        <v>1</v>
      </c>
      <c r="J122" s="60">
        <f>IF(J121&gt;H121,IF(I156=AK92,1,IF(I156=AK92-1,1,0)),0)</f>
        <v>0</v>
      </c>
      <c r="K122" s="55">
        <f>IF(K121&gt;M121,IF(L156=AK92,1,IF(L156=AK92-1,1,0)),0)</f>
        <v>0</v>
      </c>
      <c r="L122" s="55">
        <f>K122+M122</f>
        <v>1</v>
      </c>
      <c r="M122" s="60">
        <f>IF(M121&gt;K121,IF(L156=AK92,1,IF(L156=AK92-1,1,0)),0)</f>
        <v>1</v>
      </c>
      <c r="N122" s="55">
        <f>IF(N121&gt;P121,IF(O156=AK92,1,IF(O156=AK92-1,1,0)),0)</f>
        <v>1</v>
      </c>
      <c r="O122" s="55">
        <f>N122+P122</f>
        <v>1</v>
      </c>
      <c r="P122" s="60">
        <f>IF(P121&gt;N121,IF(O156=AK92,1,IF(O156=AK92-1,1,0)),0)</f>
        <v>0</v>
      </c>
      <c r="Q122" s="55">
        <f>IF(Q121&gt;S121,IF(R156=AK92,1,IF(R156=AK92-1,1,0)),0)</f>
        <v>1</v>
      </c>
      <c r="R122" s="55">
        <f>Q122+S122</f>
        <v>1</v>
      </c>
      <c r="S122" s="60">
        <f>IF(S121&gt;Q121,IF(R156=AK92,1,IF(R156=AK92-1,1,0)),0)</f>
        <v>0</v>
      </c>
      <c r="T122" s="55">
        <f>IF(T121&gt;V121,IF(U156=AK92,1,IF(U156=AK92-1,1,0)),0)</f>
        <v>0</v>
      </c>
      <c r="U122" s="55">
        <f>T122+V122</f>
        <v>1</v>
      </c>
      <c r="V122" s="60">
        <f>IF(V121&gt;T121,IF(U156=AK92,1,IF(U156=AK92-1,1,0)),0)</f>
        <v>1</v>
      </c>
      <c r="W122" s="55">
        <f>IF(W121&gt;Y121,IF(X156=AK92,1,IF(X156=AK92-1,1,0)),0)</f>
        <v>1</v>
      </c>
      <c r="X122" s="55">
        <f>W122+Y122</f>
        <v>1</v>
      </c>
      <c r="Y122" s="60">
        <f>IF(Y121&gt;W121,IF(X156=AK92,1,IF(X156=AK92-1,1,0)),0)</f>
        <v>0</v>
      </c>
      <c r="Z122" s="55">
        <f>IF(Z121&gt;AB121,IF(AA156=AK92,1,IF(AA156=AK92-1,1,0)),0)</f>
        <v>0</v>
      </c>
      <c r="AA122" s="55">
        <f>Z122+AB122</f>
        <v>0</v>
      </c>
      <c r="AB122" s="60">
        <f>IF(AB121&gt;Z121,IF(AA156=AK92,1,IF(AA156=AK92-1,1,0)),0)</f>
        <v>0</v>
      </c>
      <c r="AC122" s="55">
        <f>IF(AC121&gt;AE121,IF(AD156=AK92,1,IF(AD156=AK92-1,1,0)),0)</f>
        <v>1</v>
      </c>
      <c r="AD122" s="55">
        <f>AC122+AE122</f>
        <v>1</v>
      </c>
      <c r="AE122" s="60">
        <f>IF(AE121&gt;AC121,IF(AD156=AK92,1,IF(AD156=AK92-1,1,0)),0)</f>
        <v>0</v>
      </c>
      <c r="AW122" s="58"/>
    </row>
    <row r="123" spans="1:49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  <c r="AW123" s="58"/>
    </row>
    <row r="124" spans="1:49" s="55" customFormat="1" ht="12.75" hidden="1" customHeight="1" x14ac:dyDescent="0.2">
      <c r="A124" s="55" t="s">
        <v>88</v>
      </c>
      <c r="B124" s="55">
        <f>IF(B116=1,B110,0)</f>
        <v>0</v>
      </c>
      <c r="D124" s="60">
        <f t="shared" ref="D124:E128" si="11">IF(D116=1,D110,0)</f>
        <v>25</v>
      </c>
      <c r="E124" s="55">
        <f t="shared" si="11"/>
        <v>25</v>
      </c>
      <c r="G124" s="60">
        <f t="shared" ref="G124:H128" si="12">IF(G116=1,G110,0)</f>
        <v>0</v>
      </c>
      <c r="H124" s="55">
        <f t="shared" si="12"/>
        <v>25</v>
      </c>
      <c r="J124" s="60">
        <f t="shared" ref="J124:K128" si="13">IF(J116=1,J110,0)</f>
        <v>0</v>
      </c>
      <c r="K124" s="55">
        <f t="shared" si="13"/>
        <v>0</v>
      </c>
      <c r="M124" s="60">
        <f t="shared" ref="M124:N128" si="14">IF(M116=1,M110,0)</f>
        <v>25</v>
      </c>
      <c r="N124" s="55">
        <f t="shared" si="14"/>
        <v>25</v>
      </c>
      <c r="P124" s="60">
        <f t="shared" ref="P124:Q128" si="15">IF(P116=1,P110,0)</f>
        <v>0</v>
      </c>
      <c r="Q124" s="55">
        <f t="shared" si="15"/>
        <v>25</v>
      </c>
      <c r="S124" s="60">
        <f t="shared" ref="S124:T128" si="16">IF(S116=1,S110,0)</f>
        <v>0</v>
      </c>
      <c r="T124" s="55">
        <f t="shared" si="16"/>
        <v>0</v>
      </c>
      <c r="V124" s="60">
        <f t="shared" ref="V124:W128" si="17">IF(V116=1,V110,0)</f>
        <v>25</v>
      </c>
      <c r="W124" s="55">
        <f t="shared" si="17"/>
        <v>25</v>
      </c>
      <c r="Y124" s="60">
        <f t="shared" ref="Y124:Z128" si="18">IF(Y116=1,Y110,0)</f>
        <v>0</v>
      </c>
      <c r="Z124" s="55">
        <f t="shared" si="18"/>
        <v>25</v>
      </c>
      <c r="AB124" s="60">
        <f t="shared" ref="AB124:AC128" si="19">IF(AB116=1,AB110,0)</f>
        <v>0</v>
      </c>
      <c r="AC124" s="55">
        <f t="shared" si="19"/>
        <v>25</v>
      </c>
      <c r="AE124" s="60">
        <f>IF(AE116=1,AE110,0)</f>
        <v>0</v>
      </c>
      <c r="AW124" s="58"/>
    </row>
    <row r="125" spans="1:49" s="55" customFormat="1" ht="12.75" hidden="1" customHeight="1" x14ac:dyDescent="0.2">
      <c r="A125" s="55" t="s">
        <v>89</v>
      </c>
      <c r="B125" s="55">
        <f>IF(B117=1,B111,0)</f>
        <v>0</v>
      </c>
      <c r="D125" s="60">
        <f t="shared" si="11"/>
        <v>25</v>
      </c>
      <c r="E125" s="55">
        <f t="shared" si="11"/>
        <v>0</v>
      </c>
      <c r="G125" s="60">
        <f t="shared" si="12"/>
        <v>25</v>
      </c>
      <c r="H125" s="55">
        <f t="shared" si="12"/>
        <v>25</v>
      </c>
      <c r="J125" s="60">
        <f t="shared" si="13"/>
        <v>0</v>
      </c>
      <c r="K125" s="55">
        <f t="shared" si="13"/>
        <v>0</v>
      </c>
      <c r="M125" s="60">
        <f t="shared" si="14"/>
        <v>25</v>
      </c>
      <c r="N125" s="55">
        <f t="shared" si="14"/>
        <v>25</v>
      </c>
      <c r="P125" s="60">
        <f t="shared" si="15"/>
        <v>0</v>
      </c>
      <c r="Q125" s="55">
        <f t="shared" si="15"/>
        <v>25</v>
      </c>
      <c r="S125" s="60">
        <f t="shared" si="16"/>
        <v>0</v>
      </c>
      <c r="T125" s="55">
        <f t="shared" si="16"/>
        <v>0</v>
      </c>
      <c r="V125" s="60">
        <f t="shared" si="17"/>
        <v>25</v>
      </c>
      <c r="W125" s="55">
        <f t="shared" si="17"/>
        <v>25</v>
      </c>
      <c r="Y125" s="60">
        <f t="shared" si="18"/>
        <v>0</v>
      </c>
      <c r="Z125" s="55">
        <f t="shared" si="18"/>
        <v>0</v>
      </c>
      <c r="AB125" s="60">
        <f t="shared" si="19"/>
        <v>25</v>
      </c>
      <c r="AC125" s="55">
        <f t="shared" si="19"/>
        <v>25</v>
      </c>
      <c r="AE125" s="60">
        <f>IF(AE117=1,AE111,0)</f>
        <v>0</v>
      </c>
      <c r="AW125" s="58"/>
    </row>
    <row r="126" spans="1:49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  <c r="AW126" s="58"/>
    </row>
    <row r="127" spans="1:49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  <c r="AW127" s="58"/>
    </row>
    <row r="128" spans="1:49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  <c r="AW128" s="58"/>
    </row>
    <row r="129" spans="1:49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50</v>
      </c>
      <c r="G129" s="60"/>
      <c r="H129" s="55">
        <f>SUM(H124:J128)</f>
        <v>50</v>
      </c>
      <c r="J129" s="60"/>
      <c r="K129" s="55">
        <f>SUM(K124:M128)</f>
        <v>50</v>
      </c>
      <c r="M129" s="60"/>
      <c r="N129" s="55">
        <f>SUM(N124:P128)</f>
        <v>50</v>
      </c>
      <c r="P129" s="60"/>
      <c r="Q129" s="55">
        <f>SUM(Q124:S128)</f>
        <v>50</v>
      </c>
      <c r="S129" s="60"/>
      <c r="T129" s="55">
        <f>SUM(T124:V128)</f>
        <v>50</v>
      </c>
      <c r="V129" s="60"/>
      <c r="W129" s="55">
        <f>SUM(W124:Y128)</f>
        <v>50</v>
      </c>
      <c r="Y129" s="60"/>
      <c r="Z129" s="55">
        <f>SUM(Z124:AB128)</f>
        <v>50</v>
      </c>
      <c r="AB129" s="60"/>
      <c r="AC129" s="55">
        <f>SUM(AC124:AE128)</f>
        <v>50</v>
      </c>
      <c r="AE129" s="60"/>
      <c r="AW129" s="58"/>
    </row>
    <row r="130" spans="1:49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  <c r="AW130" s="58"/>
    </row>
    <row r="131" spans="1:49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0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1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1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1</v>
      </c>
      <c r="AE131" s="60">
        <f>IF(AE109=1,IF(AE122=1,1,0),0)</f>
        <v>0</v>
      </c>
      <c r="AF131" s="55">
        <f>SUM(B131:AE131)</f>
        <v>3</v>
      </c>
      <c r="AG131" s="55">
        <f>AF137-AF131</f>
        <v>0</v>
      </c>
      <c r="AW131" s="58"/>
    </row>
    <row r="132" spans="1:49" s="55" customFormat="1" ht="12.75" hidden="1" customHeight="1" x14ac:dyDescent="0.2">
      <c r="A132" s="55" t="s">
        <v>98</v>
      </c>
      <c r="B132" s="55">
        <f>IF(B109=2,IF(B122=1,1,0),0)</f>
        <v>0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0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0</v>
      </c>
      <c r="AG132" s="55">
        <f>AF138-AF132</f>
        <v>4</v>
      </c>
      <c r="AW132" s="58"/>
    </row>
    <row r="133" spans="1:49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1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1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2</v>
      </c>
      <c r="AG133" s="55">
        <f>AF139-AF133</f>
        <v>1</v>
      </c>
      <c r="AW133" s="58"/>
    </row>
    <row r="134" spans="1:49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1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1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2</v>
      </c>
      <c r="AG134" s="55">
        <f>AF140-AF134</f>
        <v>0</v>
      </c>
      <c r="AW134" s="58"/>
    </row>
    <row r="135" spans="1:49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1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0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1</v>
      </c>
      <c r="AG135" s="55">
        <f>AF141-AF135</f>
        <v>3</v>
      </c>
      <c r="AW135" s="58"/>
    </row>
    <row r="136" spans="1:49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  <c r="AW136" s="58"/>
    </row>
    <row r="137" spans="1:49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0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0</v>
      </c>
      <c r="M137" s="60">
        <f>IF(M109=1,IF(L122=1,1,0),0)</f>
        <v>0</v>
      </c>
      <c r="N137" s="55">
        <f>IF(N109=1,IF(O122=1,1,0),0)</f>
        <v>1</v>
      </c>
      <c r="P137" s="60">
        <f>IF(P109=1,IF(O122=1,1,0),0)</f>
        <v>0</v>
      </c>
      <c r="Q137" s="55">
        <f>IF(Q109=1,IF(R122=1,1,0),0)</f>
        <v>0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1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1</v>
      </c>
      <c r="AE137" s="60">
        <f>IF(AE109=1,IF(AD122=1,1,0),0)</f>
        <v>0</v>
      </c>
      <c r="AF137" s="55">
        <f>SUM(B137:AE137)</f>
        <v>3</v>
      </c>
      <c r="AW137" s="58"/>
    </row>
    <row r="138" spans="1:49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0</v>
      </c>
      <c r="K138" s="55">
        <f>IF(K109=2,IF(L122=1,1,0),0)</f>
        <v>1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0</v>
      </c>
      <c r="T138" s="55">
        <f>IF(T109=2,IF(U122=1,1,0),0)</f>
        <v>1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1</v>
      </c>
      <c r="AF138" s="55">
        <f>SUM(B138:AE138)</f>
        <v>4</v>
      </c>
      <c r="AW138" s="58"/>
    </row>
    <row r="139" spans="1:49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0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1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0</v>
      </c>
      <c r="N139" s="55">
        <f>IF(N109=3,IF(O122=1,1,0),0)</f>
        <v>0</v>
      </c>
      <c r="P139" s="60">
        <f>IF(P109=3,IF(O122=1,1,0),0)</f>
        <v>1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1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0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3</v>
      </c>
      <c r="AW139" s="58"/>
    </row>
    <row r="140" spans="1:49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0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1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1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0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2</v>
      </c>
      <c r="AW140" s="58"/>
    </row>
    <row r="141" spans="1:49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1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1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1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1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4</v>
      </c>
      <c r="AW141" s="58"/>
    </row>
    <row r="142" spans="1:49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  <c r="AW142" s="58"/>
    </row>
    <row r="143" spans="1:49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0</v>
      </c>
      <c r="M143" s="60">
        <f>IF(M109=1,K129,0)</f>
        <v>0</v>
      </c>
      <c r="N143" s="55">
        <f>IF(N109=1,N129,0)</f>
        <v>50</v>
      </c>
      <c r="P143" s="60">
        <f>IF(P109=1,N129,0)</f>
        <v>0</v>
      </c>
      <c r="Q143" s="55">
        <f>IF(Q109=1,Q129,0)</f>
        <v>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50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50</v>
      </c>
      <c r="AE143" s="60">
        <f>IF(AE109=1,AC129,0)</f>
        <v>0</v>
      </c>
      <c r="AF143" s="55">
        <f>SUM(B143:AE143)</f>
        <v>200</v>
      </c>
      <c r="AW143" s="58"/>
    </row>
    <row r="144" spans="1:49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0</v>
      </c>
      <c r="J144" s="60">
        <f>IF(J109=2,H129,0)</f>
        <v>0</v>
      </c>
      <c r="K144" s="55">
        <f>IF(K109=2,K129,0)</f>
        <v>50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0</v>
      </c>
      <c r="T144" s="55">
        <f>IF(T109=2,T129,0)</f>
        <v>50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50</v>
      </c>
      <c r="AF144" s="55">
        <f>SUM(B144:AE144)</f>
        <v>200</v>
      </c>
      <c r="AW144" s="58"/>
    </row>
    <row r="145" spans="1:49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0</v>
      </c>
      <c r="E145" s="55">
        <f>IF(E109=3,E129,0)</f>
        <v>0</v>
      </c>
      <c r="G145" s="60">
        <f>IF(G109=3,E129,0)</f>
        <v>0</v>
      </c>
      <c r="H145" s="55">
        <f>IF(H109=3,H129,0)</f>
        <v>50</v>
      </c>
      <c r="J145" s="60">
        <f>IF(J109=3,H129,0)</f>
        <v>0</v>
      </c>
      <c r="K145" s="55">
        <f>IF(K109=3,K129,0)</f>
        <v>0</v>
      </c>
      <c r="M145" s="60">
        <f>IF(M109=3,K129,0)</f>
        <v>0</v>
      </c>
      <c r="N145" s="55">
        <f>IF(N109=3,N129,0)</f>
        <v>0</v>
      </c>
      <c r="P145" s="60">
        <f>IF(P109=3,N129,0)</f>
        <v>50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50</v>
      </c>
      <c r="W145" s="55">
        <f>IF(W109=3,W129,0)</f>
        <v>0</v>
      </c>
      <c r="Y145" s="60">
        <f>IF(Y109=3,W129,0)</f>
        <v>0</v>
      </c>
      <c r="Z145" s="55">
        <f>IF(Z109=3,Z129,0)</f>
        <v>50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200</v>
      </c>
      <c r="AW145" s="58"/>
    </row>
    <row r="146" spans="1:49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50</v>
      </c>
      <c r="N146" s="55">
        <f>IF(N109=4,N129,0)</f>
        <v>0</v>
      </c>
      <c r="P146" s="60">
        <f>IF(P109=4,N129,0)</f>
        <v>0</v>
      </c>
      <c r="Q146" s="55">
        <f>IF(Q109=4,Q129,0)</f>
        <v>50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50</v>
      </c>
      <c r="AC146" s="55">
        <f>IF(AC109=4,AC129,0)</f>
        <v>0</v>
      </c>
      <c r="AE146" s="60">
        <f>IF(AE109=4,AC129,0)</f>
        <v>0</v>
      </c>
      <c r="AF146" s="55">
        <f>SUM(B146:AE146)</f>
        <v>200</v>
      </c>
      <c r="AW146" s="58"/>
    </row>
    <row r="147" spans="1:49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50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50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50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50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200</v>
      </c>
      <c r="AW147" s="58"/>
    </row>
    <row r="148" spans="1:49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  <c r="AW148" s="58"/>
    </row>
    <row r="149" spans="1:49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1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2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2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2</v>
      </c>
      <c r="AE149" s="60">
        <f>IF(AE109=1,SUMIF(AE116:AE120,"&gt;0"),0)</f>
        <v>0</v>
      </c>
      <c r="AF149" s="55">
        <f>SUM(B149:AE149)</f>
        <v>7</v>
      </c>
      <c r="AG149" s="55">
        <f>AF157-AF149</f>
        <v>1</v>
      </c>
      <c r="AW149" s="58"/>
    </row>
    <row r="150" spans="1:49" s="55" customFormat="1" ht="12.75" hidden="1" customHeight="1" x14ac:dyDescent="0.2">
      <c r="A150" s="55" t="s">
        <v>98</v>
      </c>
      <c r="B150" s="55">
        <f>IF(B109=2,SUMIF(B116:B120,"&gt;0"),0)</f>
        <v>0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0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0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0</v>
      </c>
      <c r="AG150" s="55">
        <f>AF158-AF150</f>
        <v>8</v>
      </c>
      <c r="AW150" s="58"/>
    </row>
    <row r="151" spans="1:49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2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0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2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1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5</v>
      </c>
      <c r="AG151" s="55">
        <f>AF159-AF151</f>
        <v>3</v>
      </c>
      <c r="AW151" s="58"/>
    </row>
    <row r="152" spans="1:49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1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2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2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1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6</v>
      </c>
      <c r="AG152" s="55">
        <f>AF160-AF152</f>
        <v>2</v>
      </c>
      <c r="AW152" s="58"/>
    </row>
    <row r="153" spans="1:49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2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0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2</v>
      </c>
      <c r="AG153" s="55">
        <f>AF161-AF153</f>
        <v>6</v>
      </c>
      <c r="AW153" s="58"/>
    </row>
    <row r="154" spans="1:49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  <c r="AW154" s="58"/>
    </row>
    <row r="155" spans="1:49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  <c r="AW155" s="58"/>
    </row>
    <row r="156" spans="1:49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2</v>
      </c>
      <c r="V156" s="60"/>
      <c r="X156" s="55">
        <f>SUMIF(W149:Y153,"&gt;0")</f>
        <v>2</v>
      </c>
      <c r="Y156" s="60"/>
      <c r="AA156" s="55">
        <f>SUMIF(Z149:AB153,"&gt;0")</f>
        <v>2</v>
      </c>
      <c r="AB156" s="60"/>
      <c r="AD156" s="55">
        <f>SUMIF(AC149:AE153,"&gt;0")</f>
        <v>2</v>
      </c>
      <c r="AE156" s="60"/>
      <c r="AF156" s="59" t="s">
        <v>113</v>
      </c>
      <c r="AW156" s="58"/>
    </row>
    <row r="157" spans="1:49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0</v>
      </c>
      <c r="M157" s="60">
        <f>IF(M109=1,L156,0)</f>
        <v>0</v>
      </c>
      <c r="N157" s="55">
        <f>IF(N109=1,O156,0)</f>
        <v>2</v>
      </c>
      <c r="P157" s="60">
        <f>IF(P109=1,O156,0)</f>
        <v>0</v>
      </c>
      <c r="Q157" s="55">
        <f>IF(Q109=1,R156,0)</f>
        <v>0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2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2</v>
      </c>
      <c r="AE157" s="60">
        <f>IF(AE109=1,AD156,0)</f>
        <v>0</v>
      </c>
      <c r="AF157" s="55">
        <f>SUM(B157:AE157)</f>
        <v>8</v>
      </c>
      <c r="AW157" s="58"/>
    </row>
    <row r="158" spans="1:49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0</v>
      </c>
      <c r="J158" s="60">
        <f>IF(J109=2,I156,0)</f>
        <v>0</v>
      </c>
      <c r="K158" s="55">
        <f>IF(K109=2,L156,0)</f>
        <v>2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0</v>
      </c>
      <c r="T158" s="55">
        <f>IF(T109=2,U156,0)</f>
        <v>2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2</v>
      </c>
      <c r="AF158" s="55">
        <f>SUM(B158:AE158)</f>
        <v>8</v>
      </c>
      <c r="AW158" s="58"/>
    </row>
    <row r="159" spans="1:49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0</v>
      </c>
      <c r="E159" s="55">
        <f>IF(E109=3,F156,0)</f>
        <v>0</v>
      </c>
      <c r="G159" s="60">
        <f>IF(G109=3,F156,0)</f>
        <v>0</v>
      </c>
      <c r="H159" s="55">
        <f>IF(H109=3,I156,0)</f>
        <v>2</v>
      </c>
      <c r="J159" s="60">
        <f>IF(J109=3,I156,0)</f>
        <v>0</v>
      </c>
      <c r="K159" s="55">
        <f>IF(K109=3,L156,0)</f>
        <v>0</v>
      </c>
      <c r="M159" s="60">
        <f>IF(M109=3,L156,0)</f>
        <v>0</v>
      </c>
      <c r="N159" s="55">
        <f>IF(N109=3,O156,0)</f>
        <v>0</v>
      </c>
      <c r="P159" s="60">
        <f>IF(P109=3,O156,0)</f>
        <v>2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2</v>
      </c>
      <c r="W159" s="55">
        <f>IF(W109=3,X156,0)</f>
        <v>0</v>
      </c>
      <c r="Y159" s="60">
        <f>IF(Y109=3,X156,0)</f>
        <v>0</v>
      </c>
      <c r="Z159" s="55">
        <f>IF(Z109=3,AA156,0)</f>
        <v>2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8</v>
      </c>
      <c r="AW159" s="58"/>
    </row>
    <row r="160" spans="1:49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2</v>
      </c>
      <c r="N160" s="55">
        <f>IF(N109=4,O156,0)</f>
        <v>0</v>
      </c>
      <c r="P160" s="60">
        <f>IF(P109=4,O156,0)</f>
        <v>0</v>
      </c>
      <c r="Q160" s="55">
        <f>IF(Q109=4,R156,0)</f>
        <v>2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2</v>
      </c>
      <c r="AC160" s="55">
        <f>IF(AC109=4,AD156,0)</f>
        <v>0</v>
      </c>
      <c r="AE160" s="60">
        <f>IF(AE109=4,AD156,0)</f>
        <v>0</v>
      </c>
      <c r="AF160" s="55">
        <f>SUM(B160:AE160)</f>
        <v>8</v>
      </c>
      <c r="AW160" s="58"/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2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2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2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2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8</v>
      </c>
      <c r="AW161" s="58"/>
    </row>
    <row r="162" spans="1:54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BB162" s="130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Gaston Galaxy VBC 13</v>
      </c>
      <c r="C164" s="67">
        <f>VLOOKUP(B164,AU$3:AY$12,3,FALSE)</f>
        <v>1600</v>
      </c>
      <c r="D164" s="67">
        <f>IF(B157,B172,IF(D157,D172,C164))</f>
        <v>1600</v>
      </c>
      <c r="E164" s="67"/>
      <c r="F164" s="67"/>
      <c r="G164" s="67">
        <f>IF(E157,E172,IF(G157,G172,D164))</f>
        <v>1597.08922388824</v>
      </c>
      <c r="H164" s="67"/>
      <c r="I164" s="67"/>
      <c r="J164" s="67">
        <f>IF(H157,H172,IF(J157,J172,G164))</f>
        <v>1597.08922388824</v>
      </c>
      <c r="K164" s="67"/>
      <c r="L164" s="67"/>
      <c r="M164" s="67">
        <f>IF(K157,K172,IF(M157,M172,J164))</f>
        <v>1597.08922388824</v>
      </c>
      <c r="N164" s="67"/>
      <c r="O164" s="67"/>
      <c r="P164" s="67">
        <f>IF(N157,N172,IF(P157,P172,M164))</f>
        <v>1629.9827767912986</v>
      </c>
      <c r="Q164" s="67"/>
      <c r="R164" s="67"/>
      <c r="S164" s="67">
        <f>IF(Q157,Q172,IF(S157,S172,P164))</f>
        <v>1629.9827767912986</v>
      </c>
      <c r="T164" s="67"/>
      <c r="U164" s="67"/>
      <c r="V164" s="67">
        <f>IF(T157,T172,IF(V157,V172,S164))</f>
        <v>1629.9827767912986</v>
      </c>
      <c r="W164" s="67"/>
      <c r="X164" s="67"/>
      <c r="Y164" s="67">
        <f>IF(W157,W172,IF(Y157,Y172,V164))</f>
        <v>1650.6297926105035</v>
      </c>
      <c r="Z164" s="67"/>
      <c r="AA164" s="67"/>
      <c r="AB164" s="67">
        <f>IF(Z157,Z172,IF(AB157,AB172,Y164))</f>
        <v>1650.6297926105035</v>
      </c>
      <c r="AC164" s="67"/>
      <c r="AD164" s="67"/>
      <c r="AE164" s="67">
        <f>IF(AC157,AC172,IF(AE157,AE172,AB164))</f>
        <v>1672.596826725935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Gaston Galaxy VBC 13</v>
      </c>
      <c r="AU164" s="63">
        <f>AE164</f>
        <v>1672.596826725935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CSRA Heat 14 Red</v>
      </c>
      <c r="C165" s="67">
        <f>VLOOKUP(B165,AU$3:AY$12,3,FALSE)</f>
        <v>1648.5261762534274</v>
      </c>
      <c r="D165" s="67">
        <f>IF(B158,B172,IF(D158,D172,C165))</f>
        <v>1604.5580112886007</v>
      </c>
      <c r="E165" s="67"/>
      <c r="F165" s="67"/>
      <c r="G165" s="67">
        <f>IF(E158,E172,IF(G158,G172,D165))</f>
        <v>1604.5580112886007</v>
      </c>
      <c r="H165" s="67"/>
      <c r="I165" s="67"/>
      <c r="J165" s="67">
        <f>IF(H158,H172,IF(J158,J172,G165))</f>
        <v>1604.5580112886007</v>
      </c>
      <c r="K165" s="67"/>
      <c r="L165" s="67"/>
      <c r="M165" s="67">
        <f>IF(K158,K172,IF(M158,M172,J165))</f>
        <v>1569.4968405006123</v>
      </c>
      <c r="N165" s="67"/>
      <c r="O165" s="67"/>
      <c r="P165" s="67">
        <f>IF(N158,N172,IF(P158,P172,M165))</f>
        <v>1569.4968405006123</v>
      </c>
      <c r="Q165" s="67"/>
      <c r="R165" s="67"/>
      <c r="S165" s="67">
        <f>IF(Q158,Q172,IF(S158,S172,P165))</f>
        <v>1569.4968405006123</v>
      </c>
      <c r="T165" s="67"/>
      <c r="U165" s="67"/>
      <c r="V165" s="67">
        <f>IF(T158,T172,IF(V158,V172,S165))</f>
        <v>1537.9023482897717</v>
      </c>
      <c r="W165" s="67"/>
      <c r="X165" s="67"/>
      <c r="Y165" s="67">
        <f>IF(W158,W172,IF(Y158,Y172,V165))</f>
        <v>1537.9023482897717</v>
      </c>
      <c r="Z165" s="67"/>
      <c r="AA165" s="67"/>
      <c r="AB165" s="67">
        <f>IF(Z158,Z172,IF(AB158,AB172,Y165))</f>
        <v>1537.9023482897717</v>
      </c>
      <c r="AC165" s="67"/>
      <c r="AD165" s="67"/>
      <c r="AE165" s="67">
        <f>IF(AC158,AC172,IF(AE158,AE172,AB165))</f>
        <v>1515.9353141743402</v>
      </c>
      <c r="AF165" s="4"/>
      <c r="AG165" s="4"/>
      <c r="AJ165" s="4"/>
      <c r="AL165" s="4"/>
      <c r="AM165" s="4"/>
      <c r="AN165" s="4"/>
      <c r="AO165" s="4"/>
      <c r="AT165" s="63" t="str">
        <f>B165</f>
        <v>CSRA Heat 14 Red</v>
      </c>
      <c r="AU165" s="63">
        <f>AE165</f>
        <v>1515.9353141743402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MBVC 13 Red Teresa</v>
      </c>
      <c r="C166" s="67">
        <f>VLOOKUP(B166,AU$3:AY$12,3,FALSE)</f>
        <v>1576.7047718940707</v>
      </c>
      <c r="D166" s="67">
        <f>IF(B159,B172,IF(D159,D172,C166))</f>
        <v>1576.7047718940707</v>
      </c>
      <c r="E166" s="67"/>
      <c r="F166" s="67"/>
      <c r="G166" s="67">
        <f>IF(E159,E172,IF(G159,G172,D166))</f>
        <v>1576.7047718940707</v>
      </c>
      <c r="H166" s="67"/>
      <c r="I166" s="67"/>
      <c r="J166" s="67">
        <f>IF(H159,H172,IF(J159,J172,G166))</f>
        <v>1606.7933739744487</v>
      </c>
      <c r="K166" s="67"/>
      <c r="L166" s="67"/>
      <c r="M166" s="67">
        <f>IF(K159,K172,IF(M159,M172,J166))</f>
        <v>1606.7933739744487</v>
      </c>
      <c r="N166" s="67"/>
      <c r="O166" s="67"/>
      <c r="P166" s="67">
        <f>IF(N159,N172,IF(P159,P172,M166))</f>
        <v>1573.8998210713901</v>
      </c>
      <c r="Q166" s="67"/>
      <c r="R166" s="67"/>
      <c r="S166" s="67">
        <f>IF(Q159,Q172,IF(S159,S172,P166))</f>
        <v>1573.8998210713901</v>
      </c>
      <c r="T166" s="67"/>
      <c r="U166" s="67"/>
      <c r="V166" s="67">
        <f>IF(T159,T172,IF(V159,V172,S166))</f>
        <v>1605.4943132822307</v>
      </c>
      <c r="W166" s="67"/>
      <c r="X166" s="67"/>
      <c r="Y166" s="67">
        <f>IF(W159,W172,IF(Y159,Y172,V166))</f>
        <v>1605.4943132822307</v>
      </c>
      <c r="Z166" s="67"/>
      <c r="AA166" s="67"/>
      <c r="AB166" s="67">
        <f>IF(Z159,Z172,IF(AB159,AB172,Y166))</f>
        <v>1607.8394096297868</v>
      </c>
      <c r="AC166" s="67"/>
      <c r="AD166" s="67"/>
      <c r="AE166" s="67">
        <f>IF(AC159,AC172,IF(AE159,AE172,AB166))</f>
        <v>1607.8394096297868</v>
      </c>
      <c r="AF166" s="4"/>
      <c r="AG166" s="4"/>
      <c r="AJ166" s="4"/>
      <c r="AL166" s="4"/>
      <c r="AM166" s="4"/>
      <c r="AN166" s="4"/>
      <c r="AO166" s="4"/>
      <c r="AT166" s="63" t="str">
        <f>B166</f>
        <v>MBVC 13 Red Teresa</v>
      </c>
      <c r="AU166" s="63">
        <f>AE166</f>
        <v>1607.8394096297868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Intense 13 Orange</v>
      </c>
      <c r="C167" s="67">
        <f>VLOOKUP(B167,AU$3:AY$12,3,FALSE)</f>
        <v>1568.3090521625732</v>
      </c>
      <c r="D167" s="67">
        <f>IF(B160,B172,IF(D160,D172,C167))</f>
        <v>1568.3090521625732</v>
      </c>
      <c r="E167" s="67"/>
      <c r="F167" s="67"/>
      <c r="G167" s="67">
        <f>IF(E160,E172,IF(G160,G172,D167))</f>
        <v>1571.2198282743332</v>
      </c>
      <c r="H167" s="67"/>
      <c r="I167" s="67"/>
      <c r="J167" s="67">
        <f>IF(H160,H172,IF(J160,J172,G167))</f>
        <v>1571.2198282743332</v>
      </c>
      <c r="K167" s="67"/>
      <c r="L167" s="67"/>
      <c r="M167" s="67">
        <f>IF(K160,K172,IF(M160,M172,J167))</f>
        <v>1606.2809990623216</v>
      </c>
      <c r="N167" s="67"/>
      <c r="O167" s="67"/>
      <c r="P167" s="67">
        <f>IF(N160,N172,IF(P160,P172,M167))</f>
        <v>1606.2809990623216</v>
      </c>
      <c r="Q167" s="67"/>
      <c r="R167" s="67"/>
      <c r="S167" s="67">
        <f>IF(Q160,Q172,IF(S160,S172,P167))</f>
        <v>1631.0016019479319</v>
      </c>
      <c r="T167" s="67"/>
      <c r="U167" s="67"/>
      <c r="V167" s="67">
        <f>IF(T160,T172,IF(V160,V172,S167))</f>
        <v>1631.0016019479319</v>
      </c>
      <c r="W167" s="67"/>
      <c r="X167" s="67"/>
      <c r="Y167" s="67">
        <f>IF(W160,W172,IF(Y160,Y172,V167))</f>
        <v>1631.0016019479319</v>
      </c>
      <c r="Z167" s="67"/>
      <c r="AA167" s="67"/>
      <c r="AB167" s="67">
        <f>IF(Z160,Z172,IF(AB160,AB172,Y167))</f>
        <v>1628.6565056003758</v>
      </c>
      <c r="AC167" s="67"/>
      <c r="AD167" s="67"/>
      <c r="AE167" s="67">
        <f>IF(AC160,AC172,IF(AE160,AE172,AB167))</f>
        <v>1628.6565056003758</v>
      </c>
      <c r="AF167" s="4"/>
      <c r="AG167" s="4"/>
      <c r="AJ167" s="4"/>
      <c r="AL167" s="4"/>
      <c r="AM167" s="4"/>
      <c r="AN167" s="4"/>
      <c r="AO167" s="4"/>
      <c r="AT167" s="63" t="str">
        <f>B167</f>
        <v>Intense 13 Orange</v>
      </c>
      <c r="AU167" s="63">
        <f>AE167</f>
        <v>1628.6565056003758</v>
      </c>
      <c r="AW167" s="66"/>
      <c r="BB167" s="66"/>
    </row>
    <row r="168" spans="1:54" s="63" customFormat="1" hidden="1" x14ac:dyDescent="0.2">
      <c r="A168" s="67">
        <v>5</v>
      </c>
      <c r="B168" s="67" t="str">
        <f>E101</f>
        <v>SC Midlands 13 Garnet</v>
      </c>
      <c r="C168" s="67">
        <f>VLOOKUP(B168,AU$3:AY$12,3,FALSE)</f>
        <v>1511.9591340892896</v>
      </c>
      <c r="D168" s="67">
        <f>IF(B161,B172,IF(D161,D172,C168))</f>
        <v>1555.9272990541162</v>
      </c>
      <c r="E168" s="67"/>
      <c r="F168" s="67"/>
      <c r="G168" s="67">
        <f>IF(E161,E172,IF(G161,G172,D168))</f>
        <v>1555.9272990541162</v>
      </c>
      <c r="H168" s="67"/>
      <c r="I168" s="67"/>
      <c r="J168" s="67">
        <f>IF(H161,H172,IF(J161,J172,G168))</f>
        <v>1525.8386969737383</v>
      </c>
      <c r="K168" s="67"/>
      <c r="L168" s="67"/>
      <c r="M168" s="67">
        <f>IF(K161,K172,IF(M161,M172,J168))</f>
        <v>1525.8386969737383</v>
      </c>
      <c r="N168" s="67"/>
      <c r="O168" s="67"/>
      <c r="P168" s="67">
        <f>IF(N161,N172,IF(P161,P172,M168))</f>
        <v>1525.8386969737383</v>
      </c>
      <c r="Q168" s="67"/>
      <c r="R168" s="67"/>
      <c r="S168" s="67">
        <f>IF(Q161,Q172,IF(S161,S172,P168))</f>
        <v>1501.1180940881279</v>
      </c>
      <c r="T168" s="67"/>
      <c r="U168" s="67"/>
      <c r="V168" s="67">
        <f>IF(T161,T172,IF(V161,V172,S168))</f>
        <v>1501.1180940881279</v>
      </c>
      <c r="W168" s="67"/>
      <c r="X168" s="67"/>
      <c r="Y168" s="67">
        <f>IF(W161,W172,IF(Y161,Y172,V168))</f>
        <v>1480.4710782689231</v>
      </c>
      <c r="Z168" s="67"/>
      <c r="AA168" s="67"/>
      <c r="AB168" s="67">
        <f>IF(Z161,Z172,IF(AB161,AB172,Y168))</f>
        <v>1480.4710782689231</v>
      </c>
      <c r="AC168" s="67"/>
      <c r="AD168" s="67"/>
      <c r="AE168" s="67">
        <f>IF(AC161,AC172,IF(AE161,AE172,AB168))</f>
        <v>1480.4710782689231</v>
      </c>
      <c r="AF168" s="4"/>
      <c r="AG168" s="4"/>
      <c r="AJ168" s="4"/>
      <c r="AL168" s="4"/>
      <c r="AM168" s="4"/>
      <c r="AN168" s="4"/>
      <c r="AO168" s="4"/>
      <c r="AT168" s="63" t="str">
        <f>B168</f>
        <v>SC Midlands 13 Garnet</v>
      </c>
      <c r="AU168" s="63">
        <f>AE168</f>
        <v>1480.4710782689231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1648.5261762534274</v>
      </c>
      <c r="C170" s="67">
        <v>1</v>
      </c>
      <c r="D170" s="67">
        <f>VLOOKUP(D109,$A164:$AE168,3,FALSE)</f>
        <v>1511.9591340892896</v>
      </c>
      <c r="E170" s="67">
        <f>VLOOKUP(E109,$A164:$AE168,4,FALSE)</f>
        <v>1600</v>
      </c>
      <c r="F170" s="67">
        <v>2</v>
      </c>
      <c r="G170" s="67">
        <f>VLOOKUP(G109,$A164:$AE168,4,FALSE)</f>
        <v>1568.3090521625732</v>
      </c>
      <c r="H170" s="67">
        <f>VLOOKUP(H109,$A164:$AE168,7,FALSE)</f>
        <v>1576.7047718940707</v>
      </c>
      <c r="I170" s="67">
        <v>3</v>
      </c>
      <c r="J170" s="67">
        <f>VLOOKUP(J109,$A164:$AE168,7,FALSE)</f>
        <v>1555.9272990541162</v>
      </c>
      <c r="K170" s="67">
        <f>VLOOKUP(K109,$A164:$AE168,10,FALSE)</f>
        <v>1604.5580112886007</v>
      </c>
      <c r="L170" s="67">
        <v>4</v>
      </c>
      <c r="M170" s="67">
        <f>VLOOKUP(M109,$A164:$AE168,10,FALSE)</f>
        <v>1571.2198282743332</v>
      </c>
      <c r="N170" s="67">
        <f>VLOOKUP(N109,$A164:$AE168,13,FALSE)</f>
        <v>1597.08922388824</v>
      </c>
      <c r="O170" s="67">
        <v>5</v>
      </c>
      <c r="P170" s="67">
        <f>VLOOKUP(P109,$A164:$AE168,13,FALSE)</f>
        <v>1606.7933739744487</v>
      </c>
      <c r="Q170" s="67">
        <f>VLOOKUP(Q109,$A164:$AE168,16,FALSE)</f>
        <v>1606.2809990623216</v>
      </c>
      <c r="R170" s="67">
        <v>6</v>
      </c>
      <c r="S170" s="67">
        <f>VLOOKUP(S109,$A164:$AE168,16,FALSE)</f>
        <v>1525.8386969737383</v>
      </c>
      <c r="T170" s="67">
        <f>VLOOKUP(T109,$A164:$AE168,19,FALSE)</f>
        <v>1569.4968405006123</v>
      </c>
      <c r="U170" s="67">
        <v>7</v>
      </c>
      <c r="V170" s="67">
        <f>VLOOKUP(V109,$A164:$AE168,19,FALSE)</f>
        <v>1573.8998210713901</v>
      </c>
      <c r="W170" s="67">
        <f>VLOOKUP(W109,$A164:$AE168,22,FALSE)</f>
        <v>1629.9827767912986</v>
      </c>
      <c r="X170" s="67">
        <v>8</v>
      </c>
      <c r="Y170" s="67">
        <f>VLOOKUP(Y109,$A164:$AE168,22,FALSE)</f>
        <v>1501.1180940881279</v>
      </c>
      <c r="Z170" s="67">
        <f>VLOOKUP(Z109,$A164:$AE168,25,FALSE)</f>
        <v>1605.4943132822307</v>
      </c>
      <c r="AA170" s="67">
        <v>9</v>
      </c>
      <c r="AB170" s="67">
        <f>VLOOKUP(AB109,$A164:$AE168,25,FALSE)</f>
        <v>1631.0016019479319</v>
      </c>
      <c r="AC170" s="67">
        <f>VLOOKUP(AC109,$A164:$AE168,28,FALSE)</f>
        <v>1650.6297926105035</v>
      </c>
      <c r="AD170" s="67">
        <v>10</v>
      </c>
      <c r="AE170" s="67">
        <f>VLOOKUP(AE109,$A164:$AE168,28,FALSE)</f>
        <v>1537.9023482897717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1.3740051551508357</v>
      </c>
      <c r="C171" s="68"/>
      <c r="D171" s="68">
        <f>1/(1+(10^-((D170-B170)/400)))*(B121+D121)</f>
        <v>0.62599484484916434</v>
      </c>
      <c r="E171" s="68">
        <f>1/(1+(10^-((E170-G170)/400)))*(E121+G121)</f>
        <v>1.0909617534924974</v>
      </c>
      <c r="F171" s="68"/>
      <c r="G171" s="68">
        <f>1/(1+(10^-((G170-E170)/400)))*(E121+G121)</f>
        <v>0.90903824650750265</v>
      </c>
      <c r="H171" s="68">
        <f>1/(1+(10^-((H170-J170)/400)))*(H121+J121)</f>
        <v>1.0597311849881894</v>
      </c>
      <c r="I171" s="68"/>
      <c r="J171" s="68">
        <f>1/(1+(10^-((J170-H170)/400)))*(H121+J121)</f>
        <v>0.94026881501181059</v>
      </c>
      <c r="K171" s="68">
        <f>1/(1+(10^-((K170-M170)/400)))*(K121+M121)</f>
        <v>1.0956615871246396</v>
      </c>
      <c r="L171" s="68"/>
      <c r="M171" s="68">
        <f>1/(1+(10^-((M170-K170)/400)))*(K121+M121)</f>
        <v>0.90433841287536054</v>
      </c>
      <c r="N171" s="68">
        <f>1/(1+(10^-((N170-P170)/400)))*(N121+P121)</f>
        <v>0.97207647177941769</v>
      </c>
      <c r="O171" s="68"/>
      <c r="P171" s="68">
        <f>1/(1+(10^-((P170-N170)/400)))*(N121+P121)</f>
        <v>1.0279235282205821</v>
      </c>
      <c r="Q171" s="68">
        <f>1/(1+(10^-((Q170-S170)/400)))*(Q121+S121)</f>
        <v>1.2274811598246744</v>
      </c>
      <c r="R171" s="68"/>
      <c r="S171" s="68">
        <f>1/(1+(10^-((S170-Q170)/400)))*(Q121+S121)</f>
        <v>0.77251884017532568</v>
      </c>
      <c r="T171" s="68">
        <f>1/(1+(10^-((T170-V170)/400)))*(T121+V121)</f>
        <v>0.98732788158877027</v>
      </c>
      <c r="U171" s="68"/>
      <c r="V171" s="68">
        <f>1/(1+(10^-((V170-T170)/400)))*(T121+V121)</f>
        <v>1.0126721184112297</v>
      </c>
      <c r="W171" s="68">
        <f>1/(1+(10^-((W170-Y170)/400)))*(W121+Y121)</f>
        <v>1.3547807556498481</v>
      </c>
      <c r="X171" s="68"/>
      <c r="Y171" s="68">
        <f>1/(1+(10^-((Y170-W170)/400)))*(W121+Y121)</f>
        <v>0.64521924435015177</v>
      </c>
      <c r="Z171" s="68">
        <f>1/(1+(10^-((Z170-AB170)/400)))*(Z121+AB121)</f>
        <v>0.9267157391388724</v>
      </c>
      <c r="AA171" s="68"/>
      <c r="AB171" s="68">
        <f>1/(1+(10^-((AB170-Z170)/400)))*(Z121+AB121)</f>
        <v>1.0732842608611277</v>
      </c>
      <c r="AC171" s="68">
        <f>1/(1+(10^-((AC170-AE170)/400)))*(AC121+AE121)</f>
        <v>1.3135301838927638</v>
      </c>
      <c r="AD171" s="68"/>
      <c r="AE171" s="68">
        <f>1/(1+(10^-((AE170-AC170)/400)))*(AC121+AE121)</f>
        <v>0.68646981610723634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1604.5580112886007</v>
      </c>
      <c r="C172" s="74"/>
      <c r="D172" s="74">
        <f>D170+(D121-D171)*$BA$1</f>
        <v>1555.9272990541162</v>
      </c>
      <c r="E172" s="74">
        <f>E170+(E121-E171)*$BA$1</f>
        <v>1597.08922388824</v>
      </c>
      <c r="F172" s="74"/>
      <c r="G172" s="74">
        <f>G170+(G121-G171)*$BA$1</f>
        <v>1571.2198282743332</v>
      </c>
      <c r="H172" s="74">
        <f>H170+(H121-H171)*$BA$1</f>
        <v>1606.7933739744487</v>
      </c>
      <c r="I172" s="74"/>
      <c r="J172" s="74">
        <f>J170+(J121-J171)*$BA$1</f>
        <v>1525.8386969737383</v>
      </c>
      <c r="K172" s="74">
        <f>K170+(K121-K171)*$BA$1</f>
        <v>1569.4968405006123</v>
      </c>
      <c r="L172" s="74"/>
      <c r="M172" s="74">
        <f>M170+(M121-M171)*$BA$1</f>
        <v>1606.2809990623216</v>
      </c>
      <c r="N172" s="74">
        <f>N170+(N121-N171)*$BA$1</f>
        <v>1629.9827767912986</v>
      </c>
      <c r="O172" s="74"/>
      <c r="P172" s="74">
        <f>P170+(P121-P171)*$BA$1</f>
        <v>1573.8998210713901</v>
      </c>
      <c r="Q172" s="74">
        <f>Q170+(Q121-Q171)*$BA$1</f>
        <v>1631.0016019479319</v>
      </c>
      <c r="R172" s="74"/>
      <c r="S172" s="74">
        <f>S170+(S121-S171)*$BA$1</f>
        <v>1501.1180940881279</v>
      </c>
      <c r="T172" s="74">
        <f>T170+(T121-T171)*$BA$1</f>
        <v>1537.9023482897717</v>
      </c>
      <c r="U172" s="74"/>
      <c r="V172" s="74">
        <f>V170+(V121-V171)*$BA$1</f>
        <v>1605.4943132822307</v>
      </c>
      <c r="W172" s="74">
        <f>W170+(W121-W171)*$BA$1</f>
        <v>1650.6297926105035</v>
      </c>
      <c r="X172" s="74"/>
      <c r="Y172" s="74">
        <f>Y170+(Y121-Y171)*$BA$1</f>
        <v>1480.4710782689231</v>
      </c>
      <c r="Z172" s="74">
        <f>Z170+(Z121-Z171)*$BA$1</f>
        <v>1607.8394096297868</v>
      </c>
      <c r="AA172" s="74"/>
      <c r="AB172" s="74">
        <f>AB170+(AB121-AB171)*$BA$1</f>
        <v>1628.6565056003758</v>
      </c>
      <c r="AC172" s="74">
        <f>AC170+(AC121-AC171)*$BA$1</f>
        <v>1672.596826725935</v>
      </c>
      <c r="AD172" s="74"/>
      <c r="AE172" s="74">
        <f>AE170+(AE121-AE171)*$BA$1</f>
        <v>1515.9353141743402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  <c r="AW174" s="66"/>
    </row>
    <row r="175" spans="1:54" s="63" customFormat="1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W175" s="66"/>
    </row>
    <row r="176" spans="1:54" ht="21" thickBot="1" x14ac:dyDescent="0.35">
      <c r="A176" s="345" t="s">
        <v>120</v>
      </c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</row>
    <row r="177" spans="1:53" ht="13.5" thickBot="1" x14ac:dyDescent="0.25">
      <c r="A177" s="346" t="s">
        <v>121</v>
      </c>
      <c r="B177" s="348" t="s">
        <v>122</v>
      </c>
      <c r="C177" s="349"/>
      <c r="D177" s="349"/>
      <c r="E177" s="349"/>
      <c r="F177" s="349"/>
      <c r="G177" s="349"/>
      <c r="H177" s="349"/>
      <c r="I177" s="349"/>
      <c r="J177" s="349"/>
      <c r="K177" s="350"/>
      <c r="L177" s="348" t="s">
        <v>123</v>
      </c>
      <c r="M177" s="349"/>
      <c r="N177" s="349"/>
      <c r="O177" s="349"/>
      <c r="P177" s="349"/>
      <c r="Q177" s="349"/>
      <c r="R177" s="349"/>
      <c r="S177" s="349"/>
      <c r="T177" s="349"/>
      <c r="U177" s="350"/>
      <c r="V177" s="348" t="s">
        <v>124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348" t="s">
        <v>125</v>
      </c>
      <c r="AG177" s="349"/>
      <c r="AH177" s="349"/>
      <c r="AI177" s="349"/>
      <c r="AJ177" s="349"/>
      <c r="AK177" s="349"/>
      <c r="AL177" s="349"/>
      <c r="AM177" s="349"/>
      <c r="AN177" s="349"/>
      <c r="AO177" s="350"/>
    </row>
    <row r="178" spans="1:53" ht="13.5" thickBot="1" x14ac:dyDescent="0.25">
      <c r="A178" s="347"/>
      <c r="B178" s="354" t="s">
        <v>10</v>
      </c>
      <c r="C178" s="355"/>
      <c r="D178" s="355"/>
      <c r="E178" s="355"/>
      <c r="F178" s="355"/>
      <c r="G178" s="356"/>
      <c r="H178" s="354" t="s">
        <v>126</v>
      </c>
      <c r="I178" s="355"/>
      <c r="J178" s="355"/>
      <c r="K178" s="356"/>
      <c r="L178" s="354" t="s">
        <v>10</v>
      </c>
      <c r="M178" s="355"/>
      <c r="N178" s="355"/>
      <c r="O178" s="355"/>
      <c r="P178" s="355"/>
      <c r="Q178" s="356"/>
      <c r="R178" s="354" t="s">
        <v>126</v>
      </c>
      <c r="S178" s="355"/>
      <c r="T178" s="355"/>
      <c r="U178" s="356"/>
      <c r="V178" s="354" t="s">
        <v>10</v>
      </c>
      <c r="W178" s="355"/>
      <c r="X178" s="355"/>
      <c r="Y178" s="355"/>
      <c r="Z178" s="355"/>
      <c r="AA178" s="356"/>
      <c r="AB178" s="354" t="s">
        <v>126</v>
      </c>
      <c r="AC178" s="355"/>
      <c r="AD178" s="355"/>
      <c r="AE178" s="356"/>
      <c r="AF178" s="354" t="s">
        <v>10</v>
      </c>
      <c r="AG178" s="355"/>
      <c r="AH178" s="355"/>
      <c r="AI178" s="355"/>
      <c r="AJ178" s="355"/>
      <c r="AK178" s="356"/>
      <c r="AL178" s="354" t="s">
        <v>126</v>
      </c>
      <c r="AM178" s="355"/>
      <c r="AN178" s="355"/>
      <c r="AO178" s="356"/>
    </row>
    <row r="179" spans="1:53" x14ac:dyDescent="0.2">
      <c r="A179" s="82" t="s">
        <v>127</v>
      </c>
      <c r="B179" s="412" t="str">
        <f>IF($AF$8=1,$E$8,IF($AF$10=1,$E$10,IF($AF$12=1,$E$12,IF($AF$14=1,$E$14,IF($AF$16=1,$E$16,"1st Place "&amp;$A179)))))</f>
        <v>LAVA 13-ANNA</v>
      </c>
      <c r="C179" s="413"/>
      <c r="D179" s="413"/>
      <c r="E179" s="413"/>
      <c r="F179" s="413"/>
      <c r="G179" s="413"/>
      <c r="H179" s="414" t="str">
        <f>IF($AF$8=1,$E$9,IF($AF$10=1,$E$11,IF($AF$12=1,$E$13,IF($AF$14=1,$E$15,IF($AF$16=1,$E$17,"1st Place "&amp;$A179)))))</f>
        <v>fj3lavaf3cr</v>
      </c>
      <c r="I179" s="414"/>
      <c r="J179" s="414"/>
      <c r="K179" s="415"/>
      <c r="L179" s="412" t="str">
        <f>IF($AF$8=2,$E$8,IF($AF$10=2,$E$10,IF($AF$12=2,$E$12,IF($AF$14=2,$E$14,IF($AF$16=2,$E$16,"2nd Place "&amp;$A179)))))</f>
        <v>Palm Strikers 12 Platinum</v>
      </c>
      <c r="M179" s="413"/>
      <c r="N179" s="413"/>
      <c r="O179" s="413"/>
      <c r="P179" s="413"/>
      <c r="Q179" s="413"/>
      <c r="R179" s="414" t="str">
        <f>IF($AF$8=2,$E$9,IF($AF$10=2,$E$11,IF($AF$12=2,$E$13,IF($AF$14=2,$E$15,IF($AF$16=2,$E$17,"2nd Place "&amp;$A179)))))</f>
        <v>fj2pstri1pm</v>
      </c>
      <c r="S179" s="414"/>
      <c r="T179" s="414"/>
      <c r="U179" s="415"/>
      <c r="V179" s="412" t="str">
        <f>IF($AF$8=3,$E$8,IF($AF$10=3,$E$10,IF($AF$12=3,$E$12,IF($AF$14=3,$E$14,IF($AF$16=3,$E$16,"3rd Place "&amp;$A179)))))</f>
        <v>PRV 13U Brittany</v>
      </c>
      <c r="W179" s="413"/>
      <c r="X179" s="413"/>
      <c r="Y179" s="413"/>
      <c r="Z179" s="413"/>
      <c r="AA179" s="413"/>
      <c r="AB179" s="414" t="str">
        <f>IF($AF$8=3,$E$9,IF($AF$10=3,$E$11,IF($AF$12=3,$E$13,IF($AF$14=3,$E$15,IF($AF$16=3,$E$17,"3rd Place "&amp;$A179)))))</f>
        <v>FJ3PRAGE1PM</v>
      </c>
      <c r="AC179" s="414"/>
      <c r="AD179" s="414"/>
      <c r="AE179" s="415"/>
      <c r="AF179" s="412" t="str">
        <f>IF($AF$8=4,$E$8,IF($AF$10=4,$E$10,IF($AF$12=4,$E$12,IF($AF$14=4,$E$14,IF($AF$16=4,$E$16,"4th Place "&amp;$A179)))))</f>
        <v>CSRA Heat 13 Black</v>
      </c>
      <c r="AG179" s="413"/>
      <c r="AH179" s="413"/>
      <c r="AI179" s="413"/>
      <c r="AJ179" s="413"/>
      <c r="AK179" s="413"/>
      <c r="AL179" s="414" t="str">
        <f>IF($AF$8=4,$E$9,IF($AF$10=4,$E$11,IF($AF$12=4,$E$13,IF($AF$14=4,$E$15,IF($AF$16=4,$E$17,"4th Place "&amp;$A179)))))</f>
        <v>fj3csrah2pm</v>
      </c>
      <c r="AM179" s="414"/>
      <c r="AN179" s="414"/>
      <c r="AO179" s="415"/>
    </row>
    <row r="180" spans="1:53" ht="13.5" thickBot="1" x14ac:dyDescent="0.25">
      <c r="A180" s="83" t="s">
        <v>128</v>
      </c>
      <c r="B180" s="416" t="str">
        <f>IF($AF$93=1,$E$93,IF($AF$95=1,$E$95,IF($AF$97=1,$E$97,IF($AF$99=1,$E$99,IF($AF$101=1,$E$101,"1st Place "&amp;$A180)))))</f>
        <v>Gaston Galaxy VBC 13</v>
      </c>
      <c r="C180" s="417"/>
      <c r="D180" s="417"/>
      <c r="E180" s="417"/>
      <c r="F180" s="417"/>
      <c r="G180" s="417"/>
      <c r="H180" s="418" t="str">
        <f>IF($AF$93=1,$E$94,IF($AF$95=1,$E$96,IF($AF$97=1,$E$98,IF($AF$99=1,$E$100,IF($AF$101=1,$E$102,"1st Place "&amp;$A180)))))</f>
        <v>fj3galxy1cr</v>
      </c>
      <c r="I180" s="418"/>
      <c r="J180" s="418"/>
      <c r="K180" s="419"/>
      <c r="L180" s="416" t="str">
        <f>IF($AF$93=2,$E$93,IF($AF$95=2,$E$95,IF($AF$97=2,$E$97,IF($AF$99=2,$E$99,IF($AF$101=2,$E$101,"2nd Place "&amp;$A180)))))</f>
        <v>Intense 13 Orange</v>
      </c>
      <c r="M180" s="417"/>
      <c r="N180" s="417"/>
      <c r="O180" s="417"/>
      <c r="P180" s="417"/>
      <c r="Q180" s="417"/>
      <c r="R180" s="418" t="str">
        <f>IF($AF$93=2,$E$94,IF($AF$95=2,$E$96,IF($AF$97=2,$E$98,IF($AF$99=2,$E$100,IF($AF$101=2,$E$102,"2nd Place "&amp;$A180)))))</f>
        <v>fj3inten2pm</v>
      </c>
      <c r="S180" s="418"/>
      <c r="T180" s="418"/>
      <c r="U180" s="419"/>
      <c r="V180" s="416" t="str">
        <f>IF($AF$93=3,$E$93,IF($AF$95=3,$E$95,IF($AF$97=3,$E$97,IF($AF$99=3,$E$99,IF($AF$101=3,$E$101,"3rd Place "&amp;$A180)))))</f>
        <v>MBVC 13 Red Teresa</v>
      </c>
      <c r="W180" s="417"/>
      <c r="X180" s="417"/>
      <c r="Y180" s="417"/>
      <c r="Z180" s="417"/>
      <c r="AA180" s="417"/>
      <c r="AB180" s="418" t="str">
        <f>IF($AF$93=3,$E$94,IF($AF$95=3,$E$96,IF($AF$97=3,$E$98,IF($AF$99=3,$E$100,IF($AF$101=3,$E$102,"3rd Place "&amp;$A180)))))</f>
        <v>fj3mbeac2pm</v>
      </c>
      <c r="AC180" s="418"/>
      <c r="AD180" s="418"/>
      <c r="AE180" s="419"/>
      <c r="AF180" s="416" t="str">
        <f>IF($AF$93=4,$E$93,IF($AF$95=4,$E$95,IF($AF$97=4,$E$97,IF($AF$99=4,$E$99,IF($AF$101=4,$E$101,"4th Place "&amp;$A180)))))</f>
        <v>SC Midlands 13 Garnet</v>
      </c>
      <c r="AG180" s="417"/>
      <c r="AH180" s="417"/>
      <c r="AI180" s="417"/>
      <c r="AJ180" s="417"/>
      <c r="AK180" s="417"/>
      <c r="AL180" s="418" t="str">
        <f>IF($AF$93=4,$E$94,IF($AF$95=4,$E$96,IF($AF$97=4,$E$98,IF($AF$99=4,$E$100,IF($AF$101=4,$E$102,"4th Place "&amp;$A180)))))</f>
        <v>fj3scmid3pm</v>
      </c>
      <c r="AM180" s="418"/>
      <c r="AN180" s="418"/>
      <c r="AO180" s="41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W181" s="130"/>
      <c r="AX181" s="4"/>
      <c r="AY181" s="4"/>
      <c r="AZ181" s="4"/>
      <c r="BA181" s="4"/>
    </row>
    <row r="182" spans="1:53" ht="15.75" x14ac:dyDescent="0.25">
      <c r="A182" s="426" t="s">
        <v>129</v>
      </c>
      <c r="B182" s="426"/>
      <c r="C182" s="426"/>
      <c r="D182" s="426"/>
      <c r="E182" s="426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T182" s="86"/>
      <c r="AU182" s="86"/>
      <c r="AV182" s="86"/>
    </row>
    <row r="183" spans="1:53" ht="14.25" x14ac:dyDescent="0.2">
      <c r="A183" s="427" t="s">
        <v>130</v>
      </c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</row>
    <row r="184" spans="1:53" x14ac:dyDescent="0.2">
      <c r="A184" s="428" t="s">
        <v>131</v>
      </c>
      <c r="B184" s="428"/>
      <c r="C184" s="428"/>
      <c r="D184" s="428"/>
      <c r="E184" s="428"/>
      <c r="F184" s="428"/>
      <c r="G184" s="428"/>
      <c r="H184" s="428"/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53" x14ac:dyDescent="0.2">
      <c r="A185" s="428"/>
      <c r="B185" s="428"/>
      <c r="C185" s="428"/>
      <c r="D185" s="428"/>
      <c r="E185" s="428"/>
      <c r="F185" s="428"/>
      <c r="G185" s="428"/>
      <c r="H185" s="428"/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53" x14ac:dyDescent="0.2">
      <c r="A186" s="429" t="s">
        <v>132</v>
      </c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330" t="s">
        <v>133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130"/>
      <c r="R188" s="330" t="s">
        <v>134</v>
      </c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</row>
    <row r="190" spans="1:53" ht="13.5" thickBot="1" x14ac:dyDescent="0.25">
      <c r="A190" s="420" t="str">
        <f>IF(B218=1,B210,IF(B218=2,B211,IF(B218=3,B212,IF(B218=4,B213,IF(OR(B218="B",B218="b"),"BYE","invalid")))))</f>
        <v>LAVA 13-ANNA</v>
      </c>
      <c r="B190" s="420"/>
      <c r="C190" s="420"/>
      <c r="D190" s="420"/>
      <c r="E190" s="420"/>
      <c r="F190" s="88"/>
      <c r="G190" s="88"/>
      <c r="H190" s="88"/>
      <c r="I190" s="88"/>
      <c r="J190" s="88"/>
      <c r="K190" s="88"/>
      <c r="L190" s="88"/>
      <c r="M190" s="88"/>
      <c r="N190" s="88"/>
      <c r="S190" s="131"/>
      <c r="T190" s="131"/>
      <c r="U190" s="420" t="str">
        <f>IF(W218=1,X210,IF(W218=2,X211,IF(W218=3,X212,IF(W218=4,X213,IF(OR(W218="B",W218="b"),"BYE","invalid")))))</f>
        <v>PRV 13U Brittany</v>
      </c>
      <c r="V190" s="420"/>
      <c r="W190" s="420"/>
      <c r="X190" s="420"/>
      <c r="Y190" s="420"/>
      <c r="Z190" s="420"/>
      <c r="AA190" s="420"/>
      <c r="AB190" s="88"/>
      <c r="AC190" s="88"/>
      <c r="AD190" s="88"/>
      <c r="AE190" s="88"/>
    </row>
    <row r="191" spans="1:53" x14ac:dyDescent="0.2">
      <c r="A191" s="421" t="s">
        <v>135</v>
      </c>
      <c r="B191" s="421"/>
      <c r="C191" s="421"/>
      <c r="D191" s="421"/>
      <c r="E191" s="421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422" t="s">
        <v>136</v>
      </c>
      <c r="V191" s="422"/>
      <c r="W191" s="422"/>
      <c r="X191" s="422"/>
      <c r="Y191" s="422"/>
      <c r="Z191" s="422"/>
      <c r="AA191" s="423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422" t="str">
        <f>B212&amp;" ref"</f>
        <v>Palm Strikers 12 Platinum ref</v>
      </c>
      <c r="B193" s="422"/>
      <c r="C193" s="422"/>
      <c r="D193" s="422"/>
      <c r="E193" s="423"/>
      <c r="F193" s="424" t="str">
        <f>IF(H218=1,B210,IF(H218=2,B211,IF(H218=3,B212,IF(H218=4,B213,"Winner Match 1"))))</f>
        <v>LAVA 13-ANNA</v>
      </c>
      <c r="G193" s="425"/>
      <c r="H193" s="425"/>
      <c r="I193" s="425"/>
      <c r="J193" s="425"/>
      <c r="K193" s="425"/>
      <c r="L193" s="425"/>
      <c r="M193" s="425"/>
      <c r="N193" s="88"/>
      <c r="P193" s="93"/>
      <c r="Q193" s="93"/>
      <c r="R193" s="93"/>
      <c r="S193" s="93"/>
      <c r="T193" s="422" t="str">
        <f>X212&amp;" ref"</f>
        <v>CSRA Heat 13 Black ref</v>
      </c>
      <c r="U193" s="422"/>
      <c r="V193" s="422"/>
      <c r="W193" s="422"/>
      <c r="X193" s="422"/>
      <c r="Y193" s="422"/>
      <c r="Z193" s="422"/>
      <c r="AA193" s="423"/>
      <c r="AB193" s="424" t="str">
        <f>IF(AC218=1,X210,IF(AC218=2,X211,IF(AC218=3,X212,IF(AC218=4,X213,"Winner Match 1"))))</f>
        <v>PRV 13U Brittany</v>
      </c>
      <c r="AC193" s="425"/>
      <c r="AD193" s="425"/>
      <c r="AE193" s="425"/>
      <c r="AF193" s="425"/>
      <c r="AG193" s="425"/>
      <c r="AH193" s="425"/>
    </row>
    <row r="194" spans="1:53" x14ac:dyDescent="0.2">
      <c r="A194" s="434" t="s">
        <v>137</v>
      </c>
      <c r="B194" s="434"/>
      <c r="C194" s="434"/>
      <c r="D194" s="434"/>
      <c r="E194" s="434"/>
      <c r="F194" s="435"/>
      <c r="G194" s="436"/>
      <c r="H194" s="436"/>
      <c r="I194" s="437"/>
      <c r="J194" s="438"/>
      <c r="K194" s="439"/>
      <c r="L194" s="439"/>
      <c r="M194" s="439"/>
      <c r="N194" s="88"/>
      <c r="O194" s="88"/>
      <c r="P194" s="94"/>
      <c r="Q194" s="6"/>
      <c r="R194" s="95"/>
      <c r="S194" s="95"/>
      <c r="T194" s="440" t="s">
        <v>138</v>
      </c>
      <c r="U194" s="440"/>
      <c r="V194" s="440"/>
      <c r="W194" s="440"/>
      <c r="X194" s="440"/>
      <c r="Y194" s="440"/>
      <c r="Z194" s="440"/>
      <c r="AA194" s="92"/>
      <c r="AB194" s="435"/>
      <c r="AC194" s="436"/>
      <c r="AD194" s="436"/>
      <c r="AE194" s="437"/>
      <c r="AF194" s="438"/>
      <c r="AG194" s="439"/>
      <c r="AH194" s="439"/>
    </row>
    <row r="195" spans="1:53" ht="13.5" thickBot="1" x14ac:dyDescent="0.25">
      <c r="A195" s="420" t="str">
        <f>IF(D218=1,B210,IF(D218=2,B211,IF(D218=3,B212,IF(D218=4,B213,IF(OR(D218="B",D218="b"),"BYE","invalid")))))</f>
        <v>Intense 13 Orange</v>
      </c>
      <c r="B195" s="420"/>
      <c r="C195" s="420"/>
      <c r="D195" s="420"/>
      <c r="E195" s="430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420" t="str">
        <f>IF(Y218=1,X210,IF(Y218=2,X211,IF(Y218=3,X212,IF(Y218=4,X213,IF(OR(Y218="B",Y218="b"),"BYE","invalid")))))</f>
        <v>SC Midlands 13 Garnet</v>
      </c>
      <c r="V195" s="420"/>
      <c r="W195" s="420"/>
      <c r="X195" s="420"/>
      <c r="Y195" s="420"/>
      <c r="Z195" s="420"/>
      <c r="AA195" s="430"/>
      <c r="AB195" s="88"/>
      <c r="AC195" s="88"/>
      <c r="AD195" s="88"/>
      <c r="AE195" s="92"/>
      <c r="AF195" s="88"/>
      <c r="AG195" s="88"/>
    </row>
    <row r="196" spans="1:53" x14ac:dyDescent="0.2">
      <c r="A196" s="421" t="s">
        <v>139</v>
      </c>
      <c r="B196" s="421"/>
      <c r="C196" s="421"/>
      <c r="D196" s="421"/>
      <c r="E196" s="421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431" t="s">
        <v>140</v>
      </c>
      <c r="V196" s="431"/>
      <c r="W196" s="431"/>
      <c r="X196" s="431"/>
      <c r="Y196" s="431"/>
      <c r="Z196" s="431"/>
      <c r="AA196" s="431"/>
      <c r="AB196" s="88"/>
      <c r="AC196" s="88"/>
      <c r="AD196" s="88"/>
      <c r="AE196" s="92"/>
      <c r="AF196" s="88"/>
      <c r="AG196" s="88"/>
      <c r="AQ196" s="96"/>
      <c r="AR196" s="96"/>
      <c r="AS196" s="96"/>
    </row>
    <row r="197" spans="1:53" x14ac:dyDescent="0.2">
      <c r="A197" s="88"/>
      <c r="B197" s="88"/>
      <c r="C197" s="88"/>
      <c r="D197" s="88"/>
      <c r="E197" s="88"/>
      <c r="F197" s="432" t="s">
        <v>141</v>
      </c>
      <c r="G197" s="432"/>
      <c r="H197" s="432"/>
      <c r="I197" s="433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432" t="s">
        <v>141</v>
      </c>
      <c r="AC197" s="432"/>
      <c r="AD197" s="432"/>
      <c r="AE197" s="433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445" t="str">
        <f>IF(K223=1,B210,IF(K223=2,B211,IF(K223=3,B212,IF(K223=4,B213,"Division Winner"))))</f>
        <v>LAVA 13-ANNA</v>
      </c>
      <c r="K198" s="446"/>
      <c r="L198" s="446"/>
      <c r="M198" s="446"/>
      <c r="N198" s="446"/>
      <c r="O198" s="446"/>
      <c r="P198" s="446"/>
      <c r="Q198" s="131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446" t="str">
        <f>IF(AF223=1,X210,IF(AF223=2,X211,IF(AF223=3,X212,IF(AF223=4,X213,"Division Winner"))))</f>
        <v>MBVC 13 Red Teresa</v>
      </c>
      <c r="AG198" s="446"/>
      <c r="AH198" s="446"/>
      <c r="AI198" s="446"/>
      <c r="AJ198" s="446"/>
      <c r="AK198" s="98"/>
    </row>
    <row r="199" spans="1:53" ht="13.5" thickBot="1" x14ac:dyDescent="0.25">
      <c r="A199" s="420" t="str">
        <f>IF(E218=1,B210,IF(E218=2,B211,IF(E218=3,B212,IF(E218=4,B213,IF(OR(E218="B",E218="b"),"BYE","invalid")))))</f>
        <v>Gaston Galaxy VBC 13</v>
      </c>
      <c r="B199" s="420"/>
      <c r="C199" s="420"/>
      <c r="D199" s="420"/>
      <c r="E199" s="420"/>
      <c r="F199" s="434" t="s">
        <v>142</v>
      </c>
      <c r="G199" s="434"/>
      <c r="H199" s="434"/>
      <c r="I199" s="434"/>
      <c r="J199" s="441" t="s">
        <v>143</v>
      </c>
      <c r="K199" s="432"/>
      <c r="L199" s="432"/>
      <c r="M199" s="432"/>
      <c r="N199" s="432"/>
      <c r="O199" s="432"/>
      <c r="P199" s="432"/>
      <c r="R199" s="98"/>
      <c r="S199" s="98"/>
      <c r="T199" s="98"/>
      <c r="U199" s="420" t="str">
        <f>IF(Z218=1,X210,IF(Z218=2,X211,IF(Z218=3,X212,IF(Z218=4,X213,IF(OR(Z218="B",Z218="b"),"BYE","invalid")))))</f>
        <v>MBVC 13 Red Teresa</v>
      </c>
      <c r="V199" s="420"/>
      <c r="W199" s="420"/>
      <c r="X199" s="420"/>
      <c r="Y199" s="420"/>
      <c r="Z199" s="420"/>
      <c r="AA199" s="420"/>
      <c r="AB199" s="434" t="s">
        <v>144</v>
      </c>
      <c r="AC199" s="434"/>
      <c r="AD199" s="434"/>
      <c r="AE199" s="447"/>
      <c r="AF199" s="448" t="s">
        <v>145</v>
      </c>
      <c r="AG199" s="449"/>
      <c r="AH199" s="449"/>
      <c r="AI199" s="449"/>
      <c r="AJ199" s="449"/>
    </row>
    <row r="200" spans="1:53" x14ac:dyDescent="0.2">
      <c r="A200" s="421" t="s">
        <v>146</v>
      </c>
      <c r="B200" s="421"/>
      <c r="C200" s="421"/>
      <c r="D200" s="421"/>
      <c r="E200" s="421"/>
      <c r="F200" s="90"/>
      <c r="G200" s="88"/>
      <c r="H200" s="88"/>
      <c r="I200" s="88"/>
      <c r="J200" s="441"/>
      <c r="K200" s="432"/>
      <c r="L200" s="432"/>
      <c r="M200" s="432"/>
      <c r="N200" s="432"/>
      <c r="O200" s="432"/>
      <c r="P200" s="432"/>
      <c r="Q200" s="88"/>
      <c r="R200" s="96"/>
      <c r="S200" s="96"/>
      <c r="T200" s="96"/>
      <c r="U200" s="422" t="s">
        <v>147</v>
      </c>
      <c r="V200" s="422"/>
      <c r="W200" s="422"/>
      <c r="X200" s="422"/>
      <c r="Y200" s="422"/>
      <c r="Z200" s="422"/>
      <c r="AA200" s="423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W201" s="58"/>
      <c r="AX201" s="55"/>
      <c r="AY201" s="55"/>
      <c r="AZ201" s="55"/>
      <c r="BA201" s="55"/>
    </row>
    <row r="202" spans="1:53" ht="13.5" thickBot="1" x14ac:dyDescent="0.25">
      <c r="A202" s="432" t="s">
        <v>148</v>
      </c>
      <c r="B202" s="432"/>
      <c r="C202" s="432"/>
      <c r="D202" s="432"/>
      <c r="E202" s="94"/>
      <c r="F202" s="442"/>
      <c r="G202" s="443"/>
      <c r="H202" s="443"/>
      <c r="I202" s="444"/>
      <c r="J202" s="438"/>
      <c r="K202" s="439"/>
      <c r="L202" s="439"/>
      <c r="M202" s="439"/>
      <c r="N202" s="88"/>
      <c r="Q202" s="93"/>
      <c r="R202" s="93"/>
      <c r="S202" s="93"/>
      <c r="T202" s="432" t="s">
        <v>148</v>
      </c>
      <c r="U202" s="432"/>
      <c r="V202" s="432"/>
      <c r="W202" s="432"/>
      <c r="X202" s="432"/>
      <c r="Y202" s="432"/>
      <c r="Z202" s="432"/>
      <c r="AA202" s="88"/>
      <c r="AB202" s="442"/>
      <c r="AC202" s="443"/>
      <c r="AD202" s="443"/>
      <c r="AE202" s="444"/>
      <c r="AF202" s="438"/>
      <c r="AG202" s="439"/>
      <c r="AH202" s="439"/>
      <c r="AW202" s="58"/>
      <c r="AX202" s="55"/>
      <c r="AY202" s="55"/>
      <c r="AZ202" s="55"/>
      <c r="BA202" s="55"/>
    </row>
    <row r="203" spans="1:53" x14ac:dyDescent="0.2">
      <c r="A203" s="434" t="s">
        <v>137</v>
      </c>
      <c r="B203" s="434"/>
      <c r="C203" s="434"/>
      <c r="D203" s="434"/>
      <c r="E203" s="447"/>
      <c r="F203" s="424" t="str">
        <f>IF(J218=1,B210,IF(J218=2,B211,IF(J218=3,B212,IF(J218=4,B213,"Winner Match 2"))))</f>
        <v>Palm Strikers 12 Platinum</v>
      </c>
      <c r="G203" s="425"/>
      <c r="H203" s="425"/>
      <c r="I203" s="425"/>
      <c r="J203" s="425"/>
      <c r="K203" s="425"/>
      <c r="L203" s="425"/>
      <c r="M203" s="425"/>
      <c r="N203" s="88"/>
      <c r="P203" s="94"/>
      <c r="Q203" s="94"/>
      <c r="S203" s="95"/>
      <c r="T203" s="434" t="s">
        <v>138</v>
      </c>
      <c r="U203" s="434"/>
      <c r="V203" s="434"/>
      <c r="W203" s="434"/>
      <c r="X203" s="434"/>
      <c r="Y203" s="434"/>
      <c r="Z203" s="434"/>
      <c r="AA203" s="92"/>
      <c r="AB203" s="424" t="str">
        <f>IF(AE218=1,X210,IF(AE218=2,X211,IF(AE218=3,X212,IF(AE218=4,X213,"Winner Match 2"))))</f>
        <v>MBVC 13 Red Teresa</v>
      </c>
      <c r="AC203" s="425"/>
      <c r="AD203" s="425"/>
      <c r="AE203" s="425"/>
      <c r="AF203" s="425"/>
      <c r="AG203" s="425"/>
      <c r="AH203" s="425"/>
      <c r="AW203" s="58"/>
      <c r="AX203" s="55"/>
      <c r="AY203" s="55"/>
      <c r="AZ203" s="55"/>
      <c r="BA203" s="55"/>
    </row>
    <row r="204" spans="1:53" ht="13.5" thickBot="1" x14ac:dyDescent="0.25">
      <c r="A204" s="420" t="str">
        <f>IF(G218=1,B210,IF(G218=2,B211,IF(G218=3,B212,IF(G218=4,B213,IF(OR(G218="B",G218="b"),"BYE","invalid")))))</f>
        <v>Palm Strikers 12 Platinum</v>
      </c>
      <c r="B204" s="420"/>
      <c r="C204" s="420"/>
      <c r="D204" s="420"/>
      <c r="E204" s="430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420" t="str">
        <f>IF(AB218=1,X210,IF(AB218=2,X211,IF(AB218=3,X212,IF(AB218=4,X213,IF(OR(AB218="B",AB218="b"),"BYE","invalid")))))</f>
        <v>CSRA Heat 13 Black</v>
      </c>
      <c r="V204" s="420"/>
      <c r="W204" s="420"/>
      <c r="X204" s="420"/>
      <c r="Y204" s="420"/>
      <c r="Z204" s="420"/>
      <c r="AA204" s="430"/>
      <c r="AB204" s="88"/>
      <c r="AC204" s="88"/>
      <c r="AD204" s="88"/>
      <c r="AE204" s="88"/>
      <c r="AW204" s="58"/>
      <c r="AX204" s="55"/>
      <c r="AY204" s="55"/>
      <c r="AZ204" s="55"/>
      <c r="BA204" s="55"/>
    </row>
    <row r="205" spans="1:53" x14ac:dyDescent="0.2">
      <c r="A205" s="421" t="s">
        <v>149</v>
      </c>
      <c r="B205" s="421"/>
      <c r="C205" s="421"/>
      <c r="D205" s="421"/>
      <c r="E205" s="421"/>
      <c r="S205" s="96"/>
      <c r="T205" s="96"/>
      <c r="U205" s="422" t="s">
        <v>150</v>
      </c>
      <c r="V205" s="422"/>
      <c r="W205" s="422"/>
      <c r="X205" s="422"/>
      <c r="Y205" s="422"/>
      <c r="Z205" s="422"/>
      <c r="AA205" s="422"/>
      <c r="AW205" s="58"/>
      <c r="AX205" s="55"/>
      <c r="AY205" s="55"/>
      <c r="AZ205" s="55"/>
      <c r="BA205" s="55"/>
    </row>
    <row r="206" spans="1:53" x14ac:dyDescent="0.2">
      <c r="AT206" s="55"/>
      <c r="AU206" s="55"/>
      <c r="AV206" s="55"/>
      <c r="AW206" s="58"/>
      <c r="AX206" s="55"/>
      <c r="AY206" s="55"/>
      <c r="AZ206" s="55"/>
      <c r="BA206" s="55"/>
    </row>
    <row r="207" spans="1:53" x14ac:dyDescent="0.2">
      <c r="AT207" s="55"/>
      <c r="AU207" s="55"/>
      <c r="AV207" s="55"/>
      <c r="AW207" s="58"/>
      <c r="AX207" s="55"/>
      <c r="AY207" s="55"/>
      <c r="AZ207" s="55"/>
      <c r="BA207" s="55"/>
    </row>
    <row r="208" spans="1:53" ht="16.5" thickBot="1" x14ac:dyDescent="0.3">
      <c r="A208" s="450" t="s">
        <v>151</v>
      </c>
      <c r="B208" s="450"/>
      <c r="C208" s="450"/>
      <c r="D208" s="450"/>
      <c r="E208" s="450"/>
      <c r="F208" s="450"/>
      <c r="G208" s="450"/>
      <c r="H208" s="450"/>
      <c r="I208" s="450"/>
      <c r="J208" s="450"/>
      <c r="Q208" s="100"/>
      <c r="R208" s="100"/>
      <c r="S208" s="100"/>
      <c r="U208" s="450" t="s">
        <v>152</v>
      </c>
      <c r="V208" s="450"/>
      <c r="W208" s="450"/>
      <c r="X208" s="450"/>
      <c r="Y208" s="450"/>
      <c r="Z208" s="450"/>
      <c r="AA208" s="450"/>
      <c r="AB208" s="450"/>
      <c r="AC208" s="450"/>
      <c r="AD208" s="450"/>
      <c r="AE208" s="450"/>
      <c r="AF208" s="450"/>
      <c r="AT208" s="55"/>
      <c r="AU208" s="55"/>
      <c r="AV208" s="55"/>
      <c r="AW208" s="58"/>
      <c r="AX208" s="55"/>
      <c r="AY208" s="55"/>
      <c r="AZ208" s="55"/>
      <c r="BA208" s="55"/>
    </row>
    <row r="209" spans="1:53" ht="13.5" thickBot="1" x14ac:dyDescent="0.25">
      <c r="A209" s="101" t="s">
        <v>153</v>
      </c>
      <c r="B209" s="451" t="s">
        <v>154</v>
      </c>
      <c r="C209" s="452"/>
      <c r="D209" s="452"/>
      <c r="E209" s="452"/>
      <c r="F209" s="452"/>
      <c r="G209" s="452"/>
      <c r="H209" s="452"/>
      <c r="I209" s="452"/>
      <c r="J209" s="453"/>
      <c r="K209" s="454" t="s">
        <v>155</v>
      </c>
      <c r="L209" s="455"/>
      <c r="M209" s="455"/>
      <c r="N209" s="455"/>
      <c r="O209" s="455"/>
      <c r="P209" s="455"/>
      <c r="Q209" s="456"/>
      <c r="U209" s="457" t="s">
        <v>153</v>
      </c>
      <c r="V209" s="458"/>
      <c r="W209" s="459"/>
      <c r="X209" s="451" t="s">
        <v>154</v>
      </c>
      <c r="Y209" s="452"/>
      <c r="Z209" s="452"/>
      <c r="AA209" s="452"/>
      <c r="AB209" s="452"/>
      <c r="AC209" s="452"/>
      <c r="AD209" s="452"/>
      <c r="AE209" s="452"/>
      <c r="AF209" s="453"/>
      <c r="AG209" s="454" t="s">
        <v>155</v>
      </c>
      <c r="AH209" s="455"/>
      <c r="AI209" s="455"/>
      <c r="AJ209" s="455"/>
      <c r="AK209" s="455"/>
      <c r="AL209" s="455"/>
      <c r="AM209" s="456"/>
      <c r="AT209" s="55"/>
      <c r="AU209" s="55"/>
      <c r="AV209" s="55"/>
      <c r="AW209" s="58"/>
      <c r="AX209" s="55"/>
      <c r="AY209" s="55"/>
      <c r="AZ209" s="55"/>
      <c r="BA209" s="55"/>
    </row>
    <row r="210" spans="1:53" ht="13.5" thickBot="1" x14ac:dyDescent="0.25">
      <c r="A210" s="101">
        <v>1</v>
      </c>
      <c r="B210" s="460" t="str">
        <f>B179</f>
        <v>LAVA 13-ANNA</v>
      </c>
      <c r="C210" s="461"/>
      <c r="D210" s="461"/>
      <c r="E210" s="461"/>
      <c r="F210" s="461"/>
      <c r="G210" s="461"/>
      <c r="H210" s="461"/>
      <c r="I210" s="461"/>
      <c r="J210" s="462"/>
      <c r="K210" s="463" t="str">
        <f>H179</f>
        <v>fj3lavaf3cr</v>
      </c>
      <c r="L210" s="464"/>
      <c r="M210" s="464"/>
      <c r="N210" s="464"/>
      <c r="O210" s="464"/>
      <c r="P210" s="464"/>
      <c r="Q210" s="465"/>
      <c r="U210" s="457">
        <v>1</v>
      </c>
      <c r="V210" s="458"/>
      <c r="W210" s="459"/>
      <c r="X210" s="460" t="str">
        <f>V179</f>
        <v>PRV 13U Brittany</v>
      </c>
      <c r="Y210" s="461"/>
      <c r="Z210" s="461"/>
      <c r="AA210" s="461"/>
      <c r="AB210" s="461"/>
      <c r="AC210" s="461"/>
      <c r="AD210" s="461"/>
      <c r="AE210" s="461"/>
      <c r="AF210" s="462"/>
      <c r="AG210" s="463" t="str">
        <f>AB179</f>
        <v>FJ3PRAGE1PM</v>
      </c>
      <c r="AH210" s="464"/>
      <c r="AI210" s="464"/>
      <c r="AJ210" s="464"/>
      <c r="AK210" s="464"/>
      <c r="AL210" s="464"/>
      <c r="AM210" s="465"/>
      <c r="AT210" s="55"/>
      <c r="AU210" s="55"/>
      <c r="AV210" s="55"/>
      <c r="AW210" s="58"/>
      <c r="AX210" s="55"/>
      <c r="AY210" s="55"/>
      <c r="AZ210" s="55"/>
      <c r="BA210" s="55"/>
    </row>
    <row r="211" spans="1:53" ht="13.5" thickBot="1" x14ac:dyDescent="0.25">
      <c r="A211" s="101">
        <v>2</v>
      </c>
      <c r="B211" s="460" t="str">
        <f>B180</f>
        <v>Gaston Galaxy VBC 13</v>
      </c>
      <c r="C211" s="461"/>
      <c r="D211" s="461"/>
      <c r="E211" s="461"/>
      <c r="F211" s="461"/>
      <c r="G211" s="461"/>
      <c r="H211" s="461"/>
      <c r="I211" s="461"/>
      <c r="J211" s="462"/>
      <c r="K211" s="463" t="str">
        <f>H180</f>
        <v>fj3galxy1cr</v>
      </c>
      <c r="L211" s="464"/>
      <c r="M211" s="464"/>
      <c r="N211" s="464"/>
      <c r="O211" s="464"/>
      <c r="P211" s="464"/>
      <c r="Q211" s="465"/>
      <c r="U211" s="457">
        <v>2</v>
      </c>
      <c r="V211" s="458"/>
      <c r="W211" s="459"/>
      <c r="X211" s="460" t="str">
        <f>V180</f>
        <v>MBVC 13 Red Teresa</v>
      </c>
      <c r="Y211" s="461"/>
      <c r="Z211" s="461"/>
      <c r="AA211" s="461"/>
      <c r="AB211" s="461"/>
      <c r="AC211" s="461"/>
      <c r="AD211" s="461"/>
      <c r="AE211" s="461"/>
      <c r="AF211" s="462"/>
      <c r="AG211" s="463" t="str">
        <f>AB180</f>
        <v>fj3mbeac2pm</v>
      </c>
      <c r="AH211" s="464"/>
      <c r="AI211" s="464"/>
      <c r="AJ211" s="464"/>
      <c r="AK211" s="464"/>
      <c r="AL211" s="464"/>
      <c r="AM211" s="465"/>
      <c r="AT211" s="55"/>
      <c r="AU211" s="55"/>
      <c r="AV211" s="55"/>
      <c r="AW211" s="58"/>
      <c r="AX211" s="55"/>
      <c r="AY211" s="55"/>
      <c r="AZ211" s="55"/>
      <c r="BA211" s="55"/>
    </row>
    <row r="212" spans="1:53" ht="13.5" thickBot="1" x14ac:dyDescent="0.25">
      <c r="A212" s="101">
        <v>3</v>
      </c>
      <c r="B212" s="460" t="str">
        <f>L179</f>
        <v>Palm Strikers 12 Platinum</v>
      </c>
      <c r="C212" s="461"/>
      <c r="D212" s="461"/>
      <c r="E212" s="461"/>
      <c r="F212" s="461"/>
      <c r="G212" s="461"/>
      <c r="H212" s="461"/>
      <c r="I212" s="461"/>
      <c r="J212" s="462"/>
      <c r="K212" s="463" t="str">
        <f>R179</f>
        <v>fj2pstri1pm</v>
      </c>
      <c r="L212" s="464"/>
      <c r="M212" s="464"/>
      <c r="N212" s="464"/>
      <c r="O212" s="464"/>
      <c r="P212" s="464"/>
      <c r="Q212" s="465"/>
      <c r="U212" s="457">
        <v>3</v>
      </c>
      <c r="V212" s="458"/>
      <c r="W212" s="459"/>
      <c r="X212" s="460" t="str">
        <f>AF179</f>
        <v>CSRA Heat 13 Black</v>
      </c>
      <c r="Y212" s="461"/>
      <c r="Z212" s="461"/>
      <c r="AA212" s="461"/>
      <c r="AB212" s="461"/>
      <c r="AC212" s="461"/>
      <c r="AD212" s="461"/>
      <c r="AE212" s="461"/>
      <c r="AF212" s="462"/>
      <c r="AG212" s="463" t="str">
        <f>AL179</f>
        <v>fj3csrah2pm</v>
      </c>
      <c r="AH212" s="464"/>
      <c r="AI212" s="464"/>
      <c r="AJ212" s="464"/>
      <c r="AK212" s="464"/>
      <c r="AL212" s="464"/>
      <c r="AM212" s="465"/>
      <c r="AT212" s="55"/>
      <c r="AU212" s="55"/>
      <c r="AV212" s="55"/>
      <c r="AW212" s="58"/>
      <c r="AX212" s="55"/>
      <c r="AY212" s="55"/>
      <c r="AZ212" s="55"/>
      <c r="BA212" s="55"/>
    </row>
    <row r="213" spans="1:53" ht="13.5" thickBot="1" x14ac:dyDescent="0.25">
      <c r="A213" s="101">
        <v>4</v>
      </c>
      <c r="B213" s="460" t="str">
        <f>L180</f>
        <v>Intense 13 Orange</v>
      </c>
      <c r="C213" s="461"/>
      <c r="D213" s="461"/>
      <c r="E213" s="461"/>
      <c r="F213" s="461"/>
      <c r="G213" s="461"/>
      <c r="H213" s="461"/>
      <c r="I213" s="461"/>
      <c r="J213" s="462"/>
      <c r="K213" s="463" t="str">
        <f>R180</f>
        <v>fj3inten2pm</v>
      </c>
      <c r="L213" s="464"/>
      <c r="M213" s="464"/>
      <c r="N213" s="464"/>
      <c r="O213" s="464"/>
      <c r="P213" s="464"/>
      <c r="Q213" s="465"/>
      <c r="U213" s="457">
        <v>4</v>
      </c>
      <c r="V213" s="458"/>
      <c r="W213" s="459"/>
      <c r="X213" s="460" t="str">
        <f>AF180</f>
        <v>SC Midlands 13 Garnet</v>
      </c>
      <c r="Y213" s="461"/>
      <c r="Z213" s="461"/>
      <c r="AA213" s="461"/>
      <c r="AB213" s="461"/>
      <c r="AC213" s="461"/>
      <c r="AD213" s="461"/>
      <c r="AE213" s="461"/>
      <c r="AF213" s="462"/>
      <c r="AG213" s="463" t="str">
        <f>AL180</f>
        <v>fj3scmid3pm</v>
      </c>
      <c r="AH213" s="464"/>
      <c r="AI213" s="464"/>
      <c r="AJ213" s="464"/>
      <c r="AK213" s="464"/>
      <c r="AL213" s="464"/>
      <c r="AM213" s="465"/>
      <c r="AT213" s="55"/>
      <c r="AU213" s="55"/>
      <c r="AV213" s="55"/>
      <c r="AW213" s="58"/>
      <c r="AX213" s="55"/>
      <c r="AY213" s="55"/>
      <c r="AZ213" s="55"/>
      <c r="BA213" s="55"/>
    </row>
    <row r="214" spans="1:53" ht="13.5" thickBot="1" x14ac:dyDescent="0.25">
      <c r="AT214" s="55"/>
      <c r="AU214" s="55"/>
      <c r="AV214" s="55"/>
      <c r="AW214" s="58"/>
      <c r="AX214" s="55"/>
      <c r="AY214" s="55"/>
      <c r="AZ214" s="55"/>
      <c r="BA214" s="55"/>
    </row>
    <row r="215" spans="1:53" x14ac:dyDescent="0.2">
      <c r="B215" s="466" t="s">
        <v>156</v>
      </c>
      <c r="C215" s="467"/>
      <c r="D215" s="468"/>
      <c r="E215" s="469" t="s">
        <v>156</v>
      </c>
      <c r="F215" s="467"/>
      <c r="G215" s="468"/>
      <c r="H215" s="469" t="s">
        <v>14</v>
      </c>
      <c r="I215" s="467"/>
      <c r="J215" s="470"/>
      <c r="K215" s="471" t="s">
        <v>157</v>
      </c>
      <c r="L215" s="472"/>
      <c r="M215" s="472"/>
      <c r="N215" s="472"/>
      <c r="O215" s="472"/>
      <c r="P215" s="472"/>
      <c r="Q215" s="473"/>
      <c r="R215" s="102"/>
      <c r="S215" s="102"/>
      <c r="T215" s="102"/>
      <c r="U215" s="102"/>
      <c r="W215" s="466" t="s">
        <v>156</v>
      </c>
      <c r="X215" s="467"/>
      <c r="Y215" s="468"/>
      <c r="Z215" s="469" t="s">
        <v>156</v>
      </c>
      <c r="AA215" s="467"/>
      <c r="AB215" s="468"/>
      <c r="AC215" s="469" t="s">
        <v>14</v>
      </c>
      <c r="AD215" s="467"/>
      <c r="AE215" s="470"/>
      <c r="AF215" s="471" t="s">
        <v>157</v>
      </c>
      <c r="AG215" s="480"/>
      <c r="AH215" s="480"/>
      <c r="AI215" s="480"/>
      <c r="AJ215" s="481"/>
      <c r="AW215" s="58"/>
      <c r="AX215" s="55"/>
      <c r="AY215" s="55"/>
      <c r="AZ215" s="55"/>
      <c r="BA215" s="55"/>
    </row>
    <row r="216" spans="1:53" x14ac:dyDescent="0.2">
      <c r="A216" s="41" t="s">
        <v>158</v>
      </c>
      <c r="B216" s="488">
        <v>3</v>
      </c>
      <c r="C216" s="489"/>
      <c r="D216" s="490"/>
      <c r="E216" s="491" t="s">
        <v>159</v>
      </c>
      <c r="F216" s="489"/>
      <c r="G216" s="490"/>
      <c r="H216" s="491" t="s">
        <v>160</v>
      </c>
      <c r="I216" s="489"/>
      <c r="J216" s="492"/>
      <c r="K216" s="474"/>
      <c r="L216" s="475"/>
      <c r="M216" s="475"/>
      <c r="N216" s="475"/>
      <c r="O216" s="475"/>
      <c r="P216" s="475"/>
      <c r="Q216" s="476"/>
      <c r="R216" s="102"/>
      <c r="S216" s="102"/>
      <c r="T216" s="493" t="s">
        <v>158</v>
      </c>
      <c r="U216" s="493"/>
      <c r="V216" s="494"/>
      <c r="W216" s="488">
        <v>3</v>
      </c>
      <c r="X216" s="489"/>
      <c r="Y216" s="490"/>
      <c r="Z216" s="491" t="s">
        <v>159</v>
      </c>
      <c r="AA216" s="489"/>
      <c r="AB216" s="490"/>
      <c r="AC216" s="491" t="s">
        <v>160</v>
      </c>
      <c r="AD216" s="489"/>
      <c r="AE216" s="492"/>
      <c r="AF216" s="482"/>
      <c r="AG216" s="483"/>
      <c r="AH216" s="483"/>
      <c r="AI216" s="483"/>
      <c r="AJ216" s="484"/>
      <c r="AW216" s="58"/>
      <c r="AX216" s="55"/>
      <c r="AY216" s="55"/>
      <c r="AZ216" s="55"/>
      <c r="BA216" s="55"/>
    </row>
    <row r="217" spans="1:53" ht="13.5" thickBot="1" x14ac:dyDescent="0.25">
      <c r="A217" s="7"/>
      <c r="B217" s="501" t="s">
        <v>70</v>
      </c>
      <c r="C217" s="323"/>
      <c r="D217" s="324"/>
      <c r="E217" s="322" t="s">
        <v>161</v>
      </c>
      <c r="F217" s="323"/>
      <c r="G217" s="324"/>
      <c r="H217" s="322" t="s">
        <v>162</v>
      </c>
      <c r="I217" s="323"/>
      <c r="J217" s="495"/>
      <c r="K217" s="477"/>
      <c r="L217" s="478"/>
      <c r="M217" s="478"/>
      <c r="N217" s="478"/>
      <c r="O217" s="478"/>
      <c r="P217" s="478"/>
      <c r="Q217" s="479"/>
      <c r="R217" s="102"/>
      <c r="S217" s="102"/>
      <c r="T217" s="499"/>
      <c r="U217" s="499"/>
      <c r="V217" s="500"/>
      <c r="W217" s="501" t="s">
        <v>70</v>
      </c>
      <c r="X217" s="323"/>
      <c r="Y217" s="324"/>
      <c r="Z217" s="322" t="s">
        <v>161</v>
      </c>
      <c r="AA217" s="323"/>
      <c r="AB217" s="324"/>
      <c r="AC217" s="322" t="s">
        <v>162</v>
      </c>
      <c r="AD217" s="323"/>
      <c r="AE217" s="495"/>
      <c r="AF217" s="485"/>
      <c r="AG217" s="486"/>
      <c r="AH217" s="486"/>
      <c r="AI217" s="486"/>
      <c r="AJ217" s="487"/>
      <c r="AW217" s="58"/>
      <c r="AX217" s="55"/>
      <c r="AY217" s="55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1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3</v>
      </c>
      <c r="K218" s="496" t="s">
        <v>163</v>
      </c>
      <c r="L218" s="497"/>
      <c r="M218" s="497"/>
      <c r="N218" s="498"/>
      <c r="R218" s="102"/>
      <c r="S218" s="102"/>
      <c r="T218" s="499"/>
      <c r="U218" s="499"/>
      <c r="V218" s="500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1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2</v>
      </c>
      <c r="AF218" s="496" t="s">
        <v>163</v>
      </c>
      <c r="AG218" s="498"/>
      <c r="AH218" s="102"/>
      <c r="AI218" s="102"/>
      <c r="AJ218" s="102"/>
      <c r="AW218" s="58"/>
      <c r="AX218" s="55"/>
      <c r="AY218" s="55"/>
      <c r="AZ218" s="55"/>
      <c r="BA218" s="55"/>
    </row>
    <row r="219" spans="1:53" ht="13.5" hidden="1" customHeight="1" x14ac:dyDescent="0.2">
      <c r="A219" s="7"/>
      <c r="B219" s="110">
        <f>IF(B223&gt;D223,1,0)</f>
        <v>1</v>
      </c>
      <c r="C219" s="111"/>
      <c r="D219" s="112">
        <f>IF(D223&gt;B223,1,0)</f>
        <v>0</v>
      </c>
      <c r="E219" s="110">
        <f>IF(E223&gt;G223,1,0)</f>
        <v>0</v>
      </c>
      <c r="F219" s="111"/>
      <c r="G219" s="112">
        <f>IF(G223&gt;E223,1,0)</f>
        <v>1</v>
      </c>
      <c r="H219" s="110">
        <f>IF(H223&gt;J223,1,0)</f>
        <v>1</v>
      </c>
      <c r="I219" s="111"/>
      <c r="J219" s="112">
        <f>IF(J223&gt;H223,1,0)</f>
        <v>0</v>
      </c>
      <c r="K219" s="113"/>
      <c r="L219" s="114"/>
      <c r="M219" s="114"/>
      <c r="N219" s="115"/>
      <c r="R219" s="102"/>
      <c r="S219" s="102"/>
      <c r="T219" s="499"/>
      <c r="U219" s="499"/>
      <c r="V219" s="500"/>
      <c r="W219" s="110">
        <f>IF(W223&gt;Y223,1,0)</f>
        <v>1</v>
      </c>
      <c r="X219" s="111"/>
      <c r="Y219" s="112">
        <f>IF(Y223&gt;W223,1,0)</f>
        <v>0</v>
      </c>
      <c r="Z219" s="110">
        <f>IF(Z223&gt;AB223,1,0)</f>
        <v>1</v>
      </c>
      <c r="AA219" s="111"/>
      <c r="AB219" s="112">
        <f>IF(AB223&gt;Z223,1,0)</f>
        <v>0</v>
      </c>
      <c r="AC219" s="110">
        <f>IF(AC223&gt;AE223,1,0)</f>
        <v>1</v>
      </c>
      <c r="AD219" s="111"/>
      <c r="AE219" s="112">
        <f>IF(AE223&gt;AC223,1,0)</f>
        <v>0</v>
      </c>
      <c r="AF219" s="116"/>
      <c r="AG219" s="117"/>
      <c r="AH219" s="102"/>
      <c r="AI219" s="102"/>
      <c r="AJ219" s="102"/>
      <c r="AW219" s="58"/>
      <c r="AX219" s="55"/>
      <c r="AY219" s="55"/>
      <c r="AZ219" s="55"/>
      <c r="BA219" s="55"/>
    </row>
    <row r="220" spans="1:53" ht="13.5" hidden="1" customHeight="1" x14ac:dyDescent="0.2">
      <c r="A220" s="7"/>
      <c r="B220" s="110">
        <f>IF(B224&gt;D224,1,0)</f>
        <v>1</v>
      </c>
      <c r="C220" s="111"/>
      <c r="D220" s="112">
        <f>IF(D224&gt;B224,1,0)</f>
        <v>0</v>
      </c>
      <c r="E220" s="110">
        <f>IF(E224&gt;G224,1,0)</f>
        <v>0</v>
      </c>
      <c r="F220" s="111"/>
      <c r="G220" s="112">
        <f>IF(G224&gt;E224,1,0)</f>
        <v>1</v>
      </c>
      <c r="H220" s="110">
        <f>IF(H224&gt;J224,1,0)</f>
        <v>1</v>
      </c>
      <c r="I220" s="111"/>
      <c r="J220" s="112">
        <f>IF(J224&gt;H224,1,0)</f>
        <v>0</v>
      </c>
      <c r="K220" s="113"/>
      <c r="L220" s="114"/>
      <c r="M220" s="114"/>
      <c r="N220" s="115"/>
      <c r="R220" s="102"/>
      <c r="S220" s="102"/>
      <c r="T220" s="499"/>
      <c r="U220" s="499"/>
      <c r="V220" s="500"/>
      <c r="W220" s="110">
        <f>IF(W224&gt;Y224,1,0)</f>
        <v>1</v>
      </c>
      <c r="X220" s="111"/>
      <c r="Y220" s="112">
        <f>IF(Y224&gt;W224,1,0)</f>
        <v>0</v>
      </c>
      <c r="Z220" s="110">
        <f>IF(Z224&gt;AB224,1,0)</f>
        <v>1</v>
      </c>
      <c r="AA220" s="111"/>
      <c r="AB220" s="112">
        <f>IF(AB224&gt;Z224,1,0)</f>
        <v>0</v>
      </c>
      <c r="AC220" s="110">
        <f>IF(AC224&gt;AE224,1,0)</f>
        <v>0</v>
      </c>
      <c r="AD220" s="111"/>
      <c r="AE220" s="112">
        <f>IF(AE224&gt;AC224,1,0)</f>
        <v>1</v>
      </c>
      <c r="AF220" s="116"/>
      <c r="AG220" s="117"/>
      <c r="AH220" s="102"/>
      <c r="AI220" s="102"/>
      <c r="AJ220" s="102"/>
      <c r="AW220" s="58"/>
      <c r="AX220" s="55"/>
      <c r="AY220" s="55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0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0</v>
      </c>
      <c r="K221" s="113"/>
      <c r="L221" s="114"/>
      <c r="M221" s="114"/>
      <c r="N221" s="115"/>
      <c r="R221" s="102"/>
      <c r="S221" s="102"/>
      <c r="T221" s="499"/>
      <c r="U221" s="499"/>
      <c r="V221" s="500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0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1</v>
      </c>
      <c r="AF221" s="116"/>
      <c r="AG221" s="117"/>
      <c r="AH221" s="102"/>
      <c r="AI221" s="102"/>
      <c r="AJ221" s="102"/>
      <c r="AW221" s="58"/>
      <c r="AX221" s="55"/>
      <c r="AY221" s="55"/>
      <c r="AZ221" s="55"/>
      <c r="BA221" s="55"/>
    </row>
    <row r="222" spans="1:53" ht="13.5" hidden="1" customHeight="1" x14ac:dyDescent="0.2">
      <c r="A222" s="7"/>
      <c r="B222" s="110">
        <f>SUM(B219:B221)</f>
        <v>2</v>
      </c>
      <c r="C222" s="111"/>
      <c r="D222" s="110">
        <f>SUM(D219:D221)</f>
        <v>0</v>
      </c>
      <c r="E222" s="110">
        <f>SUM(E219:E221)</f>
        <v>0</v>
      </c>
      <c r="F222" s="111"/>
      <c r="G222" s="110">
        <f>SUM(G219:G221)</f>
        <v>2</v>
      </c>
      <c r="H222" s="110">
        <f>SUM(H219:H221)</f>
        <v>2</v>
      </c>
      <c r="I222" s="111"/>
      <c r="J222" s="110">
        <f>SUM(J219:J221)</f>
        <v>0</v>
      </c>
      <c r="K222" s="113"/>
      <c r="L222" s="114"/>
      <c r="M222" s="114"/>
      <c r="N222" s="115"/>
      <c r="R222" s="102"/>
      <c r="S222" s="102"/>
      <c r="T222" s="499"/>
      <c r="U222" s="499"/>
      <c r="V222" s="500"/>
      <c r="W222" s="110">
        <f>SUM(W219:W221)</f>
        <v>2</v>
      </c>
      <c r="X222" s="111"/>
      <c r="Y222" s="110">
        <f>SUM(Y219:Y221)</f>
        <v>0</v>
      </c>
      <c r="Z222" s="110">
        <f>SUM(Z219:Z221)</f>
        <v>2</v>
      </c>
      <c r="AA222" s="111"/>
      <c r="AB222" s="110">
        <f>SUM(AB219:AB221)</f>
        <v>0</v>
      </c>
      <c r="AC222" s="110">
        <f>SUM(AC219:AC221)</f>
        <v>1</v>
      </c>
      <c r="AD222" s="111"/>
      <c r="AE222" s="110">
        <f>SUM(AE219:AE221)</f>
        <v>2</v>
      </c>
      <c r="AF222" s="116"/>
      <c r="AG222" s="117"/>
      <c r="AH222" s="102"/>
      <c r="AI222" s="102"/>
      <c r="AJ222" s="102"/>
      <c r="AW222" s="58"/>
      <c r="AX222" s="55"/>
      <c r="AY222" s="55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8</v>
      </c>
      <c r="E223" s="120">
        <v>21</v>
      </c>
      <c r="F223" s="50" t="s">
        <v>80</v>
      </c>
      <c r="G223" s="119">
        <v>25</v>
      </c>
      <c r="H223" s="120">
        <v>25</v>
      </c>
      <c r="I223" s="50" t="s">
        <v>80</v>
      </c>
      <c r="J223" s="121">
        <v>15</v>
      </c>
      <c r="K223" s="504">
        <f>IF(AND(OR(H222&gt;0,J222&gt;0),AND(1&lt;=H218,H218&lt;=4),AND(1&lt;=J218,J218&lt;=4)),IF(H222&gt;J222,H218,IF(J222&gt;H222,J218,"")),"")</f>
        <v>1</v>
      </c>
      <c r="L223" s="505"/>
      <c r="M223" s="505"/>
      <c r="N223" s="506"/>
      <c r="R223" s="102"/>
      <c r="S223" s="102"/>
      <c r="T223" s="122"/>
      <c r="U223" s="122"/>
      <c r="V223" s="5" t="s">
        <v>79</v>
      </c>
      <c r="W223" s="118">
        <v>25</v>
      </c>
      <c r="X223" s="50" t="s">
        <v>80</v>
      </c>
      <c r="Y223" s="119">
        <v>17</v>
      </c>
      <c r="Z223" s="120">
        <v>25</v>
      </c>
      <c r="AA223" s="50" t="s">
        <v>80</v>
      </c>
      <c r="AB223" s="119">
        <v>17</v>
      </c>
      <c r="AC223" s="120">
        <v>25</v>
      </c>
      <c r="AD223" s="50" t="s">
        <v>80</v>
      </c>
      <c r="AE223" s="121">
        <v>23</v>
      </c>
      <c r="AF223" s="504">
        <f>IF(AND(OR(AC222&gt;0,AE222&gt;0),AND(1&lt;=AC218,AC218&lt;=4),AND(1&lt;=AE218,AE218&lt;=4)),IF(AC222&gt;AE222,AC218,IF(AE222&gt;AC222,AE218,"")),"")</f>
        <v>2</v>
      </c>
      <c r="AG223" s="506"/>
      <c r="AH223" s="102"/>
      <c r="AI223" s="102"/>
      <c r="AJ223" s="102"/>
      <c r="AW223" s="58"/>
      <c r="AX223" s="55"/>
      <c r="AY223" s="55"/>
      <c r="AZ223" s="55"/>
      <c r="BA223" s="55"/>
    </row>
    <row r="224" spans="1:53" ht="12.75" customHeight="1" x14ac:dyDescent="0.2">
      <c r="A224" s="5" t="s">
        <v>164</v>
      </c>
      <c r="B224" s="118">
        <v>25</v>
      </c>
      <c r="C224" s="50" t="s">
        <v>80</v>
      </c>
      <c r="D224" s="119">
        <v>14</v>
      </c>
      <c r="E224" s="120">
        <v>15</v>
      </c>
      <c r="F224" s="50" t="s">
        <v>80</v>
      </c>
      <c r="G224" s="119">
        <v>25</v>
      </c>
      <c r="H224" s="120">
        <v>25</v>
      </c>
      <c r="I224" s="50" t="s">
        <v>80</v>
      </c>
      <c r="J224" s="121">
        <v>15</v>
      </c>
      <c r="K224" s="507"/>
      <c r="L224" s="508"/>
      <c r="M224" s="508"/>
      <c r="N224" s="509"/>
      <c r="R224" s="102"/>
      <c r="S224" s="102"/>
      <c r="T224" s="122"/>
      <c r="U224" s="122"/>
      <c r="V224" s="5" t="s">
        <v>164</v>
      </c>
      <c r="W224" s="118">
        <v>25</v>
      </c>
      <c r="X224" s="50" t="s">
        <v>80</v>
      </c>
      <c r="Y224" s="119">
        <v>15</v>
      </c>
      <c r="Z224" s="120">
        <v>25</v>
      </c>
      <c r="AA224" s="50" t="s">
        <v>80</v>
      </c>
      <c r="AB224" s="119">
        <v>21</v>
      </c>
      <c r="AC224" s="120">
        <v>15</v>
      </c>
      <c r="AD224" s="50" t="s">
        <v>80</v>
      </c>
      <c r="AE224" s="121">
        <v>25</v>
      </c>
      <c r="AF224" s="507"/>
      <c r="AG224" s="509"/>
      <c r="AH224" s="102"/>
      <c r="AI224" s="102"/>
      <c r="AJ224" s="102"/>
      <c r="AW224" s="58"/>
      <c r="AX224" s="55"/>
      <c r="AY224" s="55"/>
      <c r="AZ224" s="55"/>
      <c r="BA224" s="55"/>
    </row>
    <row r="225" spans="1:77" ht="13.5" customHeight="1" thickBot="1" x14ac:dyDescent="0.25">
      <c r="A225" s="5" t="s">
        <v>165</v>
      </c>
      <c r="B225" s="123"/>
      <c r="C225" s="124" t="s">
        <v>80</v>
      </c>
      <c r="D225" s="125"/>
      <c r="E225" s="126"/>
      <c r="F225" s="124" t="s">
        <v>80</v>
      </c>
      <c r="G225" s="125"/>
      <c r="H225" s="126"/>
      <c r="I225" s="124" t="s">
        <v>80</v>
      </c>
      <c r="J225" s="127"/>
      <c r="K225" s="510"/>
      <c r="L225" s="511"/>
      <c r="M225" s="511"/>
      <c r="N225" s="512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/>
      <c r="AA225" s="124" t="s">
        <v>80</v>
      </c>
      <c r="AB225" s="125"/>
      <c r="AC225" s="126">
        <v>13</v>
      </c>
      <c r="AD225" s="124" t="s">
        <v>80</v>
      </c>
      <c r="AE225" s="127">
        <v>15</v>
      </c>
      <c r="AF225" s="510"/>
      <c r="AG225" s="512"/>
      <c r="AH225" s="102"/>
      <c r="AI225" s="102"/>
      <c r="AJ225" s="102"/>
      <c r="AW225" s="58"/>
      <c r="AX225" s="55"/>
      <c r="AY225" s="55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LAVA 13-ANNA</v>
      </c>
      <c r="AU226" s="4">
        <f>J227</f>
        <v>1733.815637065888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LAVA 13-ANNA</v>
      </c>
      <c r="C227" s="4">
        <f>VLOOKUP(B227,AU$2:AY$22,4,FALSE)</f>
        <v>1705.0590948093995</v>
      </c>
      <c r="D227" s="4">
        <f>IF(A227=B218,B233,IF(A227=D218,D233,C227))</f>
        <v>1717.5962648349328</v>
      </c>
      <c r="G227" s="4">
        <f>IF(A227=E218,E233,IF(A227=G218,G233,D227))</f>
        <v>1717.5962648349328</v>
      </c>
      <c r="J227" s="4">
        <f>IF(A227=H218,H233,IF(A227=J218,J233,G227))</f>
        <v>1733.815637065888</v>
      </c>
      <c r="U227" s="129"/>
      <c r="V227" s="129">
        <v>1</v>
      </c>
      <c r="W227" s="4" t="str">
        <f>X210</f>
        <v>PRV 13U Brittany</v>
      </c>
      <c r="X227" s="4">
        <f>VLOOKUP(W227,AU$2:AY$22,4,FALSE)</f>
        <v>1532.475398790076</v>
      </c>
      <c r="Y227" s="4">
        <f>IF(V227=W218,W233,IF(V227=Y218,Y233,X227))</f>
        <v>1546.0982376973868</v>
      </c>
      <c r="AB227" s="4">
        <f>IF(V227=Z218,Z233,IF(V227=AB218,AB233,Y227))</f>
        <v>1546.0982376973868</v>
      </c>
      <c r="AE227" s="4">
        <f>IF(V227=AC218,AC233,IF(V227=AE218,AE233,AB227))</f>
        <v>1543.1249027046999</v>
      </c>
      <c r="AT227" s="4" t="str">
        <f>B228</f>
        <v>Gaston Galaxy VBC 13</v>
      </c>
      <c r="AU227" s="4">
        <f>J228</f>
        <v>1658.2208637871806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Gaston Galaxy VBC 13</v>
      </c>
      <c r="C228" s="4">
        <f>VLOOKUP(B228,AU$2:AY$22,4,FALSE)</f>
        <v>1672.596826725935</v>
      </c>
      <c r="D228" s="4">
        <f>IF(A228=B218,B233,IF(A228=D218,D233,C228))</f>
        <v>1672.596826725935</v>
      </c>
      <c r="G228" s="4">
        <f>IF(A228=E218,E233,IF(A228=G218,G233,D228))</f>
        <v>1658.2208637871806</v>
      </c>
      <c r="J228" s="4">
        <f>IF(A228=H218,H233,IF(A228=J218,J233,G228))</f>
        <v>1658.2208637871806</v>
      </c>
      <c r="U228" s="129"/>
      <c r="V228" s="129">
        <v>2</v>
      </c>
      <c r="W228" s="4" t="str">
        <f>X211</f>
        <v>MBVC 13 Red Teresa</v>
      </c>
      <c r="X228" s="4">
        <f>VLOOKUP(W228,AU$2:AY$22,4,FALSE)</f>
        <v>1607.8394096297868</v>
      </c>
      <c r="Y228" s="4">
        <f>IF(V228=W218,W233,IF(V228=Y218,Y233,X228))</f>
        <v>1607.8394096297868</v>
      </c>
      <c r="AB228" s="4">
        <f>IF(V228=Z218,Z233,IF(V228=AB218,AB233,Y228))</f>
        <v>1619.9596241564066</v>
      </c>
      <c r="AE228" s="4">
        <f>IF(V228=AC218,AC233,IF(V228=AE218,AE233,AB228))</f>
        <v>1622.9329591490934</v>
      </c>
      <c r="AT228" s="4" t="str">
        <f>B229</f>
        <v>Palm Strikers 12 Platinum</v>
      </c>
      <c r="AU228" s="4">
        <f>J229</f>
        <v>1706.1407986026627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Palm Strikers 12 Platinum</v>
      </c>
      <c r="C229" s="4">
        <f>VLOOKUP(B229,AU$2:AY$22,4,FALSE)</f>
        <v>1707.9842078948636</v>
      </c>
      <c r="D229" s="4">
        <f>IF(A229=B218,B233,IF(A229=D218,D233,C229))</f>
        <v>1707.9842078948636</v>
      </c>
      <c r="G229" s="4">
        <f>IF(A229=E218,E233,IF(A229=G218,G233,D229))</f>
        <v>1722.360170833618</v>
      </c>
      <c r="J229" s="4">
        <f>IF(A229=H218,H233,IF(A229=J218,J233,G229))</f>
        <v>1706.1407986026627</v>
      </c>
      <c r="U229" s="129"/>
      <c r="V229" s="129">
        <v>3</v>
      </c>
      <c r="W229" s="4" t="str">
        <f>X212</f>
        <v>CSRA Heat 13 Black</v>
      </c>
      <c r="X229" s="4">
        <f>VLOOKUP(W229,AU$2:AY$22,4,FALSE)</f>
        <v>1521.8788549649144</v>
      </c>
      <c r="Y229" s="4">
        <f>IF(V229=W218,W233,IF(V229=Y218,Y233,X229))</f>
        <v>1521.8788549649144</v>
      </c>
      <c r="AB229" s="4">
        <f>IF(V229=Z218,Z233,IF(V229=AB218,AB233,Y229))</f>
        <v>1509.7586404382946</v>
      </c>
      <c r="AE229" s="4">
        <f>IF(V229=AC218,AC233,IF(V229=AE218,AE233,AB229))</f>
        <v>1509.7586404382946</v>
      </c>
      <c r="AT229" s="4" t="str">
        <f>B230</f>
        <v>Intense 13 Orange</v>
      </c>
      <c r="AU229" s="4">
        <f>J230</f>
        <v>1616.1193355748426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Intense 13 Orange</v>
      </c>
      <c r="C230" s="4">
        <f>VLOOKUP(B230,AU$2:AY$22,4,FALSE)</f>
        <v>1628.6565056003758</v>
      </c>
      <c r="D230" s="4">
        <f>IF(A230=B218,B233,IF(A230=D218,D233,C230))</f>
        <v>1616.1193355748426</v>
      </c>
      <c r="G230" s="4">
        <f>IF(A230=E218,E233,IF(A230=G218,G233,D230))</f>
        <v>1616.1193355748426</v>
      </c>
      <c r="J230" s="4">
        <f>IF(A230=H218,H233,IF(A230=J218,J233,G230))</f>
        <v>1616.1193355748426</v>
      </c>
      <c r="U230" s="129"/>
      <c r="V230" s="129">
        <v>4</v>
      </c>
      <c r="W230" s="4" t="str">
        <f>X213</f>
        <v>SC Midlands 13 Garnet</v>
      </c>
      <c r="X230" s="4">
        <f>VLOOKUP(W230,AU$2:AY$22,4,FALSE)</f>
        <v>1480.4710782689231</v>
      </c>
      <c r="Y230" s="4">
        <f>IF(V230=W218,W233,IF(V230=Y218,Y233,X230))</f>
        <v>1466.8482393616123</v>
      </c>
      <c r="AB230" s="4">
        <f>IF(V230=Z218,Z233,IF(V230=AB218,AB233,Y230))</f>
        <v>1466.8482393616123</v>
      </c>
      <c r="AE230" s="4">
        <f>IF(V230=AC218,AC233,IF(V230=AE218,AE233,AB230))</f>
        <v>1466.8482393616123</v>
      </c>
      <c r="AT230" s="4" t="str">
        <f>W227</f>
        <v>PRV 13U Brittany</v>
      </c>
      <c r="AU230" s="4">
        <f>AE227</f>
        <v>1543.1249027046999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1705.0590948093995</v>
      </c>
      <c r="D231" s="4">
        <f>VLOOKUP(D218,$A227:$J230,3,FALSE)</f>
        <v>1628.6565056003758</v>
      </c>
      <c r="E231" s="4">
        <f>VLOOKUP(E218,$A227:$J230,4,FALSE)</f>
        <v>1672.596826725935</v>
      </c>
      <c r="G231" s="4">
        <f>VLOOKUP(G218,$A227:$J230,4,FALSE)</f>
        <v>1707.9842078948636</v>
      </c>
      <c r="H231" s="4">
        <f>VLOOKUP(H218,$A227:$J230,7,FALSE)</f>
        <v>1717.5962648349328</v>
      </c>
      <c r="J231" s="4">
        <f>VLOOKUP(J218,$A227:$J230,7,FALSE)</f>
        <v>1722.360170833618</v>
      </c>
      <c r="T231" s="513" t="s">
        <v>116</v>
      </c>
      <c r="U231" s="513"/>
      <c r="V231" s="513"/>
      <c r="W231" s="4">
        <f>VLOOKUP(W218,$V227:$AE230,3,FALSE)</f>
        <v>1532.475398790076</v>
      </c>
      <c r="Y231" s="4">
        <f>VLOOKUP(Y218,$V227:$AE230,3,FALSE)</f>
        <v>1480.4710782689231</v>
      </c>
      <c r="Z231" s="4">
        <f>VLOOKUP(Z218,$V227:$AE230,4,FALSE)</f>
        <v>1607.8394096297868</v>
      </c>
      <c r="AB231" s="4">
        <f>VLOOKUP(AB218,$V227:$AE230,4,FALSE)</f>
        <v>1521.8788549649144</v>
      </c>
      <c r="AC231" s="4">
        <f>VLOOKUP(AC218,$V227:$AE230,7,FALSE)</f>
        <v>1546.0982376973868</v>
      </c>
      <c r="AE231" s="4">
        <f>VLOOKUP(AE218,$V227:$AE230,7,FALSE)</f>
        <v>1619.9596241564066</v>
      </c>
      <c r="AT231" s="4" t="str">
        <f>W228</f>
        <v>MBVC 13 Red Teresa</v>
      </c>
      <c r="AU231" s="4">
        <f>AE228</f>
        <v>1622.9329591490934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1/(1+(10^-((B231-D231)/400)))*(B222+D222)</f>
        <v>1.216426873404171</v>
      </c>
      <c r="C232" s="69"/>
      <c r="D232" s="69">
        <f>1/(1+(10^-((D231-B231)/400)))*(B222+D222)</f>
        <v>0.78357312659582889</v>
      </c>
      <c r="E232" s="69">
        <f>1/(1+(10^-((E231-G231)/400)))*(E222+G222)</f>
        <v>0.89849768367215077</v>
      </c>
      <c r="G232" s="69">
        <f>1/(1+(10^-((G231-E231)/400)))*(E222+G222)</f>
        <v>1.1015023163278492</v>
      </c>
      <c r="H232" s="69">
        <f>1/(1+(10^-((H231-J231)/400)))*(H222+J222)</f>
        <v>0.98628923556530057</v>
      </c>
      <c r="J232" s="69">
        <f>1/(1+(10^-((J231-H231)/400)))*(H222+J222)</f>
        <v>1.0137107644346994</v>
      </c>
      <c r="T232" s="514" t="s">
        <v>117</v>
      </c>
      <c r="U232" s="514"/>
      <c r="V232" s="514"/>
      <c r="W232" s="69">
        <f>1/(1+(10^-((W231-Y231)/400)))*(W222+Y222)</f>
        <v>1.1485725682930714</v>
      </c>
      <c r="X232" s="69"/>
      <c r="Y232" s="69">
        <f>1/(1+(10^-((Y231-W231)/400)))*(W222+Y222)</f>
        <v>0.85142743170692847</v>
      </c>
      <c r="Z232" s="69">
        <f>1/(1+(10^-((Z231-AB231)/400)))*(Z222+AB222)</f>
        <v>1.2424865920862695</v>
      </c>
      <c r="AB232" s="69">
        <f>1/(1+(10^-((AB231-Z231)/400)))*(Z222+AB222)</f>
        <v>0.75751340791373045</v>
      </c>
      <c r="AC232" s="69">
        <f>1/(1+(10^-((AC231-AE231)/400)))*(AC222+AE222)</f>
        <v>1.1858334370429331</v>
      </c>
      <c r="AE232" s="69">
        <f>1/(1+(10^-((AE231-AC231)/400)))*(AC222+AE222)</f>
        <v>1.8141665629570669</v>
      </c>
      <c r="AT232" s="4" t="str">
        <f>W229</f>
        <v>CSRA Heat 13 Black</v>
      </c>
      <c r="AU232" s="4">
        <f>AE229</f>
        <v>1509.7586404382946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1717.5962648349328</v>
      </c>
      <c r="C233" s="75"/>
      <c r="D233" s="75">
        <f>D231+(D222-D232)*$BA$2</f>
        <v>1616.1193355748426</v>
      </c>
      <c r="E233" s="75">
        <f>E231+(E222-E232)*$BA$2</f>
        <v>1658.2208637871806</v>
      </c>
      <c r="G233" s="75">
        <f>G231+(G222-G232)*$BA$2</f>
        <v>1722.360170833618</v>
      </c>
      <c r="H233" s="75">
        <f>H231+(H222-H232)*$BA$2</f>
        <v>1733.815637065888</v>
      </c>
      <c r="J233" s="75">
        <f>J231+(J222-J232)*$BA$2</f>
        <v>1706.1407986026627</v>
      </c>
      <c r="T233" s="502" t="s">
        <v>118</v>
      </c>
      <c r="U233" s="502"/>
      <c r="V233" s="502"/>
      <c r="W233" s="75">
        <f>W231+(W222-W232)*$BA$2</f>
        <v>1546.0982376973868</v>
      </c>
      <c r="X233" s="75"/>
      <c r="Y233" s="75">
        <f>Y231+(Y222-Y232)*$BA$2</f>
        <v>1466.8482393616123</v>
      </c>
      <c r="Z233" s="75">
        <f>Z231+(Z222-Z232)*$BA$2</f>
        <v>1619.9596241564066</v>
      </c>
      <c r="AB233" s="75">
        <f>AB231+(AB222-AB232)*$BA$2</f>
        <v>1509.7586404382946</v>
      </c>
      <c r="AC233" s="75">
        <f>AC231+(AC222-AC232)*$BA$2</f>
        <v>1543.1249027046999</v>
      </c>
      <c r="AE233" s="75">
        <f>AE231+(AE222-AE232)*$BA$2</f>
        <v>1622.9329591490934</v>
      </c>
      <c r="AT233" s="4" t="str">
        <f>W230</f>
        <v>SC Midlands 13 Garnet</v>
      </c>
      <c r="AU233" s="4">
        <f>AE230</f>
        <v>1466.8482393616123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503" t="s">
        <v>169</v>
      </c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R234" s="102"/>
      <c r="S234" s="102"/>
      <c r="T234" s="122"/>
      <c r="U234" s="122"/>
      <c r="V234" s="503" t="s">
        <v>169</v>
      </c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02"/>
      <c r="AI234" s="102"/>
      <c r="AJ234" s="102"/>
      <c r="AW234" s="58"/>
      <c r="AX234" s="55"/>
      <c r="AY234" s="55"/>
      <c r="AZ234" s="55"/>
      <c r="BA234" s="55"/>
    </row>
    <row r="235" spans="1:77" x14ac:dyDescent="0.2">
      <c r="AT235" s="55"/>
      <c r="AU235" s="55"/>
      <c r="AV235" s="55"/>
      <c r="AW235" s="58"/>
      <c r="AX235" s="55"/>
      <c r="AY235" s="55"/>
      <c r="AZ235" s="55"/>
      <c r="BA235" s="55"/>
    </row>
    <row r="236" spans="1:77" x14ac:dyDescent="0.2">
      <c r="AT236" s="55"/>
      <c r="AU236" s="55"/>
      <c r="AV236" s="55"/>
      <c r="AW236" s="58"/>
      <c r="AX236" s="55"/>
      <c r="AY236" s="55"/>
      <c r="AZ236" s="55"/>
      <c r="BA236" s="55"/>
    </row>
    <row r="237" spans="1:77" x14ac:dyDescent="0.2">
      <c r="AT237" s="55"/>
      <c r="AU237" s="55"/>
      <c r="AV237" s="55"/>
      <c r="AW237" s="58"/>
      <c r="AX237" s="55"/>
      <c r="AY237" s="55"/>
      <c r="AZ237" s="55"/>
      <c r="BA237" s="55"/>
    </row>
    <row r="238" spans="1:77" x14ac:dyDescent="0.2">
      <c r="AT238" s="55"/>
      <c r="AU238" s="55"/>
      <c r="AV238" s="55"/>
      <c r="AW238" s="58"/>
      <c r="AX238" s="55"/>
      <c r="AY238" s="55"/>
      <c r="AZ238" s="55"/>
      <c r="BA238" s="55"/>
    </row>
    <row r="239" spans="1:77" x14ac:dyDescent="0.2">
      <c r="AT239" s="55"/>
      <c r="AU239" s="55"/>
      <c r="AV239" s="55"/>
      <c r="AW239" s="58"/>
      <c r="AX239" s="55"/>
      <c r="AY239" s="55"/>
      <c r="AZ239" s="55"/>
      <c r="BA239" s="55"/>
    </row>
    <row r="240" spans="1:77" x14ac:dyDescent="0.2">
      <c r="AT240" s="55"/>
      <c r="AU240" s="55"/>
      <c r="AV240" s="55"/>
      <c r="AW240" s="58"/>
      <c r="AX240" s="55"/>
      <c r="AY240" s="55"/>
      <c r="AZ240" s="55"/>
      <c r="BA240" s="55"/>
    </row>
    <row r="241" spans="46:53" x14ac:dyDescent="0.2">
      <c r="AT241" s="55"/>
      <c r="AU241" s="55"/>
      <c r="AV241" s="55"/>
      <c r="AW241" s="58"/>
      <c r="AX241" s="55"/>
      <c r="AY241" s="55"/>
      <c r="AZ241" s="55"/>
      <c r="BA241" s="55"/>
    </row>
    <row r="242" spans="46:53" x14ac:dyDescent="0.2">
      <c r="AT242" s="55"/>
      <c r="AU242" s="55"/>
      <c r="AV242" s="55"/>
      <c r="AW242" s="58"/>
      <c r="AX242" s="55"/>
      <c r="AY242" s="55"/>
      <c r="AZ242" s="55"/>
      <c r="BA242" s="55"/>
    </row>
    <row r="243" spans="46:53" x14ac:dyDescent="0.2">
      <c r="AT243" s="55"/>
      <c r="AU243" s="55"/>
      <c r="AV243" s="55"/>
      <c r="AW243" s="58"/>
      <c r="AX243" s="55"/>
      <c r="AY243" s="55"/>
      <c r="AZ243" s="55"/>
      <c r="BA243" s="55"/>
    </row>
    <row r="244" spans="46:53" x14ac:dyDescent="0.2">
      <c r="AT244" s="55"/>
      <c r="AU244" s="55"/>
      <c r="AV244" s="55"/>
      <c r="AW244" s="58"/>
      <c r="AX244" s="55"/>
      <c r="AY244" s="55"/>
      <c r="AZ244" s="55"/>
      <c r="BA244" s="55"/>
    </row>
    <row r="245" spans="46:53" x14ac:dyDescent="0.2">
      <c r="AT245" s="55"/>
      <c r="AU245" s="55"/>
      <c r="AV245" s="55"/>
      <c r="AW245" s="58"/>
      <c r="AX245" s="55"/>
      <c r="AY245" s="55"/>
      <c r="AZ245" s="55"/>
      <c r="BA245" s="55"/>
    </row>
    <row r="246" spans="46:53" x14ac:dyDescent="0.2">
      <c r="AT246" s="55"/>
      <c r="AU246" s="55"/>
      <c r="AV246" s="55"/>
      <c r="AW246" s="58"/>
      <c r="AX246" s="55"/>
      <c r="AY246" s="55"/>
      <c r="AZ246" s="55"/>
      <c r="BA246" s="55"/>
    </row>
    <row r="247" spans="46:53" x14ac:dyDescent="0.2">
      <c r="AT247" s="55"/>
      <c r="AU247" s="55"/>
      <c r="AV247" s="55"/>
    </row>
    <row r="248" spans="46:53" x14ac:dyDescent="0.2">
      <c r="AT248" s="55"/>
      <c r="AU248" s="55"/>
      <c r="AV248" s="55"/>
      <c r="AW248" s="66"/>
      <c r="AX248" s="63"/>
      <c r="AY248" s="63"/>
      <c r="AZ248" s="63"/>
      <c r="BA248" s="63"/>
    </row>
    <row r="249" spans="46:53" x14ac:dyDescent="0.2">
      <c r="AT249" s="55"/>
      <c r="AU249" s="55"/>
      <c r="AV249" s="55"/>
      <c r="AW249" s="66"/>
      <c r="AX249" s="63"/>
      <c r="AY249" s="63"/>
      <c r="AZ249" s="63"/>
      <c r="BA249" s="63"/>
    </row>
    <row r="250" spans="46:53" x14ac:dyDescent="0.2">
      <c r="AT250" s="55"/>
      <c r="AU250" s="55"/>
      <c r="AV250" s="55"/>
      <c r="AW250" s="66"/>
      <c r="AX250" s="63"/>
      <c r="AY250" s="63"/>
      <c r="AZ250" s="63"/>
      <c r="BA250" s="63"/>
    </row>
    <row r="251" spans="46:53" x14ac:dyDescent="0.2">
      <c r="AT251" s="55"/>
      <c r="AU251" s="55"/>
      <c r="AV251" s="55"/>
      <c r="AW251" s="66"/>
      <c r="AX251" s="63"/>
      <c r="AY251" s="63"/>
      <c r="AZ251" s="63"/>
      <c r="BA251" s="63"/>
    </row>
    <row r="252" spans="46:53" x14ac:dyDescent="0.2">
      <c r="AT252" s="55"/>
      <c r="AU252" s="55"/>
      <c r="AV252" s="55"/>
      <c r="AW252" s="66"/>
      <c r="AX252" s="63"/>
      <c r="AY252" s="63"/>
      <c r="AZ252" s="63"/>
      <c r="BA252" s="63"/>
    </row>
    <row r="253" spans="46:53" x14ac:dyDescent="0.2">
      <c r="AT253" s="55"/>
      <c r="AU253" s="55"/>
      <c r="AV253" s="55"/>
      <c r="AW253" s="66"/>
      <c r="AX253" s="63"/>
      <c r="AY253" s="63"/>
      <c r="AZ253" s="63"/>
      <c r="BA253" s="63"/>
    </row>
    <row r="254" spans="46:53" x14ac:dyDescent="0.2">
      <c r="AT254" s="55"/>
      <c r="AU254" s="55"/>
      <c r="AV254" s="55"/>
      <c r="AW254" s="66"/>
      <c r="AX254" s="63"/>
      <c r="AY254" s="63"/>
      <c r="AZ254" s="63"/>
      <c r="BA254" s="63"/>
    </row>
    <row r="255" spans="46:53" x14ac:dyDescent="0.2">
      <c r="AT255" s="55"/>
      <c r="AU255" s="55"/>
      <c r="AV255" s="55"/>
      <c r="AW255" s="66"/>
      <c r="AX255" s="63"/>
      <c r="AY255" s="63"/>
      <c r="AZ255" s="63"/>
      <c r="BA255" s="63"/>
    </row>
    <row r="256" spans="46:53" x14ac:dyDescent="0.2">
      <c r="AT256" s="55"/>
      <c r="AU256" s="55"/>
      <c r="AV256" s="55"/>
      <c r="AW256" s="73"/>
      <c r="AX256" s="72"/>
      <c r="AY256" s="72"/>
      <c r="AZ256" s="72"/>
      <c r="BA256" s="72"/>
    </row>
    <row r="257" spans="46:53" x14ac:dyDescent="0.2">
      <c r="AT257" s="55"/>
      <c r="AU257" s="55"/>
      <c r="AV257" s="55"/>
      <c r="AW257" s="79"/>
      <c r="AX257" s="78"/>
      <c r="AY257" s="78"/>
      <c r="AZ257" s="78"/>
      <c r="BA257" s="78"/>
    </row>
    <row r="258" spans="46:53" x14ac:dyDescent="0.2">
      <c r="AT258" s="55"/>
      <c r="AU258" s="55"/>
      <c r="AV258" s="55"/>
      <c r="AW258" s="79"/>
      <c r="AX258" s="78"/>
      <c r="AY258" s="78"/>
      <c r="AZ258" s="78"/>
      <c r="BA258" s="78"/>
    </row>
    <row r="259" spans="46:53" x14ac:dyDescent="0.2">
      <c r="AT259" s="55"/>
      <c r="AU259" s="55"/>
      <c r="AV259" s="55"/>
      <c r="AW259" s="66"/>
      <c r="AX259" s="63"/>
      <c r="AY259" s="63"/>
      <c r="AZ259" s="63"/>
      <c r="BA259" s="63"/>
    </row>
    <row r="260" spans="46:53" x14ac:dyDescent="0.2">
      <c r="AT260" s="63"/>
      <c r="AU260" s="63"/>
      <c r="AV260" s="63"/>
      <c r="AW260" s="66"/>
      <c r="AX260" s="63"/>
      <c r="AY260" s="63"/>
      <c r="AZ260" s="63"/>
      <c r="BA260" s="63"/>
    </row>
    <row r="261" spans="46:53" x14ac:dyDescent="0.2">
      <c r="AT261" s="63"/>
      <c r="AU261" s="63"/>
      <c r="AV261" s="63"/>
    </row>
    <row r="286" spans="46:53" x14ac:dyDescent="0.2">
      <c r="AT286" s="55"/>
      <c r="AU286" s="55"/>
      <c r="AV286" s="55"/>
      <c r="AW286" s="58"/>
      <c r="AX286" s="55"/>
      <c r="AY286" s="55"/>
      <c r="AZ286" s="55"/>
      <c r="BA286" s="55"/>
    </row>
    <row r="287" spans="46:53" x14ac:dyDescent="0.2">
      <c r="AT287" s="55"/>
      <c r="AU287" s="55"/>
      <c r="AV287" s="55"/>
      <c r="AW287" s="58"/>
      <c r="AX287" s="55"/>
      <c r="AY287" s="55"/>
      <c r="AZ287" s="55"/>
      <c r="BA287" s="55"/>
    </row>
    <row r="288" spans="46:53" x14ac:dyDescent="0.2">
      <c r="AT288" s="55"/>
      <c r="AU288" s="55"/>
      <c r="AV288" s="55"/>
      <c r="AW288" s="58"/>
      <c r="AX288" s="55"/>
      <c r="AY288" s="55"/>
      <c r="AZ288" s="55"/>
      <c r="BA288" s="55"/>
    </row>
    <row r="289" spans="46:53" x14ac:dyDescent="0.2">
      <c r="AT289" s="55"/>
      <c r="AU289" s="55"/>
      <c r="AV289" s="55"/>
      <c r="AW289" s="58"/>
      <c r="AX289" s="55"/>
      <c r="AY289" s="55"/>
      <c r="AZ289" s="55"/>
      <c r="BA289" s="55"/>
    </row>
    <row r="290" spans="46:53" x14ac:dyDescent="0.2">
      <c r="AT290" s="55"/>
      <c r="AU290" s="55"/>
      <c r="AV290" s="55"/>
      <c r="AW290" s="58"/>
      <c r="AX290" s="55"/>
      <c r="AY290" s="55"/>
      <c r="AZ290" s="55"/>
      <c r="BA290" s="55"/>
    </row>
    <row r="291" spans="46:53" x14ac:dyDescent="0.2">
      <c r="AT291" s="55"/>
      <c r="AU291" s="55"/>
      <c r="AV291" s="55"/>
      <c r="AW291" s="58"/>
      <c r="AX291" s="55"/>
      <c r="AY291" s="55"/>
      <c r="AZ291" s="55"/>
      <c r="BA291" s="55"/>
    </row>
    <row r="292" spans="46:53" x14ac:dyDescent="0.2">
      <c r="AT292" s="55"/>
      <c r="AU292" s="55"/>
      <c r="AV292" s="55"/>
      <c r="AW292" s="58"/>
      <c r="AX292" s="55"/>
      <c r="AY292" s="55"/>
      <c r="AZ292" s="55"/>
      <c r="BA292" s="55"/>
    </row>
    <row r="293" spans="46:53" x14ac:dyDescent="0.2">
      <c r="AT293" s="55"/>
      <c r="AU293" s="55"/>
      <c r="AV293" s="55"/>
      <c r="AW293" s="58"/>
      <c r="AX293" s="55"/>
      <c r="AY293" s="55"/>
      <c r="AZ293" s="55"/>
      <c r="BA293" s="55"/>
    </row>
    <row r="294" spans="46:53" x14ac:dyDescent="0.2">
      <c r="AT294" s="55"/>
      <c r="AU294" s="55"/>
      <c r="AV294" s="55"/>
      <c r="AW294" s="58"/>
      <c r="AX294" s="55"/>
      <c r="AY294" s="55"/>
      <c r="AZ294" s="55"/>
      <c r="BA294" s="55"/>
    </row>
    <row r="295" spans="46:53" x14ac:dyDescent="0.2">
      <c r="AT295" s="55"/>
      <c r="AU295" s="55"/>
      <c r="AV295" s="55"/>
      <c r="AW295" s="58"/>
      <c r="AX295" s="55"/>
      <c r="AY295" s="55"/>
      <c r="AZ295" s="55"/>
      <c r="BA295" s="55"/>
    </row>
    <row r="296" spans="46:53" x14ac:dyDescent="0.2">
      <c r="AT296" s="55"/>
      <c r="AU296" s="55"/>
      <c r="AV296" s="55"/>
      <c r="AW296" s="58"/>
      <c r="AX296" s="55"/>
      <c r="AY296" s="55"/>
      <c r="AZ296" s="55"/>
      <c r="BA296" s="55"/>
    </row>
    <row r="297" spans="46:53" x14ac:dyDescent="0.2">
      <c r="AT297" s="55"/>
      <c r="AU297" s="55"/>
      <c r="AV297" s="55"/>
      <c r="AW297" s="58"/>
      <c r="AX297" s="55"/>
      <c r="AY297" s="55"/>
      <c r="AZ297" s="55"/>
      <c r="BA297" s="55"/>
    </row>
    <row r="298" spans="46:53" x14ac:dyDescent="0.2">
      <c r="AT298" s="55"/>
      <c r="AU298" s="55"/>
      <c r="AV298" s="55"/>
      <c r="AW298" s="58"/>
      <c r="AX298" s="55"/>
      <c r="AY298" s="55"/>
      <c r="AZ298" s="55"/>
      <c r="BA298" s="55"/>
    </row>
    <row r="299" spans="46:53" x14ac:dyDescent="0.2">
      <c r="AT299" s="55"/>
      <c r="AU299" s="55"/>
      <c r="AV299" s="55"/>
      <c r="AW299" s="58"/>
      <c r="AX299" s="55"/>
      <c r="AY299" s="55"/>
      <c r="AZ299" s="55"/>
      <c r="BA299" s="55"/>
    </row>
    <row r="300" spans="46:53" x14ac:dyDescent="0.2">
      <c r="AT300" s="55"/>
      <c r="AU300" s="55"/>
      <c r="AV300" s="55"/>
      <c r="AW300" s="58"/>
      <c r="AX300" s="55"/>
      <c r="AY300" s="55"/>
      <c r="AZ300" s="55"/>
      <c r="BA300" s="55"/>
    </row>
    <row r="301" spans="46:53" x14ac:dyDescent="0.2">
      <c r="AT301" s="55"/>
      <c r="AU301" s="55"/>
      <c r="AV301" s="55"/>
      <c r="AW301" s="58"/>
      <c r="AX301" s="55"/>
      <c r="AY301" s="55"/>
      <c r="AZ301" s="55"/>
      <c r="BA301" s="55"/>
    </row>
    <row r="302" spans="46:53" x14ac:dyDescent="0.2">
      <c r="AT302" s="55"/>
      <c r="AU302" s="55"/>
      <c r="AV302" s="55"/>
      <c r="AW302" s="58"/>
      <c r="AX302" s="55"/>
      <c r="AY302" s="55"/>
      <c r="AZ302" s="55"/>
      <c r="BA302" s="55"/>
    </row>
    <row r="303" spans="46:53" x14ac:dyDescent="0.2">
      <c r="AT303" s="55"/>
      <c r="AU303" s="55"/>
      <c r="AV303" s="55"/>
      <c r="AW303" s="58"/>
      <c r="AX303" s="55"/>
      <c r="AY303" s="55"/>
      <c r="AZ303" s="55"/>
      <c r="BA303" s="55"/>
    </row>
    <row r="304" spans="46:53" x14ac:dyDescent="0.2">
      <c r="AT304" s="55"/>
      <c r="AU304" s="55"/>
      <c r="AV304" s="55"/>
      <c r="AW304" s="58"/>
      <c r="AX304" s="55"/>
      <c r="AY304" s="55"/>
      <c r="AZ304" s="55"/>
      <c r="BA304" s="55"/>
    </row>
    <row r="305" spans="46:53" x14ac:dyDescent="0.2">
      <c r="AT305" s="55"/>
      <c r="AU305" s="55"/>
      <c r="AV305" s="55"/>
      <c r="AW305" s="58"/>
      <c r="AX305" s="55"/>
      <c r="AY305" s="55"/>
      <c r="AZ305" s="55"/>
      <c r="BA305" s="55"/>
    </row>
    <row r="306" spans="46:53" x14ac:dyDescent="0.2">
      <c r="AT306" s="55"/>
      <c r="AU306" s="55"/>
      <c r="AV306" s="55"/>
      <c r="AW306" s="58"/>
      <c r="AX306" s="55"/>
      <c r="AY306" s="55"/>
      <c r="AZ306" s="55"/>
      <c r="BA306" s="55"/>
    </row>
    <row r="307" spans="46:53" x14ac:dyDescent="0.2">
      <c r="AT307" s="55"/>
      <c r="AU307" s="55"/>
      <c r="AV307" s="55"/>
      <c r="AW307" s="58"/>
      <c r="AX307" s="55"/>
      <c r="AY307" s="55"/>
      <c r="AZ307" s="55"/>
      <c r="BA307" s="55"/>
    </row>
    <row r="308" spans="46:53" x14ac:dyDescent="0.2">
      <c r="AT308" s="55"/>
      <c r="AU308" s="55"/>
      <c r="AV308" s="55"/>
      <c r="AW308" s="58"/>
      <c r="AX308" s="55"/>
      <c r="AY308" s="55"/>
      <c r="AZ308" s="55"/>
      <c r="BA308" s="55"/>
    </row>
    <row r="309" spans="46:53" x14ac:dyDescent="0.2">
      <c r="AT309" s="55"/>
      <c r="AU309" s="55"/>
      <c r="AV309" s="55"/>
      <c r="AW309" s="58"/>
      <c r="AX309" s="55"/>
      <c r="AY309" s="55"/>
      <c r="AZ309" s="55"/>
      <c r="BA309" s="55"/>
    </row>
    <row r="310" spans="46:53" x14ac:dyDescent="0.2">
      <c r="AT310" s="55"/>
      <c r="AU310" s="55"/>
      <c r="AV310" s="55"/>
      <c r="AW310" s="58"/>
      <c r="AX310" s="55"/>
      <c r="AY310" s="55"/>
      <c r="AZ310" s="55"/>
      <c r="BA310" s="55"/>
    </row>
    <row r="311" spans="46:53" x14ac:dyDescent="0.2">
      <c r="AT311" s="55"/>
      <c r="AU311" s="55"/>
      <c r="AV311" s="55"/>
      <c r="AW311" s="58"/>
      <c r="AX311" s="55"/>
      <c r="AY311" s="55"/>
      <c r="AZ311" s="55"/>
      <c r="BA311" s="55"/>
    </row>
    <row r="312" spans="46:53" x14ac:dyDescent="0.2">
      <c r="AT312" s="55"/>
      <c r="AU312" s="55"/>
      <c r="AV312" s="55"/>
      <c r="AW312" s="58"/>
      <c r="AX312" s="55"/>
      <c r="AY312" s="55"/>
      <c r="AZ312" s="55"/>
      <c r="BA312" s="55"/>
    </row>
    <row r="313" spans="46:53" x14ac:dyDescent="0.2">
      <c r="AT313" s="55"/>
      <c r="AU313" s="55"/>
      <c r="AV313" s="55"/>
      <c r="AW313" s="58"/>
      <c r="AX313" s="55"/>
      <c r="AY313" s="55"/>
      <c r="AZ313" s="55"/>
      <c r="BA313" s="55"/>
    </row>
    <row r="314" spans="46:53" x14ac:dyDescent="0.2">
      <c r="AT314" s="55"/>
      <c r="AU314" s="55"/>
      <c r="AV314" s="55"/>
      <c r="AW314" s="58"/>
      <c r="AX314" s="55"/>
      <c r="AY314" s="55"/>
      <c r="AZ314" s="55"/>
      <c r="BA314" s="55"/>
    </row>
    <row r="315" spans="46:53" x14ac:dyDescent="0.2">
      <c r="AT315" s="55"/>
      <c r="AU315" s="55"/>
      <c r="AV315" s="55"/>
      <c r="AW315" s="58"/>
      <c r="AX315" s="55"/>
      <c r="AY315" s="55"/>
      <c r="AZ315" s="55"/>
      <c r="BA315" s="55"/>
    </row>
    <row r="316" spans="46:53" x14ac:dyDescent="0.2">
      <c r="AT316" s="55"/>
      <c r="AU316" s="55"/>
      <c r="AV316" s="55"/>
      <c r="AW316" s="58"/>
      <c r="AX316" s="55"/>
      <c r="AY316" s="55"/>
      <c r="AZ316" s="55"/>
      <c r="BA316" s="55"/>
    </row>
    <row r="317" spans="46:53" x14ac:dyDescent="0.2">
      <c r="AT317" s="55"/>
      <c r="AU317" s="55"/>
      <c r="AV317" s="55"/>
      <c r="AW317" s="58"/>
      <c r="AX317" s="55"/>
      <c r="AY317" s="55"/>
      <c r="AZ317" s="55"/>
      <c r="BA317" s="55"/>
    </row>
    <row r="318" spans="46:53" x14ac:dyDescent="0.2">
      <c r="AT318" s="55"/>
      <c r="AU318" s="55"/>
      <c r="AV318" s="55"/>
      <c r="AW318" s="58"/>
      <c r="AX318" s="55"/>
      <c r="AY318" s="55"/>
      <c r="AZ318" s="55"/>
      <c r="BA318" s="55"/>
    </row>
    <row r="319" spans="46:53" x14ac:dyDescent="0.2">
      <c r="AT319" s="55"/>
      <c r="AU319" s="55"/>
      <c r="AV319" s="55"/>
      <c r="AW319" s="58"/>
      <c r="AX319" s="55"/>
      <c r="AY319" s="55"/>
      <c r="AZ319" s="55"/>
      <c r="BA319" s="55"/>
    </row>
    <row r="320" spans="46:53" x14ac:dyDescent="0.2">
      <c r="AT320" s="55"/>
      <c r="AU320" s="55"/>
      <c r="AV320" s="55"/>
      <c r="AW320" s="58"/>
      <c r="AX320" s="55"/>
      <c r="AY320" s="55"/>
      <c r="AZ320" s="55"/>
      <c r="BA320" s="55"/>
    </row>
    <row r="321" spans="46:53" x14ac:dyDescent="0.2">
      <c r="AT321" s="55"/>
      <c r="AU321" s="55"/>
      <c r="AV321" s="55"/>
      <c r="AW321" s="58"/>
      <c r="AX321" s="55"/>
      <c r="AY321" s="55"/>
      <c r="AZ321" s="55"/>
      <c r="BA321" s="55"/>
    </row>
    <row r="322" spans="46:53" x14ac:dyDescent="0.2">
      <c r="AT322" s="55"/>
      <c r="AU322" s="55"/>
      <c r="AV322" s="55"/>
      <c r="AW322" s="58"/>
      <c r="AX322" s="55"/>
      <c r="AY322" s="55"/>
      <c r="AZ322" s="55"/>
      <c r="BA322" s="55"/>
    </row>
    <row r="323" spans="46:53" x14ac:dyDescent="0.2">
      <c r="AT323" s="55"/>
      <c r="AU323" s="55"/>
      <c r="AV323" s="55"/>
      <c r="AW323" s="58"/>
      <c r="AX323" s="55"/>
      <c r="AY323" s="55"/>
      <c r="AZ323" s="55"/>
      <c r="BA323" s="55"/>
    </row>
    <row r="324" spans="46:53" x14ac:dyDescent="0.2">
      <c r="AT324" s="55"/>
      <c r="AU324" s="55"/>
      <c r="AV324" s="55"/>
      <c r="AW324" s="58"/>
      <c r="AX324" s="55"/>
      <c r="AY324" s="55"/>
      <c r="AZ324" s="55"/>
      <c r="BA324" s="55"/>
    </row>
    <row r="325" spans="46:53" x14ac:dyDescent="0.2">
      <c r="AT325" s="55"/>
      <c r="AU325" s="55"/>
      <c r="AV325" s="55"/>
      <c r="AW325" s="58"/>
      <c r="AX325" s="55"/>
      <c r="AY325" s="55"/>
      <c r="AZ325" s="55"/>
      <c r="BA325" s="55"/>
    </row>
    <row r="326" spans="46:53" x14ac:dyDescent="0.2">
      <c r="AT326" s="55"/>
      <c r="AU326" s="55"/>
      <c r="AV326" s="55"/>
      <c r="AW326" s="58"/>
      <c r="AX326" s="55"/>
      <c r="AY326" s="55"/>
      <c r="AZ326" s="55"/>
      <c r="BA326" s="55"/>
    </row>
    <row r="327" spans="46:53" x14ac:dyDescent="0.2">
      <c r="AT327" s="55"/>
      <c r="AU327" s="55"/>
      <c r="AV327" s="55"/>
      <c r="AW327" s="58"/>
      <c r="AX327" s="55"/>
      <c r="AY327" s="55"/>
      <c r="AZ327" s="55"/>
      <c r="BA327" s="55"/>
    </row>
    <row r="328" spans="46:53" x14ac:dyDescent="0.2">
      <c r="AT328" s="55"/>
      <c r="AU328" s="55"/>
      <c r="AV328" s="55"/>
      <c r="AW328" s="58"/>
      <c r="AX328" s="55"/>
      <c r="AY328" s="55"/>
      <c r="AZ328" s="55"/>
      <c r="BA328" s="55"/>
    </row>
    <row r="329" spans="46:53" x14ac:dyDescent="0.2">
      <c r="AT329" s="55"/>
      <c r="AU329" s="55"/>
      <c r="AV329" s="55"/>
      <c r="AW329" s="58"/>
      <c r="AX329" s="55"/>
      <c r="AY329" s="55"/>
      <c r="AZ329" s="55"/>
      <c r="BA329" s="55"/>
    </row>
    <row r="330" spans="46:53" x14ac:dyDescent="0.2">
      <c r="AT330" s="55"/>
      <c r="AU330" s="55"/>
      <c r="AV330" s="55"/>
      <c r="AW330" s="58"/>
      <c r="AX330" s="55"/>
      <c r="AY330" s="55"/>
      <c r="AZ330" s="55"/>
      <c r="BA330" s="55"/>
    </row>
    <row r="331" spans="46:53" x14ac:dyDescent="0.2">
      <c r="AT331" s="55"/>
      <c r="AU331" s="55"/>
      <c r="AV331" s="55"/>
      <c r="AW331" s="58"/>
      <c r="AX331" s="55"/>
      <c r="AY331" s="55"/>
      <c r="AZ331" s="55"/>
      <c r="BA331" s="55"/>
    </row>
    <row r="332" spans="46:53" x14ac:dyDescent="0.2">
      <c r="AT332" s="63"/>
      <c r="AU332" s="63"/>
      <c r="AV332" s="63"/>
    </row>
    <row r="333" spans="46:53" x14ac:dyDescent="0.2">
      <c r="AT333" s="63"/>
      <c r="AU333" s="63"/>
      <c r="AV333" s="63"/>
      <c r="AW333" s="66"/>
      <c r="AX333" s="63"/>
      <c r="AY333" s="63"/>
      <c r="AZ333" s="63"/>
      <c r="BA333" s="63"/>
    </row>
    <row r="334" spans="46:53" x14ac:dyDescent="0.2">
      <c r="AW334" s="66"/>
      <c r="AX334" s="63"/>
      <c r="AY334" s="63"/>
      <c r="AZ334" s="63"/>
      <c r="BA334" s="63"/>
    </row>
    <row r="335" spans="46:53" x14ac:dyDescent="0.2">
      <c r="AW335" s="66"/>
      <c r="AX335" s="63"/>
      <c r="AY335" s="63"/>
      <c r="AZ335" s="63"/>
      <c r="BA335" s="63"/>
    </row>
    <row r="336" spans="46:53" x14ac:dyDescent="0.2">
      <c r="AW336" s="66"/>
      <c r="AX336" s="63"/>
      <c r="AY336" s="63"/>
      <c r="AZ336" s="63"/>
      <c r="BA336" s="63"/>
    </row>
    <row r="337" spans="46:53" x14ac:dyDescent="0.2">
      <c r="AW337" s="66"/>
      <c r="AX337" s="63"/>
      <c r="AY337" s="63"/>
      <c r="AZ337" s="63"/>
      <c r="BA337" s="63"/>
    </row>
    <row r="338" spans="46:53" x14ac:dyDescent="0.2">
      <c r="AW338" s="66"/>
      <c r="AX338" s="63"/>
      <c r="AY338" s="63"/>
      <c r="AZ338" s="63"/>
      <c r="BA338" s="63"/>
    </row>
    <row r="339" spans="46:53" x14ac:dyDescent="0.2">
      <c r="AW339" s="66"/>
      <c r="AX339" s="63"/>
      <c r="AY339" s="63"/>
      <c r="AZ339" s="63"/>
      <c r="BA339" s="63"/>
    </row>
    <row r="340" spans="46:53" x14ac:dyDescent="0.2">
      <c r="AW340" s="66"/>
      <c r="AX340" s="63"/>
      <c r="AY340" s="63"/>
      <c r="AZ340" s="63"/>
      <c r="BA340" s="63"/>
    </row>
    <row r="341" spans="46:53" x14ac:dyDescent="0.2">
      <c r="AW341" s="73"/>
      <c r="AX341" s="72"/>
      <c r="AY341" s="72"/>
      <c r="AZ341" s="72"/>
      <c r="BA341" s="72"/>
    </row>
    <row r="342" spans="46:53" x14ac:dyDescent="0.2">
      <c r="AW342" s="79"/>
      <c r="AX342" s="78"/>
      <c r="AY342" s="78"/>
      <c r="AZ342" s="78"/>
      <c r="BA342" s="78"/>
    </row>
    <row r="343" spans="46:53" x14ac:dyDescent="0.2">
      <c r="AW343" s="79"/>
      <c r="AX343" s="78"/>
      <c r="AY343" s="78"/>
      <c r="AZ343" s="78"/>
      <c r="BA343" s="78"/>
    </row>
    <row r="344" spans="46:53" x14ac:dyDescent="0.2">
      <c r="AW344" s="66"/>
      <c r="AX344" s="63"/>
      <c r="AY344" s="63"/>
      <c r="AZ344" s="63"/>
      <c r="BA344" s="63"/>
    </row>
    <row r="345" spans="46:53" x14ac:dyDescent="0.2">
      <c r="AW345" s="66"/>
      <c r="AX345" s="63"/>
      <c r="AY345" s="63"/>
      <c r="AZ345" s="63"/>
      <c r="BA345" s="63"/>
    </row>
    <row r="348" spans="46:53" x14ac:dyDescent="0.2">
      <c r="AT348" s="96"/>
      <c r="AU348" s="96"/>
    </row>
    <row r="371" spans="46:53" x14ac:dyDescent="0.2">
      <c r="AW371" s="58"/>
      <c r="AX371" s="55"/>
      <c r="AY371" s="55"/>
      <c r="AZ371" s="55"/>
      <c r="BA371" s="55"/>
    </row>
    <row r="372" spans="46:53" x14ac:dyDescent="0.2">
      <c r="AW372" s="58"/>
      <c r="AX372" s="55"/>
      <c r="AY372" s="55"/>
      <c r="AZ372" s="55"/>
      <c r="BA372" s="55"/>
    </row>
    <row r="373" spans="46:53" x14ac:dyDescent="0.2">
      <c r="AW373" s="58"/>
      <c r="AX373" s="55"/>
      <c r="AY373" s="55"/>
      <c r="AZ373" s="55"/>
      <c r="BA373" s="55"/>
    </row>
    <row r="374" spans="46:53" x14ac:dyDescent="0.2">
      <c r="AW374" s="58"/>
      <c r="AX374" s="55"/>
      <c r="AY374" s="55"/>
      <c r="AZ374" s="55"/>
      <c r="BA374" s="55"/>
    </row>
    <row r="375" spans="46:53" x14ac:dyDescent="0.2">
      <c r="AW375" s="58"/>
      <c r="AX375" s="55"/>
      <c r="AY375" s="55"/>
      <c r="AZ375" s="55"/>
      <c r="BA375" s="55"/>
    </row>
    <row r="376" spans="46:53" x14ac:dyDescent="0.2">
      <c r="AW376" s="58"/>
      <c r="AX376" s="55"/>
      <c r="AY376" s="55"/>
      <c r="AZ376" s="55"/>
      <c r="BA376" s="55"/>
    </row>
    <row r="377" spans="46:53" x14ac:dyDescent="0.2">
      <c r="AW377" s="58"/>
      <c r="AX377" s="55"/>
      <c r="AY377" s="55"/>
      <c r="AZ377" s="55"/>
      <c r="BA377" s="55"/>
    </row>
    <row r="378" spans="46:53" x14ac:dyDescent="0.2">
      <c r="AW378" s="58"/>
      <c r="AX378" s="55"/>
      <c r="AY378" s="55"/>
      <c r="AZ378" s="55"/>
      <c r="BA378" s="55"/>
    </row>
    <row r="379" spans="46:53" x14ac:dyDescent="0.2">
      <c r="AW379" s="58"/>
      <c r="AX379" s="55"/>
      <c r="AY379" s="55"/>
      <c r="AZ379" s="55"/>
      <c r="BA379" s="55"/>
    </row>
    <row r="380" spans="46:53" x14ac:dyDescent="0.2">
      <c r="AW380" s="58"/>
      <c r="AX380" s="55"/>
      <c r="AY380" s="55"/>
      <c r="AZ380" s="55"/>
      <c r="BA380" s="55"/>
    </row>
    <row r="381" spans="46:53" x14ac:dyDescent="0.2">
      <c r="AW381" s="58"/>
      <c r="AX381" s="55"/>
      <c r="AY381" s="55"/>
      <c r="AZ381" s="55"/>
      <c r="BA381" s="55"/>
    </row>
    <row r="382" spans="46:53" x14ac:dyDescent="0.2">
      <c r="AW382" s="58"/>
      <c r="AX382" s="55"/>
      <c r="AY382" s="55"/>
      <c r="AZ382" s="55"/>
      <c r="BA382" s="55"/>
    </row>
    <row r="383" spans="46:53" x14ac:dyDescent="0.2">
      <c r="AW383" s="58"/>
      <c r="AX383" s="55"/>
      <c r="AY383" s="55"/>
      <c r="AZ383" s="55"/>
      <c r="BA383" s="55"/>
    </row>
    <row r="384" spans="46:53" x14ac:dyDescent="0.2">
      <c r="AT384" s="96"/>
      <c r="AU384" s="96"/>
      <c r="AW384" s="58"/>
      <c r="AX384" s="55"/>
      <c r="AY384" s="55"/>
      <c r="AZ384" s="55"/>
      <c r="BA384" s="55"/>
    </row>
    <row r="385" spans="49:53" x14ac:dyDescent="0.2">
      <c r="AW385" s="58"/>
      <c r="AX385" s="55"/>
      <c r="AY385" s="55"/>
      <c r="AZ385" s="55"/>
      <c r="BA385" s="55"/>
    </row>
    <row r="386" spans="49:53" x14ac:dyDescent="0.2">
      <c r="AW386" s="58"/>
      <c r="AX386" s="55"/>
      <c r="AY386" s="55"/>
      <c r="AZ386" s="55"/>
      <c r="BA386" s="55"/>
    </row>
    <row r="387" spans="49:53" x14ac:dyDescent="0.2">
      <c r="AW387" s="58"/>
      <c r="AX387" s="55"/>
      <c r="AY387" s="55"/>
      <c r="AZ387" s="55"/>
      <c r="BA387" s="55"/>
    </row>
    <row r="388" spans="49:53" x14ac:dyDescent="0.2">
      <c r="AW388" s="58"/>
      <c r="AX388" s="55"/>
      <c r="AY388" s="55"/>
      <c r="AZ388" s="55"/>
      <c r="BA388" s="55"/>
    </row>
    <row r="389" spans="49:53" x14ac:dyDescent="0.2">
      <c r="AW389" s="58"/>
      <c r="AX389" s="55"/>
      <c r="AY389" s="55"/>
      <c r="AZ389" s="55"/>
      <c r="BA389" s="55"/>
    </row>
    <row r="390" spans="49:53" x14ac:dyDescent="0.2">
      <c r="AW390" s="58"/>
      <c r="AX390" s="55"/>
      <c r="AY390" s="55"/>
      <c r="AZ390" s="55"/>
      <c r="BA390" s="55"/>
    </row>
    <row r="391" spans="49:53" x14ac:dyDescent="0.2">
      <c r="AW391" s="58"/>
      <c r="AX391" s="55"/>
      <c r="AY391" s="55"/>
      <c r="AZ391" s="55"/>
      <c r="BA391" s="55"/>
    </row>
    <row r="392" spans="49:53" x14ac:dyDescent="0.2">
      <c r="AW392" s="58"/>
      <c r="AX392" s="55"/>
      <c r="AY392" s="55"/>
      <c r="AZ392" s="55"/>
      <c r="BA392" s="55"/>
    </row>
    <row r="393" spans="49:53" x14ac:dyDescent="0.2">
      <c r="AW393" s="58"/>
      <c r="AX393" s="55"/>
      <c r="AY393" s="55"/>
      <c r="AZ393" s="55"/>
      <c r="BA393" s="55"/>
    </row>
    <row r="394" spans="49:53" x14ac:dyDescent="0.2">
      <c r="AW394" s="58"/>
      <c r="AX394" s="55"/>
      <c r="AY394" s="55"/>
      <c r="AZ394" s="55"/>
      <c r="BA394" s="55"/>
    </row>
    <row r="395" spans="49:53" x14ac:dyDescent="0.2">
      <c r="AW395" s="58"/>
      <c r="AX395" s="55"/>
      <c r="AY395" s="55"/>
      <c r="AZ395" s="55"/>
      <c r="BA395" s="55"/>
    </row>
    <row r="396" spans="49:53" x14ac:dyDescent="0.2">
      <c r="AW396" s="58"/>
      <c r="AX396" s="55"/>
      <c r="AY396" s="55"/>
      <c r="AZ396" s="55"/>
      <c r="BA396" s="55"/>
    </row>
    <row r="397" spans="49:53" x14ac:dyDescent="0.2">
      <c r="AW397" s="58"/>
      <c r="AX397" s="55"/>
      <c r="AY397" s="55"/>
      <c r="AZ397" s="55"/>
      <c r="BA397" s="55"/>
    </row>
    <row r="398" spans="49:53" x14ac:dyDescent="0.2">
      <c r="AW398" s="58"/>
      <c r="AX398" s="55"/>
      <c r="AY398" s="55"/>
      <c r="AZ398" s="55"/>
      <c r="BA398" s="55"/>
    </row>
    <row r="399" spans="49:53" x14ac:dyDescent="0.2">
      <c r="AW399" s="58"/>
      <c r="AX399" s="55"/>
      <c r="AY399" s="55"/>
      <c r="AZ399" s="55"/>
      <c r="BA399" s="55"/>
    </row>
    <row r="400" spans="49:53" x14ac:dyDescent="0.2">
      <c r="AW400" s="58"/>
      <c r="AX400" s="55"/>
      <c r="AY400" s="55"/>
      <c r="AZ400" s="55"/>
      <c r="BA400" s="55"/>
    </row>
    <row r="401" spans="49:53" x14ac:dyDescent="0.2">
      <c r="AW401" s="58"/>
      <c r="AX401" s="55"/>
      <c r="AY401" s="55"/>
      <c r="AZ401" s="55"/>
      <c r="BA401" s="55"/>
    </row>
    <row r="402" spans="49:53" x14ac:dyDescent="0.2">
      <c r="AW402" s="58"/>
      <c r="AX402" s="55"/>
      <c r="AY402" s="55"/>
      <c r="AZ402" s="55"/>
      <c r="BA402" s="55"/>
    </row>
    <row r="403" spans="49:53" x14ac:dyDescent="0.2">
      <c r="AW403" s="58"/>
      <c r="AX403" s="55"/>
      <c r="AY403" s="55"/>
      <c r="AZ403" s="55"/>
      <c r="BA403" s="55"/>
    </row>
    <row r="404" spans="49:53" x14ac:dyDescent="0.2">
      <c r="AW404" s="58"/>
      <c r="AX404" s="55"/>
      <c r="AY404" s="55"/>
      <c r="AZ404" s="55"/>
      <c r="BA404" s="55"/>
    </row>
    <row r="405" spans="49:53" x14ac:dyDescent="0.2">
      <c r="AW405" s="58"/>
      <c r="AX405" s="55"/>
      <c r="AY405" s="55"/>
      <c r="AZ405" s="55"/>
      <c r="BA405" s="55"/>
    </row>
    <row r="406" spans="49:53" x14ac:dyDescent="0.2">
      <c r="AW406" s="58"/>
      <c r="AX406" s="55"/>
      <c r="AY406" s="55"/>
      <c r="AZ406" s="55"/>
      <c r="BA406" s="55"/>
    </row>
    <row r="407" spans="49:53" x14ac:dyDescent="0.2">
      <c r="AW407" s="58"/>
      <c r="AX407" s="55"/>
      <c r="AY407" s="55"/>
      <c r="AZ407" s="55"/>
      <c r="BA407" s="55"/>
    </row>
    <row r="408" spans="49:53" x14ac:dyDescent="0.2">
      <c r="AW408" s="58"/>
      <c r="AX408" s="55"/>
      <c r="AY408" s="55"/>
      <c r="AZ408" s="55"/>
      <c r="BA408" s="55"/>
    </row>
    <row r="409" spans="49:53" x14ac:dyDescent="0.2">
      <c r="AW409" s="58"/>
      <c r="AX409" s="55"/>
      <c r="AY409" s="55"/>
      <c r="AZ409" s="55"/>
      <c r="BA409" s="55"/>
    </row>
    <row r="410" spans="49:53" x14ac:dyDescent="0.2">
      <c r="AW410" s="58"/>
      <c r="AX410" s="55"/>
      <c r="AY410" s="55"/>
      <c r="AZ410" s="55"/>
      <c r="BA410" s="55"/>
    </row>
    <row r="411" spans="49:53" x14ac:dyDescent="0.2">
      <c r="AW411" s="58"/>
      <c r="AX411" s="55"/>
      <c r="AY411" s="55"/>
      <c r="AZ411" s="55"/>
      <c r="BA411" s="55"/>
    </row>
    <row r="412" spans="49:53" x14ac:dyDescent="0.2">
      <c r="AW412" s="58"/>
      <c r="AX412" s="55"/>
      <c r="AY412" s="55"/>
      <c r="AZ412" s="55"/>
      <c r="BA412" s="55"/>
    </row>
    <row r="413" spans="49:53" x14ac:dyDescent="0.2">
      <c r="AW413" s="58"/>
      <c r="AX413" s="55"/>
      <c r="AY413" s="55"/>
      <c r="AZ413" s="55"/>
      <c r="BA413" s="55"/>
    </row>
    <row r="414" spans="49:53" x14ac:dyDescent="0.2">
      <c r="AW414" s="58"/>
      <c r="AX414" s="55"/>
      <c r="AY414" s="55"/>
      <c r="AZ414" s="55"/>
      <c r="BA414" s="55"/>
    </row>
    <row r="415" spans="49:53" x14ac:dyDescent="0.2">
      <c r="AW415" s="58"/>
      <c r="AX415" s="55"/>
      <c r="AY415" s="55"/>
      <c r="AZ415" s="55"/>
      <c r="BA415" s="55"/>
    </row>
    <row r="416" spans="49:53" x14ac:dyDescent="0.2">
      <c r="AW416" s="58"/>
      <c r="AX416" s="55"/>
      <c r="AY416" s="55"/>
      <c r="AZ416" s="55"/>
      <c r="BA416" s="55"/>
    </row>
    <row r="418" spans="49:53" x14ac:dyDescent="0.2">
      <c r="AW418" s="66"/>
      <c r="AX418" s="63"/>
      <c r="AY418" s="63"/>
      <c r="AZ418" s="63"/>
      <c r="BA418" s="63"/>
    </row>
    <row r="419" spans="49:53" x14ac:dyDescent="0.2">
      <c r="AW419" s="66"/>
      <c r="AX419" s="63"/>
      <c r="AY419" s="63"/>
      <c r="AZ419" s="63"/>
      <c r="BA419" s="63"/>
    </row>
    <row r="420" spans="49:53" x14ac:dyDescent="0.2">
      <c r="AW420" s="66"/>
      <c r="AX420" s="63"/>
      <c r="AY420" s="63"/>
      <c r="AZ420" s="63"/>
      <c r="BA420" s="63"/>
    </row>
    <row r="421" spans="49:53" x14ac:dyDescent="0.2">
      <c r="AW421" s="66"/>
      <c r="AX421" s="63"/>
      <c r="AY421" s="63"/>
      <c r="AZ421" s="63"/>
      <c r="BA421" s="63"/>
    </row>
    <row r="422" spans="49:53" x14ac:dyDescent="0.2">
      <c r="AW422" s="66"/>
      <c r="AX422" s="63"/>
      <c r="AY422" s="63"/>
      <c r="AZ422" s="63"/>
      <c r="BA422" s="63"/>
    </row>
    <row r="423" spans="49:53" x14ac:dyDescent="0.2">
      <c r="AW423" s="66"/>
      <c r="AX423" s="63"/>
      <c r="AY423" s="63"/>
      <c r="AZ423" s="63"/>
      <c r="BA423" s="63"/>
    </row>
    <row r="424" spans="49:53" x14ac:dyDescent="0.2">
      <c r="AW424" s="66"/>
      <c r="AX424" s="63"/>
      <c r="AY424" s="63"/>
      <c r="AZ424" s="63"/>
      <c r="BA424" s="63"/>
    </row>
    <row r="425" spans="49:53" x14ac:dyDescent="0.2">
      <c r="AW425" s="66"/>
      <c r="AX425" s="63"/>
      <c r="AY425" s="63"/>
      <c r="AZ425" s="63"/>
      <c r="BA425" s="63"/>
    </row>
    <row r="426" spans="49:53" x14ac:dyDescent="0.2">
      <c r="AW426" s="73"/>
      <c r="AX426" s="72"/>
      <c r="AY426" s="72"/>
      <c r="AZ426" s="72"/>
      <c r="BA426" s="72"/>
    </row>
    <row r="427" spans="49:53" x14ac:dyDescent="0.2">
      <c r="AW427" s="79"/>
      <c r="AX427" s="78"/>
      <c r="AY427" s="78"/>
      <c r="AZ427" s="78"/>
      <c r="BA427" s="78"/>
    </row>
    <row r="428" spans="49:53" x14ac:dyDescent="0.2">
      <c r="AW428" s="79"/>
      <c r="AX428" s="78"/>
      <c r="AY428" s="78"/>
      <c r="AZ428" s="78"/>
      <c r="BA428" s="78"/>
    </row>
    <row r="429" spans="49:53" x14ac:dyDescent="0.2">
      <c r="AW429" s="66"/>
      <c r="AX429" s="63"/>
      <c r="AY429" s="63"/>
      <c r="AZ429" s="63"/>
      <c r="BA429" s="63"/>
    </row>
    <row r="430" spans="49:53" x14ac:dyDescent="0.2">
      <c r="AW430" s="66"/>
      <c r="AX430" s="63"/>
      <c r="AY430" s="63"/>
      <c r="AZ430" s="63"/>
      <c r="BA430" s="6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4385" priority="5" stopIfTrue="1">
      <formula>IF(AK9&gt;0,0,1)</formula>
    </cfRule>
  </conditionalFormatting>
  <conditionalFormatting sqref="A10:A11 A95:A96">
    <cfRule type="expression" dxfId="4384" priority="6" stopIfTrue="1">
      <formula>IF(AK9&gt;1,0,1)</formula>
    </cfRule>
  </conditionalFormatting>
  <conditionalFormatting sqref="A12:A13 A97:A98">
    <cfRule type="expression" dxfId="4383" priority="7" stopIfTrue="1">
      <formula>IF(AK9&gt;2,0,1)</formula>
    </cfRule>
  </conditionalFormatting>
  <conditionalFormatting sqref="A14:A15 A99:A100">
    <cfRule type="expression" dxfId="4382" priority="8" stopIfTrue="1">
      <formula>IF(AK9&gt;3,0,1)</formula>
    </cfRule>
  </conditionalFormatting>
  <conditionalFormatting sqref="A16:A17 A101:A102">
    <cfRule type="expression" dxfId="4381" priority="9" stopIfTrue="1">
      <formula>IF(AK9&gt;4,0,1)</formula>
    </cfRule>
  </conditionalFormatting>
  <conditionalFormatting sqref="B8 B93">
    <cfRule type="expression" dxfId="4380" priority="10" stopIfTrue="1">
      <formula>IF(AK9&gt;0,0,1)</formula>
    </cfRule>
  </conditionalFormatting>
  <conditionalFormatting sqref="B9 B94">
    <cfRule type="expression" dxfId="4379" priority="11" stopIfTrue="1">
      <formula>IF(AK9&gt;0,0,1)</formula>
    </cfRule>
  </conditionalFormatting>
  <conditionalFormatting sqref="B10 B95">
    <cfRule type="expression" dxfId="4378" priority="12" stopIfTrue="1">
      <formula>IF(AK9&gt;1,0,1)</formula>
    </cfRule>
  </conditionalFormatting>
  <conditionalFormatting sqref="B11:D11 B96:D96">
    <cfRule type="expression" dxfId="4377" priority="13" stopIfTrue="1">
      <formula>IF(AK9&gt;1,0,1)</formula>
    </cfRule>
  </conditionalFormatting>
  <conditionalFormatting sqref="B12:D12 B97:D97">
    <cfRule type="expression" dxfId="4376" priority="14" stopIfTrue="1">
      <formula>IF(AK9&gt;2,0,1)</formula>
    </cfRule>
  </conditionalFormatting>
  <conditionalFormatting sqref="B13:D13 B98:D98">
    <cfRule type="expression" dxfId="4375" priority="15" stopIfTrue="1">
      <formula>IF(AK9&gt;2,0,1)</formula>
    </cfRule>
  </conditionalFormatting>
  <conditionalFormatting sqref="B14:D14 B99:D99">
    <cfRule type="expression" dxfId="4374" priority="16" stopIfTrue="1">
      <formula>IF(AK9&gt;3,0,1)</formula>
    </cfRule>
  </conditionalFormatting>
  <conditionalFormatting sqref="B15:D15 B100:D100">
    <cfRule type="expression" dxfId="4373" priority="17" stopIfTrue="1">
      <formula>IF(AK9&gt;3,0,1)</formula>
    </cfRule>
  </conditionalFormatting>
  <conditionalFormatting sqref="B16:D16 B101:D101">
    <cfRule type="expression" dxfId="4372" priority="18" stopIfTrue="1">
      <formula>IF(AK9&gt;4,0,1)</formula>
    </cfRule>
  </conditionalFormatting>
  <conditionalFormatting sqref="B17:D17 B102:D102">
    <cfRule type="expression" dxfId="4371" priority="19" stopIfTrue="1">
      <formula>IF(AK9&gt;4,0,1)</formula>
    </cfRule>
  </conditionalFormatting>
  <conditionalFormatting sqref="E8 E93">
    <cfRule type="expression" dxfId="4370" priority="20" stopIfTrue="1">
      <formula>IF(AK9&gt;0,0,1)</formula>
    </cfRule>
  </conditionalFormatting>
  <conditionalFormatting sqref="E9 E94">
    <cfRule type="expression" dxfId="4369" priority="21" stopIfTrue="1">
      <formula>IF(AK9&gt;0,0,1)</formula>
    </cfRule>
  </conditionalFormatting>
  <conditionalFormatting sqref="E10 E95">
    <cfRule type="expression" dxfId="4368" priority="22" stopIfTrue="1">
      <formula>IF(AK9&gt;1,0,1)</formula>
    </cfRule>
  </conditionalFormatting>
  <conditionalFormatting sqref="E11 E96">
    <cfRule type="expression" dxfId="4367" priority="23" stopIfTrue="1">
      <formula>IF(AK9&gt;1,0,1)</formula>
    </cfRule>
  </conditionalFormatting>
  <conditionalFormatting sqref="E12 E97">
    <cfRule type="expression" dxfId="4366" priority="24" stopIfTrue="1">
      <formula>IF(AK9&gt;2,0,1)</formula>
    </cfRule>
  </conditionalFormatting>
  <conditionalFormatting sqref="E13 E98">
    <cfRule type="expression" dxfId="4365" priority="25" stopIfTrue="1">
      <formula>IF(AK9&gt;2,0,1)</formula>
    </cfRule>
  </conditionalFormatting>
  <conditionalFormatting sqref="E14 E99">
    <cfRule type="expression" dxfId="4364" priority="26" stopIfTrue="1">
      <formula>IF(AK9&gt;3,0,1)</formula>
    </cfRule>
  </conditionalFormatting>
  <conditionalFormatting sqref="E15 E100">
    <cfRule type="expression" dxfId="4363" priority="27" stopIfTrue="1">
      <formula>IF(AK9&gt;3,0,1)</formula>
    </cfRule>
  </conditionalFormatting>
  <conditionalFormatting sqref="E16 E101">
    <cfRule type="expression" dxfId="4362" priority="28" stopIfTrue="1">
      <formula>IF(AK9&gt;4,0,1)</formula>
    </cfRule>
  </conditionalFormatting>
  <conditionalFormatting sqref="E17 E102">
    <cfRule type="expression" dxfId="4361" priority="29" stopIfTrue="1">
      <formula>IF(AK9&gt;4,0,1)</formula>
    </cfRule>
  </conditionalFormatting>
  <conditionalFormatting sqref="AC8 AC93">
    <cfRule type="expression" dxfId="4360" priority="30" stopIfTrue="1">
      <formula>IF(AK11=1,IF(AK9&gt;0,0,1),1)</formula>
    </cfRule>
  </conditionalFormatting>
  <conditionalFormatting sqref="AC10:AE11 AC95:AE96">
    <cfRule type="expression" dxfId="4359" priority="31" stopIfTrue="1">
      <formula>IF(AK11=1,IF(AK9&gt;1,0,1),1)</formula>
    </cfRule>
  </conditionalFormatting>
  <conditionalFormatting sqref="AC12:AE13 AC97:AE98">
    <cfRule type="expression" dxfId="4358" priority="32" stopIfTrue="1">
      <formula>IF(AK11=1,IF(AK9&gt;2,0,1),1)</formula>
    </cfRule>
  </conditionalFormatting>
  <conditionalFormatting sqref="AC14:AE15 AC99:AE100">
    <cfRule type="expression" dxfId="4357" priority="33" stopIfTrue="1">
      <formula>IF(AK11=1,IF(AK9&gt;3,0,1),1)</formula>
    </cfRule>
  </conditionalFormatting>
  <conditionalFormatting sqref="AC16:AE17 AC101:AE102">
    <cfRule type="expression" dxfId="4356" priority="34" stopIfTrue="1">
      <formula>IF(AK11=1,IF(AK9&gt;4,0,1),1)</formula>
    </cfRule>
  </conditionalFormatting>
  <conditionalFormatting sqref="AH8 AH93">
    <cfRule type="expression" dxfId="4355" priority="35" stopIfTrue="1">
      <formula>IF(AK9&gt;0,0,1)</formula>
    </cfRule>
  </conditionalFormatting>
  <conditionalFormatting sqref="AH10:AI11 AH95:AI96">
    <cfRule type="expression" dxfId="4354" priority="36" stopIfTrue="1">
      <formula>IF(AK9&gt;1,0,1)</formula>
    </cfRule>
  </conditionalFormatting>
  <conditionalFormatting sqref="AH12:AI13 AH97:AI98">
    <cfRule type="expression" dxfId="4353" priority="37" stopIfTrue="1">
      <formula>IF(AK9&gt;2,0,1)</formula>
    </cfRule>
  </conditionalFormatting>
  <conditionalFormatting sqref="AH14:AI15 AH99:AI100">
    <cfRule type="expression" dxfId="4352" priority="38" stopIfTrue="1">
      <formula>IF(AK9&gt;3,0,1)</formula>
    </cfRule>
  </conditionalFormatting>
  <conditionalFormatting sqref="AH16:AI17 AH101:AI102">
    <cfRule type="expression" dxfId="4351" priority="39" stopIfTrue="1">
      <formula>IF(AK9&gt;4,0,1)</formula>
    </cfRule>
  </conditionalFormatting>
  <conditionalFormatting sqref="B19:D19 B104:D104">
    <cfRule type="expression" dxfId="4350" priority="40" stopIfTrue="1">
      <formula>IF(AK8&gt;0,0,1)</formula>
    </cfRule>
  </conditionalFormatting>
  <conditionalFormatting sqref="E19:G19 E104:G104">
    <cfRule type="expression" dxfId="4349" priority="41" stopIfTrue="1">
      <formula>IF(AK8&gt;1,0,1)</formula>
    </cfRule>
  </conditionalFormatting>
  <conditionalFormatting sqref="H19:J19 H104:J104">
    <cfRule type="expression" dxfId="4348" priority="42" stopIfTrue="1">
      <formula>IF(AK8&gt;2,0,1)</formula>
    </cfRule>
  </conditionalFormatting>
  <conditionalFormatting sqref="K19:M19 K104:M104">
    <cfRule type="expression" dxfId="4347" priority="43" stopIfTrue="1">
      <formula>IF(AK8&gt;3,0,1)</formula>
    </cfRule>
  </conditionalFormatting>
  <conditionalFormatting sqref="N19:P19 N104:P104">
    <cfRule type="expression" dxfId="4346" priority="44" stopIfTrue="1">
      <formula>IF(AK8&gt;4,0,1)</formula>
    </cfRule>
  </conditionalFormatting>
  <conditionalFormatting sqref="Q19:S19 Q104:S104">
    <cfRule type="expression" dxfId="4345" priority="45" stopIfTrue="1">
      <formula>IF(AK8&gt;5,0,1)</formula>
    </cfRule>
  </conditionalFormatting>
  <conditionalFormatting sqref="T19:V19 T104:V104">
    <cfRule type="expression" dxfId="4344" priority="46" stopIfTrue="1">
      <formula>IF(AK8&gt;6,0,1)</formula>
    </cfRule>
  </conditionalFormatting>
  <conditionalFormatting sqref="W19:Y19 W104:Y104">
    <cfRule type="expression" dxfId="4343" priority="47" stopIfTrue="1">
      <formula>IF(AK8&gt;7,0,1)</formula>
    </cfRule>
  </conditionalFormatting>
  <conditionalFormatting sqref="Z19:AB19 Z104:AB104">
    <cfRule type="expression" dxfId="4342" priority="48" stopIfTrue="1">
      <formula>IF(AK8&gt;8,0,1)</formula>
    </cfRule>
  </conditionalFormatting>
  <conditionalFormatting sqref="AC19:AE19 AC104:AE104">
    <cfRule type="expression" dxfId="4341" priority="49" stopIfTrue="1">
      <formula>IF(AK8&gt;9,0,1)</formula>
    </cfRule>
  </conditionalFormatting>
  <conditionalFormatting sqref="B20:D20 B105:D105">
    <cfRule type="expression" dxfId="4340" priority="50" stopIfTrue="1">
      <formula>IF(AK8&gt;0,0,1)</formula>
    </cfRule>
  </conditionalFormatting>
  <conditionalFormatting sqref="E20:G20 E105:G105">
    <cfRule type="expression" dxfId="4339" priority="51" stopIfTrue="1">
      <formula>IF(AK8&gt;1,0,1)</formula>
    </cfRule>
  </conditionalFormatting>
  <conditionalFormatting sqref="H20:J20 H105:J105">
    <cfRule type="expression" dxfId="4338" priority="52" stopIfTrue="1">
      <formula>IF(AK8&gt;2,0,1)</formula>
    </cfRule>
  </conditionalFormatting>
  <conditionalFormatting sqref="K20:M20 K105:M105">
    <cfRule type="expression" dxfId="4337" priority="53" stopIfTrue="1">
      <formula>IF(AK8&gt;3,0,1)</formula>
    </cfRule>
  </conditionalFormatting>
  <conditionalFormatting sqref="N20:P20 N105:P105">
    <cfRule type="expression" dxfId="4336" priority="54" stopIfTrue="1">
      <formula>IF(AK8&gt;4,0,1)</formula>
    </cfRule>
  </conditionalFormatting>
  <conditionalFormatting sqref="Q20:S20 Q105:S105">
    <cfRule type="expression" dxfId="4335" priority="55" stopIfTrue="1">
      <formula>IF(AK8&gt;5,0,1)</formula>
    </cfRule>
  </conditionalFormatting>
  <conditionalFormatting sqref="T20:V20 T105:V105">
    <cfRule type="expression" dxfId="4334" priority="56" stopIfTrue="1">
      <formula>IF(AK8&gt;6,0,1)</formula>
    </cfRule>
  </conditionalFormatting>
  <conditionalFormatting sqref="W20:Y20 W105:Y105">
    <cfRule type="expression" dxfId="4333" priority="57" stopIfTrue="1">
      <formula>IF(AK8&gt;7,0,1)</formula>
    </cfRule>
  </conditionalFormatting>
  <conditionalFormatting sqref="Z20:AB20 Z105:AB105">
    <cfRule type="expression" dxfId="4332" priority="58" stopIfTrue="1">
      <formula>IF(AK8&gt;8,0,1)</formula>
    </cfRule>
  </conditionalFormatting>
  <conditionalFormatting sqref="AC20:AE20 AC105:AE105">
    <cfRule type="expression" dxfId="4331" priority="59" stopIfTrue="1">
      <formula>IF(AK8&gt;9,0,1)</formula>
    </cfRule>
  </conditionalFormatting>
  <conditionalFormatting sqref="E22:G22 E107:G107">
    <cfRule type="expression" dxfId="4330" priority="60" stopIfTrue="1">
      <formula>IF(AK8&gt;1,0,1)</formula>
    </cfRule>
  </conditionalFormatting>
  <conditionalFormatting sqref="H22:J22 H107:J107">
    <cfRule type="expression" dxfId="4329" priority="61" stopIfTrue="1">
      <formula>IF(AK8&gt;2,0,1)</formula>
    </cfRule>
  </conditionalFormatting>
  <conditionalFormatting sqref="K22:M22 K107:M107">
    <cfRule type="expression" dxfId="4328" priority="62" stopIfTrue="1">
      <formula>IF(AK8&gt;3,0,1)</formula>
    </cfRule>
  </conditionalFormatting>
  <conditionalFormatting sqref="N22:P22 N107:P107">
    <cfRule type="expression" dxfId="4327" priority="63" stopIfTrue="1">
      <formula>IF(AK8&gt;4,0,1)</formula>
    </cfRule>
  </conditionalFormatting>
  <conditionalFormatting sqref="Q22:S22 Q107:S107">
    <cfRule type="expression" dxfId="4326" priority="64" stopIfTrue="1">
      <formula>IF(AK8&gt;5,0,1)</formula>
    </cfRule>
  </conditionalFormatting>
  <conditionalFormatting sqref="T22:V22 T107:V107">
    <cfRule type="expression" dxfId="4325" priority="65" stopIfTrue="1">
      <formula>IF(AK8&gt;6,0,1)</formula>
    </cfRule>
  </conditionalFormatting>
  <conditionalFormatting sqref="W22:Y22 W107:Y107">
    <cfRule type="expression" dxfId="4324" priority="66" stopIfTrue="1">
      <formula>IF(AK8&gt;7,0,1)</formula>
    </cfRule>
  </conditionalFormatting>
  <conditionalFormatting sqref="Z22:AB22 Z107:AB107">
    <cfRule type="expression" dxfId="4323" priority="67" stopIfTrue="1">
      <formula>IF(AK8&gt;8,0,1)</formula>
    </cfRule>
  </conditionalFormatting>
  <conditionalFormatting sqref="AC22:AE22 AC107:AE107">
    <cfRule type="expression" dxfId="4322" priority="68" stopIfTrue="1">
      <formula>IF(AK8&gt;9,0,1)</formula>
    </cfRule>
  </conditionalFormatting>
  <conditionalFormatting sqref="B24 B109">
    <cfRule type="expression" dxfId="4321" priority="69" stopIfTrue="1">
      <formula>IF(AK8&gt;0,0,1)</formula>
    </cfRule>
  </conditionalFormatting>
  <conditionalFormatting sqref="C24 C109">
    <cfRule type="expression" dxfId="4320" priority="70" stopIfTrue="1">
      <formula>IF(AK8&gt;0,0,1)</formula>
    </cfRule>
  </conditionalFormatting>
  <conditionalFormatting sqref="D24 D109">
    <cfRule type="expression" dxfId="4319" priority="71" stopIfTrue="1">
      <formula>IF(AK8&gt;0,0,1)</formula>
    </cfRule>
  </conditionalFormatting>
  <conditionalFormatting sqref="E23:G23 E108:G108">
    <cfRule type="expression" dxfId="4318" priority="72" stopIfTrue="1">
      <formula>IF(AK8&gt;1,0,1)</formula>
    </cfRule>
  </conditionalFormatting>
  <conditionalFormatting sqref="F24 F109">
    <cfRule type="expression" dxfId="4317" priority="73" stopIfTrue="1">
      <formula>IF(AK8&gt;1,0,1)</formula>
    </cfRule>
  </conditionalFormatting>
  <conditionalFormatting sqref="G24 G109">
    <cfRule type="expression" dxfId="4316" priority="74" stopIfTrue="1">
      <formula>IF(AK8&gt;1,0,1)</formula>
    </cfRule>
  </conditionalFormatting>
  <conditionalFormatting sqref="H23:J23 H108:J108">
    <cfRule type="expression" dxfId="4315" priority="75" stopIfTrue="1">
      <formula>IF(AK8&gt;2,0,1)</formula>
    </cfRule>
  </conditionalFormatting>
  <conditionalFormatting sqref="I24 I109">
    <cfRule type="expression" dxfId="4314" priority="76" stopIfTrue="1">
      <formula>IF(AK8&gt;2,0,1)</formula>
    </cfRule>
  </conditionalFormatting>
  <conditionalFormatting sqref="J24 J109">
    <cfRule type="expression" dxfId="4313" priority="77" stopIfTrue="1">
      <formula>IF(AK8&gt;2,0,1)</formula>
    </cfRule>
  </conditionalFormatting>
  <conditionalFormatting sqref="K23:M23 K108:M108">
    <cfRule type="expression" dxfId="4312" priority="78" stopIfTrue="1">
      <formula>IF(AK8&gt;3,0,1)</formula>
    </cfRule>
  </conditionalFormatting>
  <conditionalFormatting sqref="L24 L109">
    <cfRule type="expression" dxfId="4311" priority="79" stopIfTrue="1">
      <formula>IF(AK8&gt;3,0,1)</formula>
    </cfRule>
  </conditionalFormatting>
  <conditionalFormatting sqref="M24 M109">
    <cfRule type="expression" dxfId="4310" priority="80" stopIfTrue="1">
      <formula>IF(AK8&gt;3,0,1)</formula>
    </cfRule>
  </conditionalFormatting>
  <conditionalFormatting sqref="N23:P23 N108:P108">
    <cfRule type="expression" dxfId="4309" priority="81" stopIfTrue="1">
      <formula>IF(AK8&gt;4,0,1)</formula>
    </cfRule>
  </conditionalFormatting>
  <conditionalFormatting sqref="O24 O109">
    <cfRule type="expression" dxfId="4308" priority="82" stopIfTrue="1">
      <formula>IF(AK8&gt;4,0,1)</formula>
    </cfRule>
  </conditionalFormatting>
  <conditionalFormatting sqref="P24 P109">
    <cfRule type="expression" dxfId="4307" priority="83" stopIfTrue="1">
      <formula>IF(AK8&gt;4,0,1)</formula>
    </cfRule>
  </conditionalFormatting>
  <conditionalFormatting sqref="Q23:S23 Q108:S108">
    <cfRule type="expression" dxfId="4306" priority="84" stopIfTrue="1">
      <formula>IF(AK8&gt;5,0,1)</formula>
    </cfRule>
  </conditionalFormatting>
  <conditionalFormatting sqref="R24 R109">
    <cfRule type="expression" dxfId="4305" priority="85" stopIfTrue="1">
      <formula>IF(AK8&gt;5,0,1)</formula>
    </cfRule>
  </conditionalFormatting>
  <conditionalFormatting sqref="S24 S109">
    <cfRule type="expression" dxfId="4304" priority="86" stopIfTrue="1">
      <formula>IF(AK8&gt;5,0,1)</formula>
    </cfRule>
  </conditionalFormatting>
  <conditionalFormatting sqref="T23:V23 T108:V108">
    <cfRule type="expression" dxfId="4303" priority="87" stopIfTrue="1">
      <formula>IF(AK8&gt;6,0,1)</formula>
    </cfRule>
  </conditionalFormatting>
  <conditionalFormatting sqref="U24 U109">
    <cfRule type="expression" dxfId="4302" priority="88" stopIfTrue="1">
      <formula>IF(AK8&gt;6,0,1)</formula>
    </cfRule>
  </conditionalFormatting>
  <conditionalFormatting sqref="V24 V109">
    <cfRule type="expression" dxfId="4301" priority="89" stopIfTrue="1">
      <formula>IF(AK8&gt;6,0,1)</formula>
    </cfRule>
  </conditionalFormatting>
  <conditionalFormatting sqref="W23:Y23 W108:Y108">
    <cfRule type="expression" dxfId="4300" priority="90" stopIfTrue="1">
      <formula>IF(AK8&gt;7,0,1)</formula>
    </cfRule>
  </conditionalFormatting>
  <conditionalFormatting sqref="X24 X109">
    <cfRule type="expression" dxfId="4299" priority="91" stopIfTrue="1">
      <formula>IF(AK8&gt;7,0,1)</formula>
    </cfRule>
  </conditionalFormatting>
  <conditionalFormatting sqref="Y24 Y109">
    <cfRule type="expression" dxfId="4298" priority="92" stopIfTrue="1">
      <formula>IF(AK8&gt;7,0,1)</formula>
    </cfRule>
  </conditionalFormatting>
  <conditionalFormatting sqref="Z23:AB23 Z108:AB108">
    <cfRule type="expression" dxfId="4297" priority="93" stopIfTrue="1">
      <formula>IF(AK8&gt;8,0,1)</formula>
    </cfRule>
  </conditionalFormatting>
  <conditionalFormatting sqref="AA24 AA109">
    <cfRule type="expression" dxfId="4296" priority="94" stopIfTrue="1">
      <formula>IF(AK8&gt;8,0,1)</formula>
    </cfRule>
  </conditionalFormatting>
  <conditionalFormatting sqref="AB24 AB109">
    <cfRule type="expression" dxfId="4295" priority="95" stopIfTrue="1">
      <formula>IF(AK8&gt;8,0,1)</formula>
    </cfRule>
  </conditionalFormatting>
  <conditionalFormatting sqref="AC23:AE23 AC108:AE108">
    <cfRule type="expression" dxfId="4294" priority="96" stopIfTrue="1">
      <formula>IF(AK8&gt;9,0,1)</formula>
    </cfRule>
  </conditionalFormatting>
  <conditionalFormatting sqref="AD24 AD109">
    <cfRule type="expression" dxfId="4293" priority="97" stopIfTrue="1">
      <formula>IF(AK8&gt;9,0,1)</formula>
    </cfRule>
  </conditionalFormatting>
  <conditionalFormatting sqref="AE24 AE109">
    <cfRule type="expression" dxfId="4292" priority="98" stopIfTrue="1">
      <formula>IF(AK8&gt;9,0,1)</formula>
    </cfRule>
  </conditionalFormatting>
  <conditionalFormatting sqref="A26 A111">
    <cfRule type="expression" dxfId="4291" priority="99" stopIfTrue="1">
      <formula>IF(AK7&gt;1,0,1)</formula>
    </cfRule>
  </conditionalFormatting>
  <conditionalFormatting sqref="A27 A112">
    <cfRule type="expression" dxfId="4290" priority="100" stopIfTrue="1">
      <formula>IF(AK7&gt;2,0,1)</formula>
    </cfRule>
  </conditionalFormatting>
  <conditionalFormatting sqref="A28 A113">
    <cfRule type="expression" dxfId="4289" priority="101" stopIfTrue="1">
      <formula>IF(AK7&gt;3,0,1)</formula>
    </cfRule>
  </conditionalFormatting>
  <conditionalFormatting sqref="A29 A114">
    <cfRule type="expression" dxfId="4288" priority="102" stopIfTrue="1">
      <formula>IF(AK7&gt;4,0,1)</formula>
    </cfRule>
  </conditionalFormatting>
  <conditionalFormatting sqref="B25:D25 B110:D110">
    <cfRule type="expression" dxfId="4287" priority="103" stopIfTrue="1">
      <formula>IF($AK8&gt;0,0,1)</formula>
    </cfRule>
  </conditionalFormatting>
  <conditionalFormatting sqref="B26:D26 B111:D111">
    <cfRule type="expression" dxfId="4286" priority="104" stopIfTrue="1">
      <formula>IF($AK8&lt;1,1,IF($AK7&lt;2,1,0))</formula>
    </cfRule>
  </conditionalFormatting>
  <conditionalFormatting sqref="B27:D27 B112:D112">
    <cfRule type="expression" dxfId="4285" priority="105" stopIfTrue="1">
      <formula>IF($AK8&lt;1,1,IF($AK7&lt;3,1,0))</formula>
    </cfRule>
  </conditionalFormatting>
  <conditionalFormatting sqref="B28:D28 B113:D113">
    <cfRule type="expression" dxfId="4284" priority="106" stopIfTrue="1">
      <formula>IF($AK8&lt;1,1,IF($AK7&lt;4,1,0))</formula>
    </cfRule>
  </conditionalFormatting>
  <conditionalFormatting sqref="B29:D29 B114:D114">
    <cfRule type="expression" dxfId="4283" priority="107" stopIfTrue="1">
      <formula>IF($AK8&lt;1,1,IF($AK7&lt;5,1,0))</formula>
    </cfRule>
  </conditionalFormatting>
  <conditionalFormatting sqref="AG23 AG108">
    <cfRule type="expression" dxfId="4282" priority="108" stopIfTrue="1">
      <formula>IF($AK8&lt;1,1,0)</formula>
    </cfRule>
  </conditionalFormatting>
  <conditionalFormatting sqref="AH23 AH108">
    <cfRule type="expression" dxfId="4281" priority="109" stopIfTrue="1">
      <formula>IF($AK8&lt;2,1,0)</formula>
    </cfRule>
  </conditionalFormatting>
  <conditionalFormatting sqref="AI23 AI108">
    <cfRule type="expression" dxfId="4280" priority="110" stopIfTrue="1">
      <formula>IF($AK8&lt;3,1,0)</formula>
    </cfRule>
  </conditionalFormatting>
  <conditionalFormatting sqref="AJ23 AJ108">
    <cfRule type="expression" dxfId="4279" priority="111" stopIfTrue="1">
      <formula>IF($AK8&lt;4,1,0)</formula>
    </cfRule>
  </conditionalFormatting>
  <conditionalFormatting sqref="AK23 AK108">
    <cfRule type="expression" dxfId="4278" priority="112" stopIfTrue="1">
      <formula>IF($AK8&lt;5,1,0)</formula>
    </cfRule>
  </conditionalFormatting>
  <conditionalFormatting sqref="AL23 AL108">
    <cfRule type="expression" dxfId="4277" priority="113" stopIfTrue="1">
      <formula>IF($AK8&lt;6,1,0)</formula>
    </cfRule>
  </conditionalFormatting>
  <conditionalFormatting sqref="AM23 AM108">
    <cfRule type="expression" dxfId="4276" priority="114" stopIfTrue="1">
      <formula>IF($AK8&lt;7,1,0)</formula>
    </cfRule>
  </conditionalFormatting>
  <conditionalFormatting sqref="AN23 AN108">
    <cfRule type="expression" dxfId="4275" priority="115" stopIfTrue="1">
      <formula>IF($AK8&lt;8,1,0)</formula>
    </cfRule>
  </conditionalFormatting>
  <conditionalFormatting sqref="AO23 AO108">
    <cfRule type="expression" dxfId="4274" priority="116" stopIfTrue="1">
      <formula>IF($AK8&lt;9,1,0)</formula>
    </cfRule>
  </conditionalFormatting>
  <conditionalFormatting sqref="AP23 AP108">
    <cfRule type="expression" dxfId="4273" priority="117" stopIfTrue="1">
      <formula>IF($AK8&lt;10,1,0)</formula>
    </cfRule>
  </conditionalFormatting>
  <conditionalFormatting sqref="AQ24 AQ109">
    <cfRule type="expression" dxfId="4272" priority="118" stopIfTrue="1">
      <formula>IF($AK9&gt;0,0,1)</formula>
    </cfRule>
  </conditionalFormatting>
  <conditionalFormatting sqref="AQ25 AQ110">
    <cfRule type="expression" dxfId="4271" priority="119" stopIfTrue="1">
      <formula>IF($AK9&gt;1,0,1)</formula>
    </cfRule>
  </conditionalFormatting>
  <conditionalFormatting sqref="AQ26 H25:J25 AQ111 H110:J110">
    <cfRule type="expression" dxfId="4270" priority="120" stopIfTrue="1">
      <formula>IF($AK8&gt;2,0,1)</formula>
    </cfRule>
  </conditionalFormatting>
  <conditionalFormatting sqref="K25:M25 K110:M110">
    <cfRule type="expression" dxfId="4269" priority="121" stopIfTrue="1">
      <formula>IF($AK8&gt;3,0,1)</formula>
    </cfRule>
  </conditionalFormatting>
  <conditionalFormatting sqref="AQ28 AQ113">
    <cfRule type="expression" dxfId="4268" priority="122" stopIfTrue="1">
      <formula>IF($AK9&gt;4,0,1)</formula>
    </cfRule>
  </conditionalFormatting>
  <conditionalFormatting sqref="E26:G26 E111:G111">
    <cfRule type="expression" dxfId="4267" priority="123" stopIfTrue="1">
      <formula>IF($AK8&lt;2,1,IF($AK7&lt;2,1,0))</formula>
    </cfRule>
  </conditionalFormatting>
  <conditionalFormatting sqref="E27:G27 E112:G112">
    <cfRule type="expression" dxfId="4266" priority="124" stopIfTrue="1">
      <formula>IF($AK8&lt;2,1,IF($AK7&lt;3,1,0))</formula>
    </cfRule>
  </conditionalFormatting>
  <conditionalFormatting sqref="E28:G28 E113:G113">
    <cfRule type="expression" dxfId="4265" priority="125" stopIfTrue="1">
      <formula>IF($AK8&lt;2,1,IF($AK7&lt;4,1,0))</formula>
    </cfRule>
  </conditionalFormatting>
  <conditionalFormatting sqref="E29:G29 E114:G114">
    <cfRule type="expression" dxfId="4264" priority="126" stopIfTrue="1">
      <formula>IF($AK8&lt;2,1,IF($AK7&lt;5,1,0))</formula>
    </cfRule>
  </conditionalFormatting>
  <conditionalFormatting sqref="N25:P25 N110:P110">
    <cfRule type="expression" dxfId="4263" priority="127" stopIfTrue="1">
      <formula>IF($AK8&gt;4,0,1)</formula>
    </cfRule>
  </conditionalFormatting>
  <conditionalFormatting sqref="Q25:S25 Q110:S110">
    <cfRule type="expression" dxfId="4262" priority="128" stopIfTrue="1">
      <formula>IF($AK8&gt;5,0,1)</formula>
    </cfRule>
  </conditionalFormatting>
  <conditionalFormatting sqref="T25:V25 T110:V110">
    <cfRule type="expression" dxfId="4261" priority="129" stopIfTrue="1">
      <formula>IF($AK8&gt;6,0,1)</formula>
    </cfRule>
  </conditionalFormatting>
  <conditionalFormatting sqref="W25:Y25 W110:Y110">
    <cfRule type="expression" dxfId="4260" priority="130" stopIfTrue="1">
      <formula>IF($AK8&gt;7,0,1)</formula>
    </cfRule>
  </conditionalFormatting>
  <conditionalFormatting sqref="Z25:AB25 Z110:AB110">
    <cfRule type="expression" dxfId="4259" priority="131" stopIfTrue="1">
      <formula>IF($AK8&gt;8,0,1)</formula>
    </cfRule>
  </conditionalFormatting>
  <conditionalFormatting sqref="AC25:AE25 AC110:AE110">
    <cfRule type="expression" dxfId="4258" priority="132" stopIfTrue="1">
      <formula>IF($AK8&gt;9,0,1)</formula>
    </cfRule>
  </conditionalFormatting>
  <conditionalFormatting sqref="H26:J26 H111:J111">
    <cfRule type="expression" dxfId="4257" priority="133" stopIfTrue="1">
      <formula>IF($AK8&lt;3,1,IF($AK7&lt;2,1,0))</formula>
    </cfRule>
  </conditionalFormatting>
  <conditionalFormatting sqref="K26:M26 K111:M111">
    <cfRule type="expression" dxfId="4256" priority="134" stopIfTrue="1">
      <formula>IF($AK8&lt;4,1,IF($AK7&lt;2,1,0))</formula>
    </cfRule>
  </conditionalFormatting>
  <conditionalFormatting sqref="N26:P26 N111:P111">
    <cfRule type="expression" dxfId="4255" priority="135" stopIfTrue="1">
      <formula>IF($AK8&lt;5,1,IF($AK7&lt;2,1,0))</formula>
    </cfRule>
  </conditionalFormatting>
  <conditionalFormatting sqref="Q26:S26 Q111:S111">
    <cfRule type="expression" dxfId="4254" priority="136" stopIfTrue="1">
      <formula>IF($AK8&lt;6,1,IF($AK7&lt;2,1,0))</formula>
    </cfRule>
  </conditionalFormatting>
  <conditionalFormatting sqref="T26:V26 T111:V111">
    <cfRule type="expression" dxfId="4253" priority="137" stopIfTrue="1">
      <formula>IF($AK8&lt;7,1,IF($AK7&lt;2,1,0))</formula>
    </cfRule>
  </conditionalFormatting>
  <conditionalFormatting sqref="W26:Y26 W111:Y111">
    <cfRule type="expression" dxfId="4252" priority="138" stopIfTrue="1">
      <formula>IF($AK8&lt;8,1,IF($AK7&lt;2,1,0))</formula>
    </cfRule>
  </conditionalFormatting>
  <conditionalFormatting sqref="Z26:AB26 Z111:AB111">
    <cfRule type="expression" dxfId="4251" priority="139" stopIfTrue="1">
      <formula>IF($AK8&lt;9,1,IF($AK7&lt;2,1,0))</formula>
    </cfRule>
  </conditionalFormatting>
  <conditionalFormatting sqref="AC26:AE26 AC111:AE111">
    <cfRule type="expression" dxfId="4250" priority="140" stopIfTrue="1">
      <formula>IF($AK8&lt;10,1,IF($AK7&lt;2,1,0))</formula>
    </cfRule>
  </conditionalFormatting>
  <conditionalFormatting sqref="H27:J27 H112:J112">
    <cfRule type="expression" dxfId="4249" priority="141" stopIfTrue="1">
      <formula>IF($AK8&lt;3,1,IF($AK7&lt;3,1,0))</formula>
    </cfRule>
  </conditionalFormatting>
  <conditionalFormatting sqref="K27:M27 K112:M112">
    <cfRule type="expression" dxfId="4248" priority="142" stopIfTrue="1">
      <formula>IF($AK8&lt;4,1,IF($AK7&lt;3,1,0))</formula>
    </cfRule>
  </conditionalFormatting>
  <conditionalFormatting sqref="N27:P27 N112:P112">
    <cfRule type="expression" dxfId="4247" priority="143" stopIfTrue="1">
      <formula>IF($AK8&lt;5,1,IF($AK7&lt;3,1,0))</formula>
    </cfRule>
  </conditionalFormatting>
  <conditionalFormatting sqref="Q27:S27 Q112:S112">
    <cfRule type="expression" dxfId="4246" priority="144" stopIfTrue="1">
      <formula>IF($AK8&lt;6,1,IF($AK7&lt;3,1,0))</formula>
    </cfRule>
  </conditionalFormatting>
  <conditionalFormatting sqref="T27:V27 T112:V112">
    <cfRule type="expression" dxfId="4245" priority="145" stopIfTrue="1">
      <formula>IF($AK8&lt;7,1,IF($AK7&lt;3,1,0))</formula>
    </cfRule>
  </conditionalFormatting>
  <conditionalFormatting sqref="W27:Y27 W112:Y112">
    <cfRule type="expression" dxfId="4244" priority="146" stopIfTrue="1">
      <formula>IF($AK8&lt;8,1,IF($AK7&lt;3,1,0))</formula>
    </cfRule>
  </conditionalFormatting>
  <conditionalFormatting sqref="Z27:AB27 Z112:AB112">
    <cfRule type="expression" dxfId="4243" priority="147" stopIfTrue="1">
      <formula>IF($AK8&lt;9,1,IF($AK7&lt;3,1,0))</formula>
    </cfRule>
  </conditionalFormatting>
  <conditionalFormatting sqref="AC27:AE27 AC112:AE112">
    <cfRule type="expression" dxfId="4242" priority="148" stopIfTrue="1">
      <formula>IF($AK8&lt;10,1,IF($AK7&lt;3,1,0))</formula>
    </cfRule>
  </conditionalFormatting>
  <conditionalFormatting sqref="H28:J28 H113:J113">
    <cfRule type="expression" dxfId="4241" priority="149" stopIfTrue="1">
      <formula>IF($AK8&lt;3,1,IF($AK7&lt;4,1,0))</formula>
    </cfRule>
  </conditionalFormatting>
  <conditionalFormatting sqref="K28:M28 K113:M113">
    <cfRule type="expression" dxfId="4240" priority="150" stopIfTrue="1">
      <formula>IF($AK8&lt;4,1,IF($AK7&lt;4,1,0))</formula>
    </cfRule>
  </conditionalFormatting>
  <conditionalFormatting sqref="N28:P28 N113:P113">
    <cfRule type="expression" dxfId="4239" priority="151" stopIfTrue="1">
      <formula>IF($AK8&lt;5,1,IF($AK7&lt;4,1,0))</formula>
    </cfRule>
  </conditionalFormatting>
  <conditionalFormatting sqref="Q28:S28 Q113:S113">
    <cfRule type="expression" dxfId="4238" priority="152" stopIfTrue="1">
      <formula>IF($AK8&lt;6,1,IF($AK7&lt;4,1,0))</formula>
    </cfRule>
  </conditionalFormatting>
  <conditionalFormatting sqref="T28:V28 T113:V113">
    <cfRule type="expression" dxfId="4237" priority="153" stopIfTrue="1">
      <formula>IF($AK8&lt;7,1,IF($AK7&lt;4,1,0))</formula>
    </cfRule>
  </conditionalFormatting>
  <conditionalFormatting sqref="W28:Y28 W113:Y113">
    <cfRule type="expression" dxfId="4236" priority="154" stopIfTrue="1">
      <formula>IF($AK8&lt;8,1,IF($AK7&lt;4,1,0))</formula>
    </cfRule>
  </conditionalFormatting>
  <conditionalFormatting sqref="Z28:AB28 Z113:AB113">
    <cfRule type="expression" dxfId="4235" priority="155" stopIfTrue="1">
      <formula>IF($AK8&lt;9,1,IF($AK7&lt;4,1,0))</formula>
    </cfRule>
  </conditionalFormatting>
  <conditionalFormatting sqref="AC28:AE28 AC113:AE113">
    <cfRule type="expression" dxfId="4234" priority="156" stopIfTrue="1">
      <formula>IF($AK8&lt;10,1,IF($AK7&lt;4,1,0))</formula>
    </cfRule>
  </conditionalFormatting>
  <conditionalFormatting sqref="H29:J29 H114:J114">
    <cfRule type="expression" dxfId="4233" priority="157" stopIfTrue="1">
      <formula>IF($AK8&lt;3,1,IF($AK7&lt;5,1,0))</formula>
    </cfRule>
  </conditionalFormatting>
  <conditionalFormatting sqref="K29:M29 K114:M114">
    <cfRule type="expression" dxfId="4232" priority="158" stopIfTrue="1">
      <formula>IF($AK8&lt;4,1,IF($AK7&lt;5,1,0))</formula>
    </cfRule>
  </conditionalFormatting>
  <conditionalFormatting sqref="N29:P29 N114:P114">
    <cfRule type="expression" dxfId="4231" priority="159" stopIfTrue="1">
      <formula>IF($AK8&lt;5,1,IF($AK7&lt;5,1,0))</formula>
    </cfRule>
  </conditionalFormatting>
  <conditionalFormatting sqref="Q29:S29 Q114:S114">
    <cfRule type="expression" dxfId="4230" priority="160" stopIfTrue="1">
      <formula>IF($AK8&lt;6,1,IF($AK7&lt;5,1,0))</formula>
    </cfRule>
  </conditionalFormatting>
  <conditionalFormatting sqref="T29:V29 T114:V114">
    <cfRule type="expression" dxfId="4229" priority="161" stopIfTrue="1">
      <formula>IF($AK8&lt;7,1,IF($AK7&lt;5,1,0))</formula>
    </cfRule>
  </conditionalFormatting>
  <conditionalFormatting sqref="W29:Y29 W114:Y114">
    <cfRule type="expression" dxfId="4228" priority="162" stopIfTrue="1">
      <formula>IF($AK8&lt;8,1,IF($AK7&lt;5,1,0))</formula>
    </cfRule>
  </conditionalFormatting>
  <conditionalFormatting sqref="Z29:AB29 Z114:AB114">
    <cfRule type="expression" dxfId="4227" priority="163" stopIfTrue="1">
      <formula>IF($AK8&lt;9,1,IF($AK7&lt;5,1,0))</formula>
    </cfRule>
  </conditionalFormatting>
  <conditionalFormatting sqref="AC29:AE29 AC114:AE114">
    <cfRule type="expression" dxfId="4226" priority="164" stopIfTrue="1">
      <formula>IF($AK8&lt;10,1,IF($AK7&lt;5,1,0))</formula>
    </cfRule>
  </conditionalFormatting>
  <conditionalFormatting sqref="R14:AB15 AF14:AF15 L14:P15 R99:AB100 AF99:AF100 L99:P100 AG14 AG99">
    <cfRule type="expression" dxfId="4225" priority="165" stopIfTrue="1">
      <formula>IF($AK9&gt;3,0,1)</formula>
    </cfRule>
  </conditionalFormatting>
  <conditionalFormatting sqref="R16:AB17 AF16:AF17 L16:P17 R101:AB102 AF101:AF102 L101:P102 AG16 AG101">
    <cfRule type="expression" dxfId="4224" priority="166" stopIfTrue="1">
      <formula>IF($AK9&gt;4,0,1)</formula>
    </cfRule>
  </conditionalFormatting>
  <conditionalFormatting sqref="R8:AB9 AF8:AF9 L8:P9 R93:AB94 AF93:AF94 L93:P94 AG8 AG93">
    <cfRule type="expression" dxfId="4223" priority="167" stopIfTrue="1">
      <formula>IF($AK9&gt;0,0,1)</formula>
    </cfRule>
  </conditionalFormatting>
  <conditionalFormatting sqref="R10:AB11 AF10:AF11 L10:P11 R95:AB96 AF95:AF96 L95:P96 AG10 AG95">
    <cfRule type="expression" dxfId="4222" priority="168" stopIfTrue="1">
      <formula>IF($AK9&gt;1,0,1)</formula>
    </cfRule>
  </conditionalFormatting>
  <conditionalFormatting sqref="R12:AB13 AF12:AF13 L12:P13 R97:AB98 AF97:AF98 L97:P98 AG12 AG97">
    <cfRule type="expression" dxfId="4221" priority="169" stopIfTrue="1">
      <formula>IF($AK9&gt;2,0,1)</formula>
    </cfRule>
  </conditionalFormatting>
  <conditionalFormatting sqref="E24 E109">
    <cfRule type="expression" dxfId="4220" priority="170" stopIfTrue="1">
      <formula>IF(AK8&gt;1,0,1)</formula>
    </cfRule>
  </conditionalFormatting>
  <conditionalFormatting sqref="H24 H109">
    <cfRule type="expression" dxfId="4219" priority="171" stopIfTrue="1">
      <formula>IF(AK8&gt;2,0,1)</formula>
    </cfRule>
  </conditionalFormatting>
  <conditionalFormatting sqref="K24 K109">
    <cfRule type="expression" dxfId="4218" priority="172" stopIfTrue="1">
      <formula>IF(AK8&gt;3,0,1)</formula>
    </cfRule>
  </conditionalFormatting>
  <conditionalFormatting sqref="N24 N109">
    <cfRule type="expression" dxfId="4217" priority="173" stopIfTrue="1">
      <formula>IF(AK8&gt;4,0,1)</formula>
    </cfRule>
  </conditionalFormatting>
  <conditionalFormatting sqref="Q24 Q109">
    <cfRule type="expression" dxfId="4216" priority="174" stopIfTrue="1">
      <formula>IF(AK8&gt;5,0,1)</formula>
    </cfRule>
  </conditionalFormatting>
  <conditionalFormatting sqref="T24 T109">
    <cfRule type="expression" dxfId="4215" priority="175" stopIfTrue="1">
      <formula>IF(AK8&gt;6,0,1)</formula>
    </cfRule>
  </conditionalFormatting>
  <conditionalFormatting sqref="W24 W109">
    <cfRule type="expression" dxfId="4214" priority="176" stopIfTrue="1">
      <formula>IF(AK8&gt;7,0,1)</formula>
    </cfRule>
  </conditionalFormatting>
  <conditionalFormatting sqref="Z24 Z109">
    <cfRule type="expression" dxfId="4213" priority="177" stopIfTrue="1">
      <formula>IF(AK8&gt;8,0,1)</formula>
    </cfRule>
  </conditionalFormatting>
  <conditionalFormatting sqref="AC24 AC109">
    <cfRule type="expression" dxfId="4212" priority="178" stopIfTrue="1">
      <formula>IF(AK8&gt;9,0,1)</formula>
    </cfRule>
  </conditionalFormatting>
  <conditionalFormatting sqref="AQ27 AQ112">
    <cfRule type="expression" dxfId="4211" priority="179" stopIfTrue="1">
      <formula>IF($AK9&gt;3,0,1)</formula>
    </cfRule>
  </conditionalFormatting>
  <conditionalFormatting sqref="E25:G25 E110:G110">
    <cfRule type="expression" dxfId="4210" priority="180" stopIfTrue="1">
      <formula>IF($AK8&gt;1,0,1)</formula>
    </cfRule>
  </conditionalFormatting>
  <conditionalFormatting sqref="B21:D21 B106:D106">
    <cfRule type="expression" dxfId="4209" priority="181" stopIfTrue="1">
      <formula>IF(AK8&gt;0,0,1)</formula>
    </cfRule>
  </conditionalFormatting>
  <conditionalFormatting sqref="E21:G21 E106:G106">
    <cfRule type="expression" dxfId="4208" priority="182" stopIfTrue="1">
      <formula>IF(AK8&gt;1,0,1)</formula>
    </cfRule>
  </conditionalFormatting>
  <conditionalFormatting sqref="H21:J21 H106:J106">
    <cfRule type="expression" dxfId="4207" priority="183" stopIfTrue="1">
      <formula>IF(AK8&gt;2,0,1)</formula>
    </cfRule>
  </conditionalFormatting>
  <conditionalFormatting sqref="K21:M21 K106:M106">
    <cfRule type="expression" dxfId="4206" priority="184" stopIfTrue="1">
      <formula>IF(AK8&gt;3,0,1)</formula>
    </cfRule>
  </conditionalFormatting>
  <conditionalFormatting sqref="N21:P21 N106:P106">
    <cfRule type="expression" dxfId="4205" priority="185" stopIfTrue="1">
      <formula>IF(AK8&gt;4,0,1)</formula>
    </cfRule>
  </conditionalFormatting>
  <conditionalFormatting sqref="Q21:S21 Q106:S106">
    <cfRule type="expression" dxfId="4204" priority="186" stopIfTrue="1">
      <formula>IF(AK8&gt;5,0,1)</formula>
    </cfRule>
  </conditionalFormatting>
  <conditionalFormatting sqref="T21:V21 T106:V106">
    <cfRule type="expression" dxfId="4203" priority="187" stopIfTrue="1">
      <formula>IF(AK8&gt;6,0,1)</formula>
    </cfRule>
  </conditionalFormatting>
  <conditionalFormatting sqref="W21:Y21 W106:Y106">
    <cfRule type="expression" dxfId="4202" priority="188" stopIfTrue="1">
      <formula>IF(AK8&gt;7,0,1)</formula>
    </cfRule>
  </conditionalFormatting>
  <conditionalFormatting sqref="Z21:AB21 Z106:AB106">
    <cfRule type="expression" dxfId="4201" priority="189" stopIfTrue="1">
      <formula>IF(AK8&gt;8,0,1)</formula>
    </cfRule>
  </conditionalFormatting>
  <conditionalFormatting sqref="AC21:AE21 AC106:AE106">
    <cfRule type="expression" dxfId="4200" priority="190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4199" priority="191" stopIfTrue="1">
      <formula>IF(#REF!&gt;0,0,1)</formula>
    </cfRule>
  </conditionalFormatting>
  <conditionalFormatting sqref="AA215:AB215 AB223 AA218:AB218 Z223 Z215:Z218 F215:G215 G223 F218:G218 E223 E215:E218">
    <cfRule type="expression" dxfId="4198" priority="192" stopIfTrue="1">
      <formula>IF(#REF!&gt;1,0,1)</formula>
    </cfRule>
  </conditionalFormatting>
  <conditionalFormatting sqref="AC215:AC218 AD215:AE215 AE223 AD218:AE218 AC223 H223 H215:H218 I215:J215 J223 I218:J218">
    <cfRule type="expression" dxfId="4197" priority="193" stopIfTrue="1">
      <formula>IF(#REF!&gt;2,0,1)</formula>
    </cfRule>
  </conditionalFormatting>
  <conditionalFormatting sqref="W224 Y224 B224 D224">
    <cfRule type="expression" dxfId="4196" priority="194" stopIfTrue="1">
      <formula>IF(#REF!&lt;1,1,IF(#REF!&lt;2,1,0))</formula>
    </cfRule>
  </conditionalFormatting>
  <conditionalFormatting sqref="Z224 AB224 E224 G224">
    <cfRule type="expression" dxfId="4195" priority="195" stopIfTrue="1">
      <formula>IF(#REF!&lt;2,1,IF(#REF!&lt;2,1,0))</formula>
    </cfRule>
  </conditionalFormatting>
  <conditionalFormatting sqref="AC224 AE224 H224 J224">
    <cfRule type="expression" dxfId="4194" priority="196" stopIfTrue="1">
      <formula>IF(#REF!&lt;3,1,IF(#REF!&lt;2,1,0))</formula>
    </cfRule>
  </conditionalFormatting>
  <conditionalFormatting sqref="Y225 B225 D225 W225">
    <cfRule type="expression" dxfId="4193" priority="197" stopIfTrue="1">
      <formula>IF(#REF!&lt;1,1,IF(#REF!&lt;3,1,0))</formula>
    </cfRule>
  </conditionalFormatting>
  <conditionalFormatting sqref="AB225 E225 G225 Z225">
    <cfRule type="expression" dxfId="4192" priority="198" stopIfTrue="1">
      <formula>IF(#REF!&lt;2,1,IF(#REF!&lt;3,1,0))</formula>
    </cfRule>
  </conditionalFormatting>
  <conditionalFormatting sqref="AE225 H225 J225 AC225">
    <cfRule type="expression" dxfId="4191" priority="199" stopIfTrue="1">
      <formula>IF(#REF!&lt;3,1,IF(#REF!&lt;3,1,0))</formula>
    </cfRule>
  </conditionalFormatting>
  <conditionalFormatting sqref="AG24:AP28 AG109:AP113">
    <cfRule type="cellIs" dxfId="4190" priority="200" stopIfTrue="1" operator="notBetween">
      <formula>-9999</formula>
      <formula>9999</formula>
    </cfRule>
  </conditionalFormatting>
  <conditionalFormatting sqref="AC7 AC92">
    <cfRule type="expression" dxfId="4189" priority="201" stopIfTrue="1">
      <formula>IF($AK$11=0,1,0)</formula>
    </cfRule>
  </conditionalFormatting>
  <conditionalFormatting sqref="B18">
    <cfRule type="expression" dxfId="4188" priority="202" stopIfTrue="1">
      <formula>IF($AK$9&gt;0,0,1)</formula>
    </cfRule>
  </conditionalFormatting>
  <conditionalFormatting sqref="B22:D23 B107:D108">
    <cfRule type="cellIs" dxfId="4187" priority="203" stopIfTrue="1" operator="equal">
      <formula>99</formula>
    </cfRule>
  </conditionalFormatting>
  <conditionalFormatting sqref="X226 AA226 C226 F226">
    <cfRule type="expression" dxfId="4186" priority="204" stopIfTrue="1">
      <formula>IF(#REF!&gt;0,0,1)</formula>
    </cfRule>
  </conditionalFormatting>
  <conditionalFormatting sqref="K215">
    <cfRule type="expression" dxfId="4185" priority="4" stopIfTrue="1">
      <formula>IF(#REF!&gt;2,0,1)</formula>
    </cfRule>
  </conditionalFormatting>
  <conditionalFormatting sqref="K215">
    <cfRule type="expression" dxfId="4184" priority="3" stopIfTrue="1">
      <formula>IF(ISNUMBER(K223),0,1)</formula>
    </cfRule>
  </conditionalFormatting>
  <conditionalFormatting sqref="AF215">
    <cfRule type="expression" dxfId="4183" priority="2" stopIfTrue="1">
      <formula>IF(ISNUMBER(AF223),0,1)</formula>
    </cfRule>
  </conditionalFormatting>
  <conditionalFormatting sqref="B103">
    <cfRule type="expression" dxfId="4182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4098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4098" r:id="rId4" name="Pool2RecalcFinish"/>
      </mc:Fallback>
    </mc:AlternateContent>
    <mc:AlternateContent xmlns:mc="http://schemas.openxmlformats.org/markup-compatibility/2006">
      <mc:Choice Requires="x14">
        <control shapeId="4097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4097" r:id="rId6" name="Pool1RecalcFinish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F0"/>
  </sheetPr>
  <dimension ref="A1:BY658"/>
  <sheetViews>
    <sheetView zoomScale="70" zoomScaleNormal="70" workbookViewId="0">
      <selection activeCell="AV18" sqref="AV18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30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192" t="s">
        <v>2</v>
      </c>
      <c r="AU1" s="193"/>
      <c r="AV1" s="193"/>
      <c r="AW1" s="194"/>
      <c r="AX1" s="405" t="s">
        <v>3</v>
      </c>
      <c r="AY1" s="406"/>
      <c r="AZ1" s="5" t="s">
        <v>4</v>
      </c>
      <c r="BA1" s="6">
        <v>32</v>
      </c>
    </row>
    <row r="2" spans="1:53" ht="18.75" customHeight="1" thickBot="1" x14ac:dyDescent="0.3">
      <c r="A2" s="195" t="s">
        <v>5</v>
      </c>
      <c r="B2" s="196"/>
      <c r="C2" s="196"/>
      <c r="D2" s="196"/>
      <c r="E2" s="196"/>
      <c r="F2" s="196"/>
      <c r="G2" s="196"/>
      <c r="H2" s="196"/>
      <c r="I2" s="197"/>
      <c r="J2" s="198" t="s">
        <v>6</v>
      </c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200"/>
      <c r="Y2" s="201" t="s">
        <v>7</v>
      </c>
      <c r="Z2" s="202"/>
      <c r="AA2" s="202"/>
      <c r="AB2" s="202"/>
      <c r="AC2" s="203"/>
      <c r="AD2" s="204" t="s">
        <v>8</v>
      </c>
      <c r="AE2" s="204"/>
      <c r="AF2" s="204"/>
      <c r="AG2" s="204"/>
      <c r="AH2" s="204"/>
      <c r="AI2" s="205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213" t="s">
        <v>243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6" t="s">
        <v>18</v>
      </c>
      <c r="Q3" s="217"/>
      <c r="R3" s="217"/>
      <c r="S3" s="218" t="s">
        <v>244</v>
      </c>
      <c r="T3" s="219"/>
      <c r="U3" s="219"/>
      <c r="V3" s="219"/>
      <c r="W3" s="219"/>
      <c r="X3" s="220"/>
      <c r="Y3" s="221" t="s">
        <v>20</v>
      </c>
      <c r="Z3" s="222"/>
      <c r="AA3" s="222"/>
      <c r="AB3" s="222"/>
      <c r="AC3" s="222"/>
      <c r="AD3" s="223"/>
      <c r="AE3" s="408" t="s">
        <v>21</v>
      </c>
      <c r="AF3" s="409"/>
      <c r="AG3" s="225" t="s">
        <v>22</v>
      </c>
      <c r="AH3" s="225"/>
      <c r="AI3" s="226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245</v>
      </c>
      <c r="AV3" s="15" t="s">
        <v>246</v>
      </c>
      <c r="AW3" s="16">
        <f>VLOOKUP(AV3,Initial!G:K,5,FALSE)</f>
        <v>2056.3147376237139</v>
      </c>
      <c r="AX3" s="17">
        <f t="shared" ref="AX3:AX12" si="0">VLOOKUP(AU3,AT$79:AU$174,2,FALSE)</f>
        <v>2112.5852906902842</v>
      </c>
      <c r="AY3" s="18">
        <f t="shared" ref="AY3:AY12" si="1">IF(ISNA(VLOOKUP(AU3,AT$182:AU$234,2,FALSE)),AX3,VLOOKUP(AU3,AT$182:AU$234,2,FALSE))</f>
        <v>2125.9014593645511</v>
      </c>
    </row>
    <row r="4" spans="1:53" ht="24" customHeight="1" thickBot="1" x14ac:dyDescent="0.25">
      <c r="A4" s="206" t="s">
        <v>25</v>
      </c>
      <c r="B4" s="207"/>
      <c r="C4" s="207"/>
      <c r="D4" s="208"/>
      <c r="E4" s="209" t="s">
        <v>26</v>
      </c>
      <c r="F4" s="210"/>
      <c r="G4" s="210"/>
      <c r="H4" s="210"/>
      <c r="I4" s="210"/>
      <c r="J4" s="210"/>
      <c r="K4" s="210"/>
      <c r="L4" s="210"/>
      <c r="M4" s="211"/>
      <c r="N4" s="206" t="s">
        <v>27</v>
      </c>
      <c r="O4" s="207"/>
      <c r="P4" s="207"/>
      <c r="Q4" s="208"/>
      <c r="R4" s="212" t="s">
        <v>28</v>
      </c>
      <c r="S4" s="204"/>
      <c r="T4" s="204"/>
      <c r="U4" s="204"/>
      <c r="V4" s="204"/>
      <c r="W4" s="204"/>
      <c r="X4" s="204"/>
      <c r="Y4" s="204"/>
      <c r="Z4" s="204"/>
      <c r="AA4" s="205"/>
      <c r="AB4" s="206" t="s">
        <v>29</v>
      </c>
      <c r="AC4" s="207"/>
      <c r="AD4" s="207"/>
      <c r="AE4" s="208"/>
      <c r="AF4" s="407">
        <v>42762</v>
      </c>
      <c r="AG4" s="204"/>
      <c r="AH4" s="204"/>
      <c r="AI4" s="205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247</v>
      </c>
      <c r="AV4" s="15" t="s">
        <v>248</v>
      </c>
      <c r="AW4" s="16">
        <f>VLOOKUP(AV4,Initial!G:K,5,FALSE)</f>
        <v>1952.1722411424284</v>
      </c>
      <c r="AX4" s="20">
        <f t="shared" si="0"/>
        <v>2043.2791651722152</v>
      </c>
      <c r="AY4" s="21">
        <f t="shared" si="1"/>
        <v>2033.1069131537579</v>
      </c>
    </row>
    <row r="5" spans="1:53" ht="15.75" thickBot="1" x14ac:dyDescent="0.25">
      <c r="A5" s="1" t="s">
        <v>32</v>
      </c>
      <c r="B5" s="243" t="s">
        <v>32</v>
      </c>
      <c r="C5" s="244"/>
      <c r="D5" s="244"/>
      <c r="E5" s="244"/>
      <c r="F5" s="244"/>
      <c r="G5" s="244"/>
      <c r="H5" s="244"/>
      <c r="I5" s="244"/>
      <c r="J5" s="244"/>
      <c r="K5" s="245" t="s">
        <v>32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249</v>
      </c>
      <c r="AV5" s="15" t="s">
        <v>250</v>
      </c>
      <c r="AW5" s="16">
        <f>VLOOKUP(AV5,Initial!G:K,5,FALSE)</f>
        <v>1921.8901473006756</v>
      </c>
      <c r="AX5" s="20">
        <f t="shared" si="0"/>
        <v>1933.5994189613193</v>
      </c>
      <c r="AY5" s="21">
        <f t="shared" si="1"/>
        <v>1929.3910828969913</v>
      </c>
    </row>
    <row r="6" spans="1:53" ht="24" customHeight="1" thickBot="1" x14ac:dyDescent="0.25">
      <c r="A6" s="22" t="s">
        <v>35</v>
      </c>
      <c r="B6" s="23" t="s">
        <v>36</v>
      </c>
      <c r="C6" s="246" t="s">
        <v>37</v>
      </c>
      <c r="D6" s="247"/>
      <c r="E6" s="247"/>
      <c r="F6" s="247"/>
      <c r="G6" s="247"/>
      <c r="H6" s="248"/>
      <c r="I6" s="249">
        <v>1</v>
      </c>
      <c r="J6" s="250"/>
      <c r="K6" s="251" t="str">
        <f>"Pool "&amp;B6&amp;" - Round 1 - Court "&amp;I6</f>
        <v>Pool A - Round 1 - Court 1</v>
      </c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3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251</v>
      </c>
      <c r="AV6" s="15" t="s">
        <v>252</v>
      </c>
      <c r="AW6" s="16">
        <f>VLOOKUP(AV6,Initial!G:K,5,FALSE)</f>
        <v>1895.4654161275282</v>
      </c>
      <c r="AX6" s="20">
        <f t="shared" si="0"/>
        <v>1819.6878315091337</v>
      </c>
      <c r="AY6" s="21">
        <f t="shared" si="1"/>
        <v>1819.6878315091337</v>
      </c>
    </row>
    <row r="7" spans="1:53" ht="27" customHeight="1" thickBot="1" x14ac:dyDescent="0.25">
      <c r="A7" s="24" t="s">
        <v>40</v>
      </c>
      <c r="B7" s="254" t="s">
        <v>10</v>
      </c>
      <c r="C7" s="255"/>
      <c r="D7" s="255"/>
      <c r="E7" s="255"/>
      <c r="F7" s="255"/>
      <c r="G7" s="255"/>
      <c r="H7" s="255"/>
      <c r="I7" s="255"/>
      <c r="J7" s="255"/>
      <c r="K7" s="255"/>
      <c r="L7" s="254" t="str">
        <f>IF($AK10=0,"Games Won","Matches Won")</f>
        <v>Games Won</v>
      </c>
      <c r="M7" s="255"/>
      <c r="N7" s="255"/>
      <c r="O7" s="255"/>
      <c r="P7" s="255"/>
      <c r="Q7" s="256"/>
      <c r="R7" s="254" t="str">
        <f>IF($AK10=0,"Games Lost","Matches Lost")</f>
        <v>Games Lost</v>
      </c>
      <c r="S7" s="257"/>
      <c r="T7" s="257"/>
      <c r="U7" s="257"/>
      <c r="V7" s="258"/>
      <c r="W7" s="259" t="s">
        <v>41</v>
      </c>
      <c r="X7" s="260"/>
      <c r="Y7" s="261"/>
      <c r="Z7" s="259" t="s">
        <v>42</v>
      </c>
      <c r="AA7" s="260"/>
      <c r="AB7" s="261"/>
      <c r="AC7" s="279" t="s">
        <v>43</v>
      </c>
      <c r="AD7" s="280"/>
      <c r="AE7" s="281"/>
      <c r="AF7" s="25" t="s">
        <v>44</v>
      </c>
      <c r="AG7" s="26" t="s">
        <v>9</v>
      </c>
      <c r="AH7" s="282" t="s">
        <v>45</v>
      </c>
      <c r="AI7" s="283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253</v>
      </c>
      <c r="AV7" s="15" t="s">
        <v>254</v>
      </c>
      <c r="AW7" s="16">
        <f>VLOOKUP(AV7,Initial!G:K,5,FALSE)</f>
        <v>1889.110814092702</v>
      </c>
      <c r="AX7" s="20">
        <f t="shared" si="0"/>
        <v>1862.3573600985021</v>
      </c>
      <c r="AY7" s="21">
        <f t="shared" si="1"/>
        <v>1852.5892192097544</v>
      </c>
    </row>
    <row r="8" spans="1:53" ht="18.75" customHeight="1" thickBot="1" x14ac:dyDescent="0.25">
      <c r="A8" s="227" t="str">
        <f>IF($AK9&gt;0,"1","")</f>
        <v>1</v>
      </c>
      <c r="B8" s="229" t="s">
        <v>10</v>
      </c>
      <c r="C8" s="230"/>
      <c r="D8" s="231"/>
      <c r="E8" s="232" t="str">
        <f>AU3</f>
        <v>Fort Mill 14 Bayley</v>
      </c>
      <c r="F8" s="233"/>
      <c r="G8" s="233"/>
      <c r="H8" s="233"/>
      <c r="I8" s="233"/>
      <c r="J8" s="233"/>
      <c r="K8" s="234"/>
      <c r="L8" s="235">
        <f>IF($AK10=0,AF64,AF46)</f>
        <v>8</v>
      </c>
      <c r="M8" s="236"/>
      <c r="N8" s="236"/>
      <c r="O8" s="236"/>
      <c r="P8" s="236"/>
      <c r="Q8" s="256"/>
      <c r="R8" s="235">
        <f>IF($AK10=0,AG64,AG46)</f>
        <v>0</v>
      </c>
      <c r="S8" s="236"/>
      <c r="T8" s="236"/>
      <c r="U8" s="236"/>
      <c r="V8" s="236"/>
      <c r="W8" s="235">
        <f>AQ24</f>
        <v>80</v>
      </c>
      <c r="X8" s="236"/>
      <c r="Y8" s="236"/>
      <c r="Z8" s="239">
        <f>IF(AF58&gt;0,(AQ24/AF58),0)</f>
        <v>0.4</v>
      </c>
      <c r="AA8" s="240"/>
      <c r="AB8" s="240"/>
      <c r="AC8" s="262">
        <f>IF(AF72=0,0,(AF64/AF72))</f>
        <v>1</v>
      </c>
      <c r="AD8" s="263"/>
      <c r="AE8" s="264"/>
      <c r="AF8" s="268">
        <v>1</v>
      </c>
      <c r="AG8" s="268">
        <v>1</v>
      </c>
      <c r="AH8" s="270">
        <v>1</v>
      </c>
      <c r="AI8" s="271"/>
      <c r="AJ8" s="27"/>
      <c r="AK8" s="28">
        <v>10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255</v>
      </c>
      <c r="AV8" s="15" t="s">
        <v>256</v>
      </c>
      <c r="AW8" s="16">
        <f>VLOOKUP(AV8,Initial!G:K,5,FALSE)</f>
        <v>1885.2929818149187</v>
      </c>
      <c r="AX8" s="20">
        <f t="shared" si="0"/>
        <v>1780.8711874278245</v>
      </c>
      <c r="AY8" s="21">
        <f t="shared" si="1"/>
        <v>1780.8711874278245</v>
      </c>
    </row>
    <row r="9" spans="1:53" ht="18.75" customHeight="1" thickBot="1" x14ac:dyDescent="0.25">
      <c r="A9" s="228"/>
      <c r="B9" s="274" t="s">
        <v>11</v>
      </c>
      <c r="C9" s="275"/>
      <c r="D9" s="276"/>
      <c r="E9" s="277" t="str">
        <f>AV3</f>
        <v>fj4fortm1pm</v>
      </c>
      <c r="F9" s="278"/>
      <c r="G9" s="278"/>
      <c r="H9" s="278"/>
      <c r="I9" s="278"/>
      <c r="J9" s="278"/>
      <c r="K9" s="278"/>
      <c r="L9" s="237"/>
      <c r="M9" s="238"/>
      <c r="N9" s="238"/>
      <c r="O9" s="238"/>
      <c r="P9" s="238"/>
      <c r="Q9" s="256"/>
      <c r="R9" s="237"/>
      <c r="S9" s="238"/>
      <c r="T9" s="238"/>
      <c r="U9" s="238"/>
      <c r="V9" s="238"/>
      <c r="W9" s="237"/>
      <c r="X9" s="238"/>
      <c r="Y9" s="238"/>
      <c r="Z9" s="241"/>
      <c r="AA9" s="242"/>
      <c r="AB9" s="242"/>
      <c r="AC9" s="265"/>
      <c r="AD9" s="266"/>
      <c r="AE9" s="267"/>
      <c r="AF9" s="269"/>
      <c r="AG9" s="269"/>
      <c r="AH9" s="272"/>
      <c r="AI9" s="273"/>
      <c r="AJ9" s="27"/>
      <c r="AK9" s="28">
        <v>5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257</v>
      </c>
      <c r="AV9" s="15" t="s">
        <v>258</v>
      </c>
      <c r="AW9" s="16">
        <f>VLOOKUP(AV9,Initial!G:K,5,FALSE)</f>
        <v>1918.746719402327</v>
      </c>
      <c r="AX9" s="20">
        <f t="shared" si="0"/>
        <v>1941.9426922886557</v>
      </c>
      <c r="AY9" s="21">
        <f t="shared" si="1"/>
        <v>1928.6532904156654</v>
      </c>
    </row>
    <row r="10" spans="1:53" ht="18.75" customHeight="1" thickBot="1" x14ac:dyDescent="0.25">
      <c r="A10" s="227" t="str">
        <f>IF($AK9&gt;1,"2","")</f>
        <v>2</v>
      </c>
      <c r="B10" s="229" t="s">
        <v>10</v>
      </c>
      <c r="C10" s="230"/>
      <c r="D10" s="231"/>
      <c r="E10" s="232" t="str">
        <f>AU6</f>
        <v>Chas Jrs 14 Blue</v>
      </c>
      <c r="F10" s="233"/>
      <c r="G10" s="233"/>
      <c r="H10" s="233"/>
      <c r="I10" s="233"/>
      <c r="J10" s="233"/>
      <c r="K10" s="234"/>
      <c r="L10" s="235">
        <f>IF($AK10=0,AF65,AF47)</f>
        <v>1</v>
      </c>
      <c r="M10" s="236"/>
      <c r="N10" s="236"/>
      <c r="O10" s="236"/>
      <c r="P10" s="236"/>
      <c r="Q10" s="256"/>
      <c r="R10" s="235">
        <f>IF($AK10=0,AG65,AG47)</f>
        <v>7</v>
      </c>
      <c r="S10" s="236"/>
      <c r="T10" s="236"/>
      <c r="U10" s="236"/>
      <c r="V10" s="236"/>
      <c r="W10" s="235">
        <f>AQ25</f>
        <v>-64</v>
      </c>
      <c r="X10" s="236"/>
      <c r="Y10" s="236"/>
      <c r="Z10" s="239">
        <f>IF(AF59&gt;0,(AQ25/AF59),0)</f>
        <v>-0.32</v>
      </c>
      <c r="AA10" s="240"/>
      <c r="AB10" s="240"/>
      <c r="AC10" s="262">
        <f>IF(AF73=0,0,(AF65/AF73))</f>
        <v>0.125</v>
      </c>
      <c r="AD10" s="263"/>
      <c r="AE10" s="264"/>
      <c r="AF10" s="268">
        <v>5</v>
      </c>
      <c r="AG10" s="268">
        <v>1</v>
      </c>
      <c r="AH10" s="270">
        <v>9</v>
      </c>
      <c r="AI10" s="271"/>
      <c r="AJ10" s="27"/>
      <c r="AK10" s="28">
        <v>0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259</v>
      </c>
      <c r="AV10" s="15" t="s">
        <v>260</v>
      </c>
      <c r="AW10" s="16">
        <f>VLOOKUP(AV10,Initial!G:K,5,FALSE)</f>
        <v>1876.31367263991</v>
      </c>
      <c r="AX10" s="20">
        <f t="shared" si="0"/>
        <v>1946.5126256938156</v>
      </c>
      <c r="AY10" s="21">
        <f t="shared" si="1"/>
        <v>1947.5770451023341</v>
      </c>
    </row>
    <row r="11" spans="1:53" ht="18.75" customHeight="1" thickBot="1" x14ac:dyDescent="0.25">
      <c r="A11" s="228"/>
      <c r="B11" s="284" t="s">
        <v>11</v>
      </c>
      <c r="C11" s="285"/>
      <c r="D11" s="285"/>
      <c r="E11" s="277" t="str">
        <f>AV6</f>
        <v>fj4charl2pm</v>
      </c>
      <c r="F11" s="278"/>
      <c r="G11" s="278"/>
      <c r="H11" s="278"/>
      <c r="I11" s="278"/>
      <c r="J11" s="278"/>
      <c r="K11" s="278"/>
      <c r="L11" s="237"/>
      <c r="M11" s="238"/>
      <c r="N11" s="238"/>
      <c r="O11" s="238"/>
      <c r="P11" s="238"/>
      <c r="Q11" s="256"/>
      <c r="R11" s="237"/>
      <c r="S11" s="238"/>
      <c r="T11" s="238"/>
      <c r="U11" s="238"/>
      <c r="V11" s="238"/>
      <c r="W11" s="237"/>
      <c r="X11" s="238"/>
      <c r="Y11" s="238"/>
      <c r="Z11" s="241"/>
      <c r="AA11" s="242"/>
      <c r="AB11" s="242"/>
      <c r="AC11" s="265"/>
      <c r="AD11" s="266"/>
      <c r="AE11" s="267"/>
      <c r="AF11" s="269"/>
      <c r="AG11" s="269"/>
      <c r="AH11" s="272"/>
      <c r="AI11" s="273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5" t="s">
        <v>261</v>
      </c>
      <c r="AV11" s="15" t="s">
        <v>262</v>
      </c>
      <c r="AW11" s="16">
        <f>VLOOKUP(AV11,Initial!G:K,5,FALSE)</f>
        <v>1809.1480647862352</v>
      </c>
      <c r="AX11" s="20">
        <f t="shared" si="0"/>
        <v>1785.2095972783534</v>
      </c>
      <c r="AY11" s="21">
        <f t="shared" si="1"/>
        <v>1780.5921122747741</v>
      </c>
    </row>
    <row r="12" spans="1:53" ht="18.75" customHeight="1" thickBot="1" x14ac:dyDescent="0.25">
      <c r="A12" s="227" t="str">
        <f>IF($AK9&gt;2,"3","")</f>
        <v>3</v>
      </c>
      <c r="B12" s="286" t="s">
        <v>10</v>
      </c>
      <c r="C12" s="287"/>
      <c r="D12" s="287"/>
      <c r="E12" s="232" t="str">
        <f>AU7</f>
        <v>CSRA Heat 14 Black</v>
      </c>
      <c r="F12" s="233"/>
      <c r="G12" s="233"/>
      <c r="H12" s="233"/>
      <c r="I12" s="233"/>
      <c r="J12" s="233"/>
      <c r="K12" s="234"/>
      <c r="L12" s="235">
        <f>IF($AK10=0,AF66,AF48)</f>
        <v>3</v>
      </c>
      <c r="M12" s="236"/>
      <c r="N12" s="236"/>
      <c r="O12" s="236"/>
      <c r="P12" s="236"/>
      <c r="Q12" s="256"/>
      <c r="R12" s="235">
        <f>IF($AK10=0,AG66,AG48)</f>
        <v>5</v>
      </c>
      <c r="S12" s="236"/>
      <c r="T12" s="236"/>
      <c r="U12" s="236"/>
      <c r="V12" s="236"/>
      <c r="W12" s="235">
        <f>AQ26</f>
        <v>1</v>
      </c>
      <c r="X12" s="236"/>
      <c r="Y12" s="236"/>
      <c r="Z12" s="239">
        <f>IF(AF60&gt;0,(AQ26/AF60),0)</f>
        <v>4.9504950495049506E-3</v>
      </c>
      <c r="AA12" s="240"/>
      <c r="AB12" s="240"/>
      <c r="AC12" s="262">
        <f>IF(AF74=0,0,(AF66/AF74))</f>
        <v>0.375</v>
      </c>
      <c r="AD12" s="263"/>
      <c r="AE12" s="264"/>
      <c r="AF12" s="268">
        <v>3</v>
      </c>
      <c r="AG12" s="268">
        <v>1</v>
      </c>
      <c r="AH12" s="270">
        <v>7</v>
      </c>
      <c r="AI12" s="271"/>
      <c r="AJ12" s="31"/>
      <c r="AK12" s="28">
        <v>8</v>
      </c>
      <c r="AL12" s="32" t="s">
        <v>61</v>
      </c>
      <c r="AM12" s="29"/>
      <c r="AN12" s="29"/>
      <c r="AO12" s="29"/>
      <c r="AP12" s="29"/>
      <c r="AQ12" s="29"/>
      <c r="AR12" s="30"/>
      <c r="AT12" s="33">
        <v>10</v>
      </c>
      <c r="AU12" s="15" t="s">
        <v>263</v>
      </c>
      <c r="AV12" s="15" t="s">
        <v>264</v>
      </c>
      <c r="AW12" s="16">
        <f>VLOOKUP(AV12,Initial!G:K,5,FALSE)</f>
        <v>1805.8700188425732</v>
      </c>
      <c r="AX12" s="34">
        <f t="shared" si="0"/>
        <v>1784.2796446529082</v>
      </c>
      <c r="AY12" s="35">
        <f t="shared" si="1"/>
        <v>1811.9546724182255</v>
      </c>
    </row>
    <row r="13" spans="1:53" ht="18.75" customHeight="1" thickBot="1" x14ac:dyDescent="0.25">
      <c r="A13" s="228"/>
      <c r="B13" s="284" t="s">
        <v>11</v>
      </c>
      <c r="C13" s="285"/>
      <c r="D13" s="285"/>
      <c r="E13" s="277" t="str">
        <f>AV7</f>
        <v>fj4csrah3pm</v>
      </c>
      <c r="F13" s="278"/>
      <c r="G13" s="278"/>
      <c r="H13" s="278"/>
      <c r="I13" s="278"/>
      <c r="J13" s="278"/>
      <c r="K13" s="278"/>
      <c r="L13" s="237"/>
      <c r="M13" s="238"/>
      <c r="N13" s="238"/>
      <c r="O13" s="238"/>
      <c r="P13" s="238"/>
      <c r="Q13" s="256"/>
      <c r="R13" s="237"/>
      <c r="S13" s="238"/>
      <c r="T13" s="238"/>
      <c r="U13" s="238"/>
      <c r="V13" s="238"/>
      <c r="W13" s="237"/>
      <c r="X13" s="238"/>
      <c r="Y13" s="238"/>
      <c r="Z13" s="241"/>
      <c r="AA13" s="242"/>
      <c r="AB13" s="242"/>
      <c r="AC13" s="265"/>
      <c r="AD13" s="266"/>
      <c r="AE13" s="267"/>
      <c r="AF13" s="269"/>
      <c r="AG13" s="269"/>
      <c r="AH13" s="272"/>
      <c r="AI13" s="273"/>
      <c r="AJ13" s="31"/>
      <c r="AK13" s="36"/>
      <c r="AL13" s="37"/>
      <c r="AM13" s="37"/>
      <c r="AN13" s="37"/>
      <c r="AO13" s="37"/>
      <c r="AP13" s="37"/>
      <c r="AQ13" s="27"/>
      <c r="AR13" s="3"/>
      <c r="AT13" s="339" t="s">
        <v>64</v>
      </c>
      <c r="AU13" s="340"/>
      <c r="AV13" s="340"/>
      <c r="AW13" s="340"/>
      <c r="AX13" s="340"/>
      <c r="AY13" s="341"/>
    </row>
    <row r="14" spans="1:53" ht="18.75" customHeight="1" thickBot="1" x14ac:dyDescent="0.25">
      <c r="A14" s="227" t="str">
        <f>IF($AK9&gt;3,"4","")</f>
        <v>4</v>
      </c>
      <c r="B14" s="286" t="s">
        <v>10</v>
      </c>
      <c r="C14" s="287"/>
      <c r="D14" s="287"/>
      <c r="E14" s="232" t="str">
        <f>AU10</f>
        <v>SCWE14AERIES</v>
      </c>
      <c r="F14" s="233"/>
      <c r="G14" s="233"/>
      <c r="H14" s="233"/>
      <c r="I14" s="233"/>
      <c r="J14" s="233"/>
      <c r="K14" s="234"/>
      <c r="L14" s="235">
        <f>IF($AK10=0,AF67,AF49)</f>
        <v>6</v>
      </c>
      <c r="M14" s="236"/>
      <c r="N14" s="236"/>
      <c r="O14" s="236"/>
      <c r="P14" s="236"/>
      <c r="Q14" s="256"/>
      <c r="R14" s="235">
        <f>IF($AK10=0,AG67,AG49)</f>
        <v>2</v>
      </c>
      <c r="S14" s="236"/>
      <c r="T14" s="236"/>
      <c r="U14" s="236"/>
      <c r="V14" s="236"/>
      <c r="W14" s="235">
        <f>AQ27</f>
        <v>49</v>
      </c>
      <c r="X14" s="236"/>
      <c r="Y14" s="236"/>
      <c r="Z14" s="239">
        <f>IF(AF61&gt;0,(AQ27/AF61),0)</f>
        <v>0.24257425742574257</v>
      </c>
      <c r="AA14" s="240"/>
      <c r="AB14" s="240"/>
      <c r="AC14" s="262">
        <f>IF(AF75=0,0,(AF67/AF75))</f>
        <v>0.75</v>
      </c>
      <c r="AD14" s="263"/>
      <c r="AE14" s="264"/>
      <c r="AF14" s="268">
        <v>2</v>
      </c>
      <c r="AG14" s="268">
        <v>1</v>
      </c>
      <c r="AH14" s="270">
        <v>2</v>
      </c>
      <c r="AI14" s="271"/>
      <c r="AJ14" s="7"/>
      <c r="AK14" s="37"/>
      <c r="AL14" s="37"/>
      <c r="AM14" s="37"/>
      <c r="AN14" s="37"/>
      <c r="AO14" s="37"/>
      <c r="AP14" s="37"/>
      <c r="AQ14" s="29"/>
      <c r="AR14" s="30"/>
      <c r="AT14" s="342"/>
      <c r="AU14" s="343"/>
      <c r="AV14" s="343"/>
      <c r="AW14" s="343"/>
      <c r="AX14" s="343"/>
      <c r="AY14" s="344"/>
    </row>
    <row r="15" spans="1:53" ht="18.75" customHeight="1" thickBot="1" x14ac:dyDescent="0.25">
      <c r="A15" s="228"/>
      <c r="B15" s="284" t="s">
        <v>11</v>
      </c>
      <c r="C15" s="285"/>
      <c r="D15" s="285"/>
      <c r="E15" s="277" t="str">
        <f>AV10</f>
        <v>fj4scwea1pm</v>
      </c>
      <c r="F15" s="278"/>
      <c r="G15" s="278"/>
      <c r="H15" s="278"/>
      <c r="I15" s="278"/>
      <c r="J15" s="278"/>
      <c r="K15" s="278"/>
      <c r="L15" s="237"/>
      <c r="M15" s="238"/>
      <c r="N15" s="238"/>
      <c r="O15" s="238"/>
      <c r="P15" s="238"/>
      <c r="Q15" s="256"/>
      <c r="R15" s="237"/>
      <c r="S15" s="238"/>
      <c r="T15" s="238"/>
      <c r="U15" s="238"/>
      <c r="V15" s="238"/>
      <c r="W15" s="237"/>
      <c r="X15" s="238"/>
      <c r="Y15" s="238"/>
      <c r="Z15" s="241"/>
      <c r="AA15" s="242"/>
      <c r="AB15" s="242"/>
      <c r="AC15" s="265"/>
      <c r="AD15" s="266"/>
      <c r="AE15" s="267"/>
      <c r="AF15" s="269"/>
      <c r="AG15" s="269"/>
      <c r="AH15" s="272"/>
      <c r="AI15" s="273"/>
      <c r="AJ15" s="7"/>
      <c r="AK15" s="37"/>
      <c r="AL15" s="37"/>
      <c r="AM15" s="37"/>
      <c r="AN15" s="37"/>
      <c r="AO15" s="37"/>
      <c r="AP15" s="37"/>
      <c r="AQ15" s="7"/>
      <c r="AR15" s="3"/>
      <c r="AW15" s="97"/>
      <c r="AX15" s="97"/>
      <c r="AY15" s="97"/>
    </row>
    <row r="16" spans="1:53" ht="18.75" customHeight="1" thickBot="1" x14ac:dyDescent="0.25">
      <c r="A16" s="227" t="str">
        <f>IF($AK9&gt;4,"5","")</f>
        <v>5</v>
      </c>
      <c r="B16" s="286" t="s">
        <v>10</v>
      </c>
      <c r="C16" s="287"/>
      <c r="D16" s="287"/>
      <c r="E16" s="232" t="str">
        <f>AU11</f>
        <v>CHSElite 14-A</v>
      </c>
      <c r="F16" s="233"/>
      <c r="G16" s="233"/>
      <c r="H16" s="233"/>
      <c r="I16" s="233"/>
      <c r="J16" s="233"/>
      <c r="K16" s="234"/>
      <c r="L16" s="235">
        <f>IF($AK10=0,AF68,AF50)</f>
        <v>2</v>
      </c>
      <c r="M16" s="236"/>
      <c r="N16" s="236"/>
      <c r="O16" s="236"/>
      <c r="P16" s="236"/>
      <c r="Q16" s="256"/>
      <c r="R16" s="235">
        <f>IF($AK10=0,AG68,AG50)</f>
        <v>6</v>
      </c>
      <c r="S16" s="236"/>
      <c r="T16" s="236"/>
      <c r="U16" s="236"/>
      <c r="V16" s="236"/>
      <c r="W16" s="235">
        <f>AQ28</f>
        <v>-66</v>
      </c>
      <c r="X16" s="236"/>
      <c r="Y16" s="236"/>
      <c r="Z16" s="239">
        <f>IF(AF62&gt;0,(AQ28/AF62),0)</f>
        <v>-0.33</v>
      </c>
      <c r="AA16" s="240"/>
      <c r="AB16" s="240"/>
      <c r="AC16" s="262">
        <f>IF(AF76=0,0,(AF68/AF76))</f>
        <v>0.25</v>
      </c>
      <c r="AD16" s="263"/>
      <c r="AE16" s="264"/>
      <c r="AF16" s="268">
        <v>4</v>
      </c>
      <c r="AG16" s="268">
        <v>1</v>
      </c>
      <c r="AH16" s="270">
        <v>7</v>
      </c>
      <c r="AI16" s="271"/>
      <c r="AJ16" s="7"/>
      <c r="AK16" s="37"/>
      <c r="AL16" s="37"/>
      <c r="AM16" s="37"/>
      <c r="AN16" s="37"/>
      <c r="AO16" s="37"/>
      <c r="AP16" s="37"/>
      <c r="AQ16" s="7"/>
      <c r="AR16" s="3"/>
      <c r="AT16" s="39"/>
      <c r="AU16" s="97"/>
      <c r="AV16" s="97"/>
      <c r="AW16" s="97"/>
      <c r="AX16" s="97"/>
      <c r="AY16" s="97"/>
    </row>
    <row r="17" spans="1:51" ht="18.75" customHeight="1" thickBot="1" x14ac:dyDescent="0.25">
      <c r="A17" s="228"/>
      <c r="B17" s="296" t="s">
        <v>11</v>
      </c>
      <c r="C17" s="297"/>
      <c r="D17" s="297"/>
      <c r="E17" s="410" t="str">
        <f>AV11</f>
        <v>fj4celit1pm</v>
      </c>
      <c r="F17" s="411"/>
      <c r="G17" s="411"/>
      <c r="H17" s="411"/>
      <c r="I17" s="411"/>
      <c r="J17" s="411"/>
      <c r="K17" s="411"/>
      <c r="L17" s="303"/>
      <c r="M17" s="304"/>
      <c r="N17" s="304"/>
      <c r="O17" s="304"/>
      <c r="P17" s="304"/>
      <c r="Q17" s="256"/>
      <c r="R17" s="303"/>
      <c r="S17" s="304"/>
      <c r="T17" s="304"/>
      <c r="U17" s="304"/>
      <c r="V17" s="304"/>
      <c r="W17" s="303"/>
      <c r="X17" s="304"/>
      <c r="Y17" s="304"/>
      <c r="Z17" s="288"/>
      <c r="AA17" s="289"/>
      <c r="AB17" s="289"/>
      <c r="AC17" s="290"/>
      <c r="AD17" s="291"/>
      <c r="AE17" s="292"/>
      <c r="AF17" s="293"/>
      <c r="AG17" s="293"/>
      <c r="AH17" s="294"/>
      <c r="AI17" s="295"/>
      <c r="AJ17" s="7"/>
      <c r="AK17" s="37"/>
      <c r="AL17" s="37"/>
      <c r="AM17" s="37"/>
      <c r="AN17" s="37"/>
      <c r="AO17" s="37"/>
      <c r="AP17" s="37"/>
      <c r="AQ17" s="7"/>
      <c r="AR17" s="3"/>
      <c r="AT17" s="39"/>
      <c r="AU17" s="15"/>
      <c r="AV17" s="15"/>
      <c r="AW17" s="97"/>
      <c r="AX17" s="97"/>
      <c r="AY17" s="97"/>
    </row>
    <row r="18" spans="1:51" ht="21" customHeight="1" thickTop="1" thickBot="1" x14ac:dyDescent="0.25">
      <c r="A18" s="40"/>
      <c r="B18" s="305" t="s">
        <v>65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7"/>
      <c r="AJ18" s="7"/>
      <c r="AK18" s="37"/>
      <c r="AL18" s="37"/>
      <c r="AM18" s="37"/>
      <c r="AN18" s="37"/>
      <c r="AO18" s="37"/>
      <c r="AP18" s="37"/>
      <c r="AQ18" s="7"/>
      <c r="AR18" s="3"/>
      <c r="AT18" s="39"/>
      <c r="AU18" s="97"/>
      <c r="AV18" s="97"/>
      <c r="AW18" s="4"/>
    </row>
    <row r="19" spans="1:51" ht="13.5" thickTop="1" x14ac:dyDescent="0.2">
      <c r="A19" s="4" t="s">
        <v>66</v>
      </c>
      <c r="B19" s="308">
        <v>0.35416666666666669</v>
      </c>
      <c r="C19" s="309"/>
      <c r="D19" s="310"/>
      <c r="E19" s="308">
        <v>0.38541666666666669</v>
      </c>
      <c r="F19" s="309"/>
      <c r="G19" s="310"/>
      <c r="H19" s="308">
        <v>0.41666666666666669</v>
      </c>
      <c r="I19" s="309"/>
      <c r="J19" s="310"/>
      <c r="K19" s="308">
        <v>0.44791666666666669</v>
      </c>
      <c r="L19" s="309"/>
      <c r="M19" s="310"/>
      <c r="N19" s="308">
        <v>0.47916666666666669</v>
      </c>
      <c r="O19" s="309"/>
      <c r="P19" s="310"/>
      <c r="Q19" s="308">
        <v>0.51041666666666663</v>
      </c>
      <c r="R19" s="309"/>
      <c r="S19" s="310"/>
      <c r="T19" s="308">
        <v>4.1666666666666664E-2</v>
      </c>
      <c r="U19" s="309"/>
      <c r="V19" s="310"/>
      <c r="W19" s="308">
        <v>7.2916666666666671E-2</v>
      </c>
      <c r="X19" s="309"/>
      <c r="Y19" s="310"/>
      <c r="Z19" s="308">
        <v>0.10416666666666667</v>
      </c>
      <c r="AA19" s="309"/>
      <c r="AB19" s="310"/>
      <c r="AC19" s="308">
        <v>0.13541666666666666</v>
      </c>
      <c r="AD19" s="309"/>
      <c r="AE19" s="310"/>
      <c r="AF19" s="311" t="s">
        <v>67</v>
      </c>
      <c r="AG19" s="312"/>
      <c r="AH19" s="312"/>
      <c r="AI19" s="312"/>
      <c r="AJ19" s="313"/>
      <c r="AK19" s="313"/>
      <c r="AL19" s="313"/>
      <c r="AM19" s="313"/>
      <c r="AN19" s="313"/>
      <c r="AO19" s="313"/>
      <c r="AP19" s="313"/>
      <c r="AQ19" s="314"/>
      <c r="AT19" s="39"/>
      <c r="AU19" s="97"/>
      <c r="AV19" s="97"/>
      <c r="AW19" s="4"/>
    </row>
    <row r="20" spans="1:51" x14ac:dyDescent="0.2">
      <c r="A20" s="41" t="s">
        <v>68</v>
      </c>
      <c r="B20" s="319">
        <v>0.36249999999999999</v>
      </c>
      <c r="C20" s="320"/>
      <c r="D20" s="321"/>
      <c r="E20" s="319">
        <v>0.3972222222222222</v>
      </c>
      <c r="F20" s="320"/>
      <c r="G20" s="321"/>
      <c r="H20" s="319">
        <v>0.43124999999999997</v>
      </c>
      <c r="I20" s="320"/>
      <c r="J20" s="321"/>
      <c r="K20" s="319">
        <v>0.46388888888888885</v>
      </c>
      <c r="L20" s="320"/>
      <c r="M20" s="321"/>
      <c r="N20" s="319">
        <v>0.48958333333333331</v>
      </c>
      <c r="O20" s="320"/>
      <c r="P20" s="321"/>
      <c r="Q20" s="319">
        <v>0.52777777777777779</v>
      </c>
      <c r="R20" s="320"/>
      <c r="S20" s="321"/>
      <c r="T20" s="319">
        <v>0.55555555555555558</v>
      </c>
      <c r="U20" s="320"/>
      <c r="V20" s="321"/>
      <c r="W20" s="319">
        <v>0.59375</v>
      </c>
      <c r="X20" s="320"/>
      <c r="Y20" s="321"/>
      <c r="Z20" s="319">
        <v>0.62638888888888888</v>
      </c>
      <c r="AA20" s="320"/>
      <c r="AB20" s="321"/>
      <c r="AC20" s="319">
        <v>0.66180555555555554</v>
      </c>
      <c r="AD20" s="320"/>
      <c r="AE20" s="321"/>
      <c r="AF20" s="311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5"/>
      <c r="AT20" s="39"/>
      <c r="AU20" s="97"/>
      <c r="AV20" s="97"/>
      <c r="AW20" s="4"/>
    </row>
    <row r="21" spans="1:51" x14ac:dyDescent="0.2">
      <c r="A21" s="41" t="s">
        <v>69</v>
      </c>
      <c r="B21" s="319">
        <v>0.38541666666666669</v>
      </c>
      <c r="C21" s="320"/>
      <c r="D21" s="321"/>
      <c r="E21" s="319">
        <v>0.42708333333333331</v>
      </c>
      <c r="F21" s="320"/>
      <c r="G21" s="321"/>
      <c r="H21" s="319">
        <v>0.45277777777777778</v>
      </c>
      <c r="I21" s="320"/>
      <c r="J21" s="321"/>
      <c r="K21" s="319">
        <v>0.4826388888888889</v>
      </c>
      <c r="L21" s="320"/>
      <c r="M21" s="321"/>
      <c r="N21" s="319">
        <v>0.52083333333333337</v>
      </c>
      <c r="O21" s="320"/>
      <c r="P21" s="321"/>
      <c r="Q21" s="319">
        <v>0.54652777777777783</v>
      </c>
      <c r="R21" s="320"/>
      <c r="S21" s="321"/>
      <c r="T21" s="319">
        <v>0.5805555555555556</v>
      </c>
      <c r="U21" s="320"/>
      <c r="V21" s="321"/>
      <c r="W21" s="319">
        <v>0.62013888888888891</v>
      </c>
      <c r="X21" s="320"/>
      <c r="Y21" s="321"/>
      <c r="Z21" s="319">
        <v>0.65833333333333333</v>
      </c>
      <c r="AA21" s="320"/>
      <c r="AB21" s="321"/>
      <c r="AC21" s="319">
        <v>0.69097222222222221</v>
      </c>
      <c r="AD21" s="320"/>
      <c r="AE21" s="321"/>
      <c r="AF21" s="311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5"/>
      <c r="AT21" s="6"/>
      <c r="AU21" s="6"/>
      <c r="AV21" s="6"/>
      <c r="AW21" s="4"/>
    </row>
    <row r="22" spans="1:51" ht="13.5" thickBot="1" x14ac:dyDescent="0.25">
      <c r="A22" s="7"/>
      <c r="B22" s="322" t="s">
        <v>70</v>
      </c>
      <c r="C22" s="323"/>
      <c r="D22" s="324"/>
      <c r="E22" s="322" t="str">
        <f>IF($AK8&gt;1,"Match 2","")</f>
        <v>Match 2</v>
      </c>
      <c r="F22" s="323"/>
      <c r="G22" s="324"/>
      <c r="H22" s="322" t="str">
        <f>IF($AK8&gt;2,"Match 3","")</f>
        <v>Match 3</v>
      </c>
      <c r="I22" s="323"/>
      <c r="J22" s="324"/>
      <c r="K22" s="322" t="str">
        <f>IF($AK8&gt;3,"Match 4","")</f>
        <v>Match 4</v>
      </c>
      <c r="L22" s="323"/>
      <c r="M22" s="324"/>
      <c r="N22" s="322" t="str">
        <f>IF($AK8&gt;4,"Match 5","")</f>
        <v>Match 5</v>
      </c>
      <c r="O22" s="323"/>
      <c r="P22" s="324"/>
      <c r="Q22" s="322" t="str">
        <f>IF($AK8&gt;5,"Match 6","")</f>
        <v>Match 6</v>
      </c>
      <c r="R22" s="323"/>
      <c r="S22" s="324"/>
      <c r="T22" s="322" t="str">
        <f>IF($AK8&gt;6,"Match 7","")</f>
        <v>Match 7</v>
      </c>
      <c r="U22" s="323"/>
      <c r="V22" s="324"/>
      <c r="W22" s="322" t="str">
        <f>IF($AK8&gt;7,"Match 8","")</f>
        <v>Match 8</v>
      </c>
      <c r="X22" s="323"/>
      <c r="Y22" s="324"/>
      <c r="Z22" s="322" t="str">
        <f>IF($AK8&gt;8,"Match 9","")</f>
        <v>Match 9</v>
      </c>
      <c r="AA22" s="323"/>
      <c r="AB22" s="324"/>
      <c r="AC22" s="322" t="str">
        <f>IF($AK8&gt;9,"Match 10","")</f>
        <v>Match 10</v>
      </c>
      <c r="AD22" s="323"/>
      <c r="AE22" s="324"/>
      <c r="AF22" s="316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8"/>
      <c r="AT22" s="39"/>
      <c r="AU22" s="97"/>
      <c r="AV22" s="97"/>
      <c r="AW22" s="4"/>
    </row>
    <row r="23" spans="1:51" ht="15.75" x14ac:dyDescent="0.25">
      <c r="A23" s="7"/>
      <c r="B23" s="325" t="s">
        <v>71</v>
      </c>
      <c r="C23" s="326"/>
      <c r="D23" s="327"/>
      <c r="E23" s="325" t="s">
        <v>72</v>
      </c>
      <c r="F23" s="326"/>
      <c r="G23" s="327"/>
      <c r="H23" s="325" t="s">
        <v>73</v>
      </c>
      <c r="I23" s="326"/>
      <c r="J23" s="327"/>
      <c r="K23" s="325" t="s">
        <v>74</v>
      </c>
      <c r="L23" s="326"/>
      <c r="M23" s="327"/>
      <c r="N23" s="325" t="s">
        <v>75</v>
      </c>
      <c r="O23" s="326"/>
      <c r="P23" s="327"/>
      <c r="Q23" s="325" t="s">
        <v>73</v>
      </c>
      <c r="R23" s="326"/>
      <c r="S23" s="327"/>
      <c r="T23" s="325" t="s">
        <v>71</v>
      </c>
      <c r="U23" s="326"/>
      <c r="V23" s="327"/>
      <c r="W23" s="325" t="s">
        <v>75</v>
      </c>
      <c r="X23" s="326"/>
      <c r="Y23" s="327"/>
      <c r="Z23" s="325" t="s">
        <v>74</v>
      </c>
      <c r="AA23" s="326"/>
      <c r="AB23" s="327"/>
      <c r="AC23" s="325" t="s">
        <v>72</v>
      </c>
      <c r="AD23" s="326"/>
      <c r="AE23" s="327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9"/>
      <c r="AU23" s="97"/>
      <c r="AV23" s="97"/>
      <c r="AW23" s="97"/>
      <c r="AX23" s="97"/>
      <c r="AY23" s="97"/>
    </row>
    <row r="24" spans="1:51" ht="15.75" x14ac:dyDescent="0.25">
      <c r="A24" s="7"/>
      <c r="B24" s="45">
        <v>2</v>
      </c>
      <c r="C24" s="46" t="s">
        <v>78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2" t="str">
        <f>IF($AK9&gt;0,"Team 1","")</f>
        <v>Team 1</v>
      </c>
      <c r="AG24" s="48" t="str">
        <f>IF($AK9&lt;1,"",IF($AK8&lt;1,"",IF(B24=1,B30-D30,IF(D24=1,D30-B30,""))))</f>
        <v/>
      </c>
      <c r="AH24" s="48">
        <f>IF($AK9&lt;1,"",IF($AK8&lt;2,"",IF(E24=1,E30-G30,IF(G24=1,G30-E30,""))))</f>
        <v>16</v>
      </c>
      <c r="AI24" s="48" t="str">
        <f>IF($AK9&lt;1,"",IF($AK8&lt;3,"",IF(H24=1,H30-J30,IF(J24=1,J30-H30,""))))</f>
        <v/>
      </c>
      <c r="AJ24" s="48" t="str">
        <f>IF($AK9&lt;1,"",IF($AK8&lt;4,"",IF(K24=1,K30-M30,IF(M24=1,M30-K30,""))))</f>
        <v/>
      </c>
      <c r="AK24" s="48">
        <f>IF($AK9&lt;1,"",IF($AK8&lt;5,"",IF(N24=1,N30-P30,IF(P24=1,P30-N30,""))))</f>
        <v>15</v>
      </c>
      <c r="AL24" s="48" t="str">
        <f>IF($AK9&lt;1,"",IF($AK8&lt;6,"",IF(Q24=1,Q30-S30,IF(S24=1,S30-Q30,""))))</f>
        <v/>
      </c>
      <c r="AM24" s="48" t="str">
        <f>IF($AK9&lt;1,"",IF($AK8&lt;7,"",IF(T24=1,T30-V30,IF(V24=1,V30-T30,""))))</f>
        <v/>
      </c>
      <c r="AN24" s="48">
        <f>IF($AK9&lt;1,"",IF($AK8&lt;8,"",IF(W24=1,W30-Y30,IF(Y24=1,Y30-W30,""))))</f>
        <v>29</v>
      </c>
      <c r="AO24" s="48" t="str">
        <f>IF($AK9&lt;1,"",IF($AK8&lt;9,"",IF(Z24=1,Z30-AB30,IF(AB24=1,AB30-Z30,""))))</f>
        <v/>
      </c>
      <c r="AP24" s="48">
        <f>IF($AK9&lt;1,"",IF($AK8&lt;10,"",IF(AC24=1,AC30-AE30,IF(AE24=1,AE30-AC30,""))))</f>
        <v>20</v>
      </c>
      <c r="AQ24" s="44">
        <f>SUM(AG24:AP24)</f>
        <v>80</v>
      </c>
      <c r="AT24" s="39"/>
      <c r="AU24" s="97"/>
      <c r="AV24" s="97"/>
      <c r="AW24" s="97"/>
      <c r="AX24" s="97"/>
      <c r="AY24" s="97"/>
    </row>
    <row r="25" spans="1:51" ht="15" x14ac:dyDescent="0.2">
      <c r="A25" s="4" t="s">
        <v>79</v>
      </c>
      <c r="B25" s="49">
        <v>20</v>
      </c>
      <c r="C25" s="50" t="s">
        <v>80</v>
      </c>
      <c r="D25" s="51">
        <v>25</v>
      </c>
      <c r="E25" s="49">
        <v>25</v>
      </c>
      <c r="F25" s="50" t="str">
        <f>IF($AK8&gt;1,"/","")</f>
        <v>/</v>
      </c>
      <c r="G25" s="51">
        <v>15</v>
      </c>
      <c r="H25" s="49">
        <v>25</v>
      </c>
      <c r="I25" s="50" t="str">
        <f>IF($AK8&gt;2,"/","")</f>
        <v>/</v>
      </c>
      <c r="J25" s="51">
        <v>11</v>
      </c>
      <c r="K25" s="49">
        <v>9</v>
      </c>
      <c r="L25" s="50" t="str">
        <f>IF($AK8&gt;3,"/","")</f>
        <v>/</v>
      </c>
      <c r="M25" s="51">
        <v>25</v>
      </c>
      <c r="N25" s="49">
        <v>25</v>
      </c>
      <c r="O25" s="50" t="str">
        <f>IF($AK8&gt;4,"/","")</f>
        <v>/</v>
      </c>
      <c r="P25" s="51">
        <v>13</v>
      </c>
      <c r="Q25" s="49">
        <v>25</v>
      </c>
      <c r="R25" s="50" t="str">
        <f>IF($AK8&gt;5,"/","")</f>
        <v>/</v>
      </c>
      <c r="S25" s="51">
        <v>11</v>
      </c>
      <c r="T25" s="49">
        <v>25</v>
      </c>
      <c r="U25" s="50" t="str">
        <f>IF($AK8&gt;6,"/","")</f>
        <v>/</v>
      </c>
      <c r="V25" s="51">
        <v>23</v>
      </c>
      <c r="W25" s="49">
        <v>25</v>
      </c>
      <c r="X25" s="50" t="str">
        <f>IF($AK8&gt;7,"/","")</f>
        <v>/</v>
      </c>
      <c r="Y25" s="51">
        <v>11</v>
      </c>
      <c r="Z25" s="49">
        <v>25</v>
      </c>
      <c r="AA25" s="50" t="str">
        <f>IF($AK8&gt;8,"/","")</f>
        <v>/</v>
      </c>
      <c r="AB25" s="51">
        <v>27</v>
      </c>
      <c r="AC25" s="49">
        <v>25</v>
      </c>
      <c r="AD25" s="50" t="str">
        <f>IF($AK8&gt;9,"/","")</f>
        <v>/</v>
      </c>
      <c r="AE25" s="51">
        <v>17</v>
      </c>
      <c r="AF25" s="42" t="str">
        <f>IF($AK9&gt;1,"Team 2","")</f>
        <v>Team 2</v>
      </c>
      <c r="AG25" s="48">
        <f>IF($AK9&lt;2,"",IF($AK8&lt;1,"",IF(B24=2,B30-D30,IF(D24=2,D30-B30,""))))</f>
        <v>-12</v>
      </c>
      <c r="AH25" s="48" t="str">
        <f>IF($AK9&lt;2,"",IF($AK8&lt;2,"",IF(E24=2,E30-G30,IF(G24=2,G30-E30,""))))</f>
        <v/>
      </c>
      <c r="AI25" s="48" t="str">
        <f>IF($AK9&lt;2,"",IF($AK8&lt;3,"",IF(H24=2,H30-J30,IF(J24=2,J30-H30,""))))</f>
        <v/>
      </c>
      <c r="AJ25" s="48">
        <f>IF($AK9&lt;2,"",IF($AK8&lt;4,"",IF(K24=2,K30-M30,IF(M24=2,M30-K30,""))))</f>
        <v>-27</v>
      </c>
      <c r="AK25" s="48" t="str">
        <f>IF($AK9&lt;2,"",IF($AK8&lt;5,"",IF(N24=2,N30-P30,IF(P24=2,P30-N30,""))))</f>
        <v/>
      </c>
      <c r="AL25" s="48" t="str">
        <f>IF($AK9&lt;2,"",IF($AK8&lt;6,"",IF(Q24=2,Q30-S30,IF(S24=2,S30-Q30,""))))</f>
        <v/>
      </c>
      <c r="AM25" s="48">
        <f>IF($AK9&lt;2,"",IF($AK8&lt;7,"",IF(T24=2,T30-V30,IF(V24=2,V30-T30,""))))</f>
        <v>-5</v>
      </c>
      <c r="AN25" s="48" t="str">
        <f>IF($AK9&lt;2,"",IF($AK8&lt;8,"",IF(W24=2,W30-Y30,IF(Y24=2,Y30-W30,""))))</f>
        <v/>
      </c>
      <c r="AO25" s="48" t="str">
        <f>IF($AK9&lt;2,"",IF($AK8&lt;9,"",IF(Z24=2,Z30-AB30,IF(AB24=2,AB30-Z30,""))))</f>
        <v/>
      </c>
      <c r="AP25" s="48">
        <f>IF($AK9&lt;2,"",IF($AK8&lt;10,"",IF(AC24=2,AC30-AE30,IF(AE24=2,AE30-AC30,""))))</f>
        <v>-20</v>
      </c>
      <c r="AQ25" s="44">
        <f>SUM(AG25:AP25)</f>
        <v>-64</v>
      </c>
      <c r="AW25" s="4"/>
    </row>
    <row r="26" spans="1:51" ht="15" x14ac:dyDescent="0.2">
      <c r="A26" s="3" t="str">
        <f>IF($AK7&gt;1,"Game 2","")</f>
        <v>Game 2</v>
      </c>
      <c r="B26" s="49">
        <v>18</v>
      </c>
      <c r="C26" s="50" t="s">
        <v>80</v>
      </c>
      <c r="D26" s="51">
        <v>25</v>
      </c>
      <c r="E26" s="49">
        <v>25</v>
      </c>
      <c r="F26" s="50" t="str">
        <f>IF($AK8&gt;1,IF($AK7&gt;1,"/",""),"")</f>
        <v>/</v>
      </c>
      <c r="G26" s="51">
        <v>19</v>
      </c>
      <c r="H26" s="49">
        <v>25</v>
      </c>
      <c r="I26" s="50" t="str">
        <f>IF($AK8&gt;2,IF($AK7&gt;1,"/",""),"")</f>
        <v>/</v>
      </c>
      <c r="J26" s="51">
        <v>19</v>
      </c>
      <c r="K26" s="49">
        <v>14</v>
      </c>
      <c r="L26" s="50" t="str">
        <f>IF($AK8&gt;3,IF($AK7&gt;1,"/",""),"")</f>
        <v>/</v>
      </c>
      <c r="M26" s="51">
        <v>25</v>
      </c>
      <c r="N26" s="49">
        <v>25</v>
      </c>
      <c r="O26" s="50" t="str">
        <f>IF($AK8&gt;4,IF($AK7&gt;1,"/",""),"")</f>
        <v>/</v>
      </c>
      <c r="P26" s="51">
        <v>22</v>
      </c>
      <c r="Q26" s="49">
        <v>25</v>
      </c>
      <c r="R26" s="50" t="str">
        <f>IF($AK8&gt;5,IF($AK7&gt;1,"/",""),"")</f>
        <v>/</v>
      </c>
      <c r="S26" s="51">
        <v>10</v>
      </c>
      <c r="T26" s="49">
        <v>18</v>
      </c>
      <c r="U26" s="50" t="str">
        <f>IF($AK8&gt;6,IF($AK7&gt;1,"/",""),"")</f>
        <v>/</v>
      </c>
      <c r="V26" s="51">
        <v>25</v>
      </c>
      <c r="W26" s="49">
        <v>25</v>
      </c>
      <c r="X26" s="50" t="str">
        <f>IF($AK8&gt;7,IF($AK7&gt;1,"/",""),"")</f>
        <v>/</v>
      </c>
      <c r="Y26" s="51">
        <v>10</v>
      </c>
      <c r="Z26" s="49">
        <v>18</v>
      </c>
      <c r="AA26" s="50" t="str">
        <f>IF($AK8&gt;8,IF($AK7&gt;1,"/",""),"")</f>
        <v>/</v>
      </c>
      <c r="AB26" s="51">
        <v>25</v>
      </c>
      <c r="AC26" s="49">
        <v>25</v>
      </c>
      <c r="AD26" s="50" t="str">
        <f>IF($AK8&gt;9,IF($AK7&gt;1,"/",""),"")</f>
        <v>/</v>
      </c>
      <c r="AE26" s="51">
        <v>13</v>
      </c>
      <c r="AF26" s="42" t="str">
        <f>IF($AK9&gt;2,"Team 3","")</f>
        <v>Team 3</v>
      </c>
      <c r="AG26" s="48" t="str">
        <f>IF($AK9&lt;3,"",IF($AK8&lt;1,"",IF(B24=3,B30-D30,IF(D24=3,D30-B30,""))))</f>
        <v/>
      </c>
      <c r="AH26" s="48" t="str">
        <f>IF($AK9&lt;3,"",IF($AK8&lt;2,"",IF(E24=3,E30-G30,IF(G24=3,G30-E30,""))))</f>
        <v/>
      </c>
      <c r="AI26" s="48">
        <f>IF($AK9&lt;3,"",IF($AK8&lt;3,"",IF(H24=3,H30-J30,IF(J24=3,J30-H30,""))))</f>
        <v>20</v>
      </c>
      <c r="AJ26" s="48" t="str">
        <f>IF($AK9&lt;3,"",IF($AK8&lt;4,"",IF(K24=3,K30-M30,IF(M24=3,M30-K30,""))))</f>
        <v/>
      </c>
      <c r="AK26" s="48">
        <f>IF($AK9&lt;3,"",IF($AK8&lt;5,"",IF(N24=3,N30-P30,IF(P24=3,P30-N30,""))))</f>
        <v>-15</v>
      </c>
      <c r="AL26" s="48" t="str">
        <f>IF($AK9&lt;3,"",IF($AK8&lt;6,"",IF(Q24=3,Q30-S30,IF(S24=3,S30-Q30,""))))</f>
        <v/>
      </c>
      <c r="AM26" s="48">
        <f>IF($AK9&lt;3,"",IF($AK8&lt;7,"",IF(T24=3,T30-V30,IF(V24=3,V30-T30,""))))</f>
        <v>5</v>
      </c>
      <c r="AN26" s="48" t="str">
        <f>IF($AK9&lt;3,"",IF($AK8&lt;8,"",IF(W24=3,W30-Y30,IF(Y24=3,Y30-W30,""))))</f>
        <v/>
      </c>
      <c r="AO26" s="48">
        <f>IF($AK9&lt;3,"",IF($AK8&lt;9,"",IF(Z24=3,Z30-AB30,IF(AB24=3,AB30-Z30,""))))</f>
        <v>-9</v>
      </c>
      <c r="AP26" s="48" t="str">
        <f>IF($AK9&lt;3,"",IF($AK8&lt;9,"",IF(AC24=3,AC30-AE30,IF(AE24=3,AE30-AC30,""))))</f>
        <v/>
      </c>
      <c r="AQ26" s="44">
        <f>SUM(AG26:AP26)</f>
        <v>1</v>
      </c>
      <c r="AW26" s="4"/>
    </row>
    <row r="27" spans="1:51" ht="15" x14ac:dyDescent="0.2">
      <c r="A27" s="3" t="str">
        <f>IF($AK7&gt;2,"Game 3","")</f>
        <v/>
      </c>
      <c r="B27" s="49"/>
      <c r="C27" s="50" t="s">
        <v>80</v>
      </c>
      <c r="D27" s="51"/>
      <c r="E27" s="49"/>
      <c r="F27" s="50" t="str">
        <f>IF($AK8&gt;1,IF($AK7&gt;2,"/",""),"")</f>
        <v/>
      </c>
      <c r="G27" s="51"/>
      <c r="H27" s="49"/>
      <c r="I27" s="50" t="str">
        <f>IF($AK8&gt;2,IF($AK7&gt;2,"/",""),"")</f>
        <v/>
      </c>
      <c r="J27" s="51"/>
      <c r="K27" s="49"/>
      <c r="L27" s="50" t="str">
        <f>IF($AK8&gt;3,IF($AK7&gt;2,"/",""),"")</f>
        <v/>
      </c>
      <c r="M27" s="51"/>
      <c r="N27" s="49"/>
      <c r="O27" s="50" t="str">
        <f>IF($AK8&gt;4,IF($AK7&gt;2,"/",""),"")</f>
        <v/>
      </c>
      <c r="P27" s="51"/>
      <c r="Q27" s="49"/>
      <c r="R27" s="50" t="str">
        <f>IF($AK8&gt;5,IF($AK7&gt;2,"/",""),"")</f>
        <v/>
      </c>
      <c r="S27" s="51"/>
      <c r="T27" s="49"/>
      <c r="U27" s="50" t="str">
        <f>IF($AK8&gt;6,IF($AK7&gt;2,"/",""),"")</f>
        <v/>
      </c>
      <c r="V27" s="51"/>
      <c r="W27" s="49"/>
      <c r="X27" s="50" t="str">
        <f>IF($AK8&gt;7,IF($AK7&gt;2,"/",""),"")</f>
        <v/>
      </c>
      <c r="Y27" s="51"/>
      <c r="Z27" s="49"/>
      <c r="AA27" s="50" t="str">
        <f>IF($AK8&gt;8,IF($AK7&gt;2,"/",""),"")</f>
        <v/>
      </c>
      <c r="AB27" s="51"/>
      <c r="AC27" s="49"/>
      <c r="AD27" s="50" t="str">
        <f>IF($AK8&gt;9,IF($AK7&gt;2,"/",""),"")</f>
        <v/>
      </c>
      <c r="AE27" s="51"/>
      <c r="AF27" s="42" t="str">
        <f>IF($AK9&gt;3,"Team 4","")</f>
        <v>Team 4</v>
      </c>
      <c r="AG27" s="48" t="str">
        <f>IF($AK9&lt;4,"",IF($AK8&lt;1,"",IF(B24=4,B30-D30,IF(D24=4,D30-B30,""))))</f>
        <v/>
      </c>
      <c r="AH27" s="48">
        <f>IF($AK9&lt;4,"",IF($AK8&lt;2,"",IF(E24=4,E30-G30,IF(G24=4,G30-E30,""))))</f>
        <v>-16</v>
      </c>
      <c r="AI27" s="48" t="str">
        <f>IF($AK9&lt;4,"",IF($AK8&lt;3,"",IF(H24=4,H30-J30,IF(J24=4,J30-H30,""))))</f>
        <v/>
      </c>
      <c r="AJ27" s="48">
        <f>IF($AK9&lt;4,"",IF($AK8&lt;4,"",IF(K24=4,K30-M30,IF(M24=4,M30-K30,""))))</f>
        <v>27</v>
      </c>
      <c r="AK27" s="48" t="str">
        <f>IF($AK9&lt;4,"",IF($AK8&lt;5,"",IF(N24=4,N30-P30,IF(P24=4,P30-N30,""))))</f>
        <v/>
      </c>
      <c r="AL27" s="48">
        <f>IF($AK9&lt;4,"",IF($AK8&lt;6,"",IF(Q24=4,Q30-S30,IF(S24=4,S30-Q30,""))))</f>
        <v>29</v>
      </c>
      <c r="AM27" s="48" t="str">
        <f>IF($AK9&lt;4,"",IF($AK8&lt;7,"",IF(T24=4,T30-V30,IF(V24=4,V30-T30,""))))</f>
        <v/>
      </c>
      <c r="AN27" s="48" t="str">
        <f>IF($AK9&lt;4,"",IF($AK8&lt;8,"",IF(W24=4,W30-Y30,IF(Y24=4,Y30-W30,""))))</f>
        <v/>
      </c>
      <c r="AO27" s="48">
        <f>IF($AK9&lt;4,"",IF($AK8&lt;9,"",IF(Z24=4,Z30-AB30,IF(AB24=4,AB30-Z30,""))))</f>
        <v>9</v>
      </c>
      <c r="AP27" s="48" t="str">
        <f>IF($AK9&lt;4,"",IF($AK8&lt;10,"",IF(AC24=4,AC30-AE30,IF(AE24=4,AE30-AC30,""))))</f>
        <v/>
      </c>
      <c r="AQ27" s="44">
        <f>SUM(AG27:AP27)</f>
        <v>49</v>
      </c>
      <c r="AW27" s="4"/>
    </row>
    <row r="28" spans="1:51" ht="15" x14ac:dyDescent="0.2">
      <c r="A28" s="3" t="str">
        <f>IF($AK7&gt;3,"Game 4","")</f>
        <v/>
      </c>
      <c r="B28" s="49"/>
      <c r="C28" s="50" t="s">
        <v>80</v>
      </c>
      <c r="D28" s="51"/>
      <c r="E28" s="49"/>
      <c r="F28" s="50" t="str">
        <f>IF($AK8&gt;1,IF($AK7&gt;3,"/",""),"")</f>
        <v/>
      </c>
      <c r="G28" s="51"/>
      <c r="H28" s="49"/>
      <c r="I28" s="50" t="str">
        <f>IF($AK8&gt;2,IF($AK7&gt;3,"/",""),"")</f>
        <v/>
      </c>
      <c r="J28" s="51"/>
      <c r="K28" s="49"/>
      <c r="L28" s="50" t="str">
        <f>IF($AK8&gt;3,IF($AK7&gt;3,"/",""),"")</f>
        <v/>
      </c>
      <c r="M28" s="51"/>
      <c r="N28" s="49"/>
      <c r="O28" s="50" t="str">
        <f>IF($AK8&gt;4,IF($AK7&gt;3,"/",""),"")</f>
        <v/>
      </c>
      <c r="P28" s="51"/>
      <c r="Q28" s="49"/>
      <c r="R28" s="50" t="str">
        <f>IF($AK8&gt;5,IF($AK7&gt;3,"/",""),"")</f>
        <v/>
      </c>
      <c r="S28" s="51"/>
      <c r="T28" s="49"/>
      <c r="U28" s="50" t="str">
        <f>IF($AK8&gt;6,IF($AK7&gt;3,"/",""),"")</f>
        <v/>
      </c>
      <c r="V28" s="51"/>
      <c r="W28" s="49"/>
      <c r="X28" s="50" t="str">
        <f>IF($AK8&gt;7,IF($AK7&gt;3,"/",""),"")</f>
        <v/>
      </c>
      <c r="Y28" s="51"/>
      <c r="Z28" s="49"/>
      <c r="AA28" s="50" t="str">
        <f>IF($AK8&gt;8,IF($AK7&gt;3,"/",""),"")</f>
        <v/>
      </c>
      <c r="AB28" s="51"/>
      <c r="AC28" s="49"/>
      <c r="AD28" s="50" t="str">
        <f>IF($AK8&gt;9,IF($AK7&gt;3,"/",""),"")</f>
        <v/>
      </c>
      <c r="AE28" s="51"/>
      <c r="AF28" s="42" t="str">
        <f>IF($AK9&gt;4,"Team 5","")</f>
        <v>Team 5</v>
      </c>
      <c r="AG28" s="52">
        <f>IF($AK9&lt;5,"",IF($AK8&lt;1,"",IF(B24=5,B30-D30,IF(D24=5,D30-B30,""))))</f>
        <v>12</v>
      </c>
      <c r="AH28" s="48" t="str">
        <f>IF($AK9&lt;5,"",IF($AK8&lt;2,"",IF(E24=5,E30-G30,IF(G24=5,G30-E30,""))))</f>
        <v/>
      </c>
      <c r="AI28" s="48">
        <f>IF($AK9&lt;5,"",IF($AK8&lt;3,"",IF(H24=5,H30-J30,IF(J24=5,J30-H30,""))))</f>
        <v>-20</v>
      </c>
      <c r="AJ28" s="48" t="str">
        <f>IF($AK9&lt;5,"",IF($AK8&lt;4,"",IF(K24=5,K30-M30,IF(M24=5,M30-K30,""))))</f>
        <v/>
      </c>
      <c r="AK28" s="48" t="str">
        <f>IF($AK9&lt;5,"",IF($AK8&lt;5,"",IF(N24=5,N30-P30,IF(P24=5,P30-N30,""))))</f>
        <v/>
      </c>
      <c r="AL28" s="48">
        <f>IF($AK9&lt;5,"",IF($AK8&lt;6,"",IF(Q24=5,Q30-S30,IF(S24=5,S30-Q30,""))))</f>
        <v>-29</v>
      </c>
      <c r="AM28" s="48" t="str">
        <f>IF($AK9&lt;5,"",IF($AK8&lt;7,"",IF(T24=5,T30-V30,IF(V24=5,V30-T30,""))))</f>
        <v/>
      </c>
      <c r="AN28" s="48">
        <f>IF($AK9&lt;5,"",IF($AK8&lt;8,"",IF(W24=5,W30-Y30,IF(Y24=5,Y30-W30,""))))</f>
        <v>-29</v>
      </c>
      <c r="AO28" s="48" t="str">
        <f>IF($AK9&lt;5,"",IF($AK8&lt;9,"",IF(Z24=5,Z30-AB30,IF(AB24=5,AB30-Z30,""))))</f>
        <v/>
      </c>
      <c r="AP28" s="48" t="str">
        <f>IF($AK9&lt;5,"",IF($AK8&lt;10,"",IF(AC24=5,AC30-AE30,IF(AE24=5,AE30-AC30,""))))</f>
        <v/>
      </c>
      <c r="AQ28" s="44">
        <f>SUM(AG28:AP28)</f>
        <v>-66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49"/>
      <c r="C29" s="50" t="s">
        <v>80</v>
      </c>
      <c r="D29" s="51"/>
      <c r="E29" s="49"/>
      <c r="F29" s="50" t="str">
        <f>IF($AK8&gt;1,IF($AK7&gt;4,"/",""),"")</f>
        <v/>
      </c>
      <c r="G29" s="51"/>
      <c r="H29" s="49"/>
      <c r="I29" s="50" t="str">
        <f>IF($AK8&gt;2,IF($AK7&gt;4,"/",""),"")</f>
        <v/>
      </c>
      <c r="J29" s="51"/>
      <c r="K29" s="49"/>
      <c r="L29" s="50" t="str">
        <f>IF($AK8&gt;3,IF($AK7&gt;4,"/",""),"")</f>
        <v/>
      </c>
      <c r="M29" s="51"/>
      <c r="N29" s="49"/>
      <c r="O29" s="50" t="str">
        <f>IF($AK8&gt;4,IF($AK7&gt;4,"/",""),"")</f>
        <v/>
      </c>
      <c r="P29" s="51"/>
      <c r="Q29" s="49"/>
      <c r="R29" s="50" t="str">
        <f>IF($AK8&gt;5,IF($AK7&gt;4,"/",""),"")</f>
        <v/>
      </c>
      <c r="S29" s="51"/>
      <c r="T29" s="49"/>
      <c r="U29" s="50" t="str">
        <f>IF($AK8&gt;6,IF($AK7&gt;4,"/",""),"")</f>
        <v/>
      </c>
      <c r="V29" s="51"/>
      <c r="W29" s="49"/>
      <c r="X29" s="50" t="str">
        <f>IF($AK8&gt;7,IF($AK7&gt;4,"/",""),"")</f>
        <v/>
      </c>
      <c r="Y29" s="51"/>
      <c r="Z29" s="49"/>
      <c r="AA29" s="50" t="str">
        <f>IF($AK8&gt;8,IF($AK7&gt;4,"/",""),"")</f>
        <v/>
      </c>
      <c r="AB29" s="51"/>
      <c r="AC29" s="49"/>
      <c r="AD29" s="50" t="str">
        <f>IF($AK8&gt;9,IF($AK7&gt;4,"/",""),"")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3"/>
      <c r="B30" s="53">
        <f>IF($AK7=5,SUM(B25:B29),IF($AK7=4,SUM(B25:B28),IF($AK7=3,SUM(B25:B27),IF($AK7=2,SUM(B25:B26),B25))))</f>
        <v>38</v>
      </c>
      <c r="C30" s="53"/>
      <c r="D30" s="53">
        <f>IF($AK7=5,SUM(D25:D29),IF($AK7=4,SUM(D25:D28),IF($AK7=3,SUM(D25:D27),IF($AK7=2,SUM(D25:D26),D25))))</f>
        <v>50</v>
      </c>
      <c r="E30" s="53">
        <f>IF($AK7=5,SUM(E25:E29),IF($AK7=4,SUM(E25:E28),IF($AK7=3,SUM(E25:E27),IF($AK7=2,SUM(E25:E26),E25))))</f>
        <v>50</v>
      </c>
      <c r="F30" s="53"/>
      <c r="G30" s="53">
        <f>IF($AK7=5,SUM(G25:G29),IF($AK7=4,SUM(G25:G28),IF($AK7=3,SUM(G25:G27),IF($AK7=2,SUM(G25:G26),G25))))</f>
        <v>34</v>
      </c>
      <c r="H30" s="53">
        <f>IF($AK7=5,SUM(H25:H29),IF($AK7=4,SUM(H25:H28),IF($AK7=3,SUM(H25:H27),IF($AK7=2,SUM(H25:H26),H25))))</f>
        <v>50</v>
      </c>
      <c r="I30" s="53"/>
      <c r="J30" s="53">
        <f>IF($AK7=5,SUM(J25:J29),IF($AK7=4,SUM(J25:J28),IF($AK7=3,SUM(J25:J27),IF($AK7=2,SUM(J25:J26),J25))))</f>
        <v>30</v>
      </c>
      <c r="K30" s="53">
        <f>IF($AK7=5,SUM(K25:K29),IF($AK7=4,SUM(K25:K28),IF($AK7=3,SUM(K25:K27),IF($AK7=2,SUM(K25:K26),K25))))</f>
        <v>23</v>
      </c>
      <c r="L30" s="53"/>
      <c r="M30" s="53">
        <f>IF($AK7=5,SUM(M25:M29),IF($AK7=4,SUM(M25:M28),IF($AK7=3,SUM(M25:M27),IF($AK7=2,SUM(M25:M26),M25))))</f>
        <v>50</v>
      </c>
      <c r="N30" s="53">
        <f>IF($AK7=5,SUM(N25:N29),IF($AK7=4,SUM(N25:N28),IF($AK7=3,SUM(N25:N27),IF($AK7=2,SUM(N25:N26),N25))))</f>
        <v>50</v>
      </c>
      <c r="O30" s="53"/>
      <c r="P30" s="53">
        <f>IF($AK7=5,SUM(P25:P29),IF($AK7=4,SUM(P25:P28),IF($AK7=3,SUM(P25:P27),IF($AK7=2,SUM(P25:P26),P25))))</f>
        <v>35</v>
      </c>
      <c r="Q30" s="53">
        <f>IF($AK7=5,SUM(Q25:Q29),IF($AK7=4,SUM(Q25:Q28),IF($AK7=3,SUM(Q25:Q27),IF($AK7=2,SUM(Q25:Q26),Q25))))</f>
        <v>50</v>
      </c>
      <c r="R30" s="53"/>
      <c r="S30" s="53">
        <f>IF($AK7=5,SUM(S25:S29),IF($AK7=4,SUM(S25:S28),IF($AK7=3,SUM(S25:S27),IF($AK7=2,SUM(S25:S26),S25))))</f>
        <v>21</v>
      </c>
      <c r="T30" s="53">
        <f>IF($AK7=5,SUM(T25:T29),IF($AK7=4,SUM(T25:T28),IF($AK7=3,SUM(T25:T27),IF($AK7=2,SUM(T25:T26),T25))))</f>
        <v>43</v>
      </c>
      <c r="U30" s="53"/>
      <c r="V30" s="53">
        <f>IF($AK7=5,SUM(V25:V29),IF($AK7=4,SUM(V25:V28),IF($AK7=3,SUM(V25:V27),IF($AK7=2,SUM(V25:V26),V25))))</f>
        <v>48</v>
      </c>
      <c r="W30" s="53">
        <f>IF($AK7=5,SUM(W25:W29),IF($AK7=4,SUM(W25:W28),IF($AK7=3,SUM(W25:W27),IF($AK7=2,SUM(W25:W26),W25))))</f>
        <v>50</v>
      </c>
      <c r="X30" s="53"/>
      <c r="Y30" s="53">
        <f>IF($AK7=5,SUM(Y25:Y29),IF($AK7=4,SUM(Y25:Y28),IF($AK7=3,SUM(Y25:Y27),IF($AK7=2,SUM(Y25:Y26),Y25))))</f>
        <v>21</v>
      </c>
      <c r="Z30" s="53">
        <f>IF($AK7=5,SUM(Z25:Z29),IF($AK7=4,SUM(Z25:Z28),IF($AK7=3,SUM(Z25:Z27),IF($AK7=2,SUM(Z25:Z26),Z25))))</f>
        <v>43</v>
      </c>
      <c r="AA30" s="53"/>
      <c r="AB30" s="53">
        <f>IF($AK7=5,SUM(AB25:AB29),IF($AK7=4,SUM(AB25:AB28),IF($AK7=3,SUM(AB25:AB27),IF($AK7=2,SUM(AB25:AB26),AB25))))</f>
        <v>52</v>
      </c>
      <c r="AC30" s="53">
        <f>IF($AK7=5,SUM(AC25:AC29),IF($AK7=4,SUM(AC25:AC28),IF($AK7=3,SUM(AC25:AC27),IF($AK7=2,SUM(AC25:AC26),AC25))))</f>
        <v>50</v>
      </c>
      <c r="AD30" s="53"/>
      <c r="AE30" s="53">
        <f>IF($AK7=5,SUM(AE25:AE29),IF($AK7=4,SUM(AE25:AE28),IF($AK7=3,SUM(AE25:AE27),IF($AK7=2,SUM(AE25:AE26),AE25))))</f>
        <v>30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5" customFormat="1" ht="12.75" hidden="1" customHeight="1" x14ac:dyDescent="0.2">
      <c r="A31" s="55" t="s">
        <v>81</v>
      </c>
      <c r="B31" s="56">
        <f>IF(AND(B25&gt;D25,$AK8&gt;0,ISNUMBER(B25),ISNUMBER(D25)),1,0)</f>
        <v>0</v>
      </c>
      <c r="C31" s="56"/>
      <c r="D31" s="57">
        <f>IF(AND(D25&gt;B25,$AK8&gt;0,ISNUMBER(B25),ISNUMBER(D25)),1,0)</f>
        <v>1</v>
      </c>
      <c r="E31" s="56">
        <f>IF(AND(E25&gt;G25,$AK8&gt;1,ISNUMBER(E25),ISNUMBER(G25)),1,0)</f>
        <v>1</v>
      </c>
      <c r="F31" s="56"/>
      <c r="G31" s="57">
        <f>IF(AND(G25&gt;E25,$AK8&gt;1,ISNUMBER(E25),ISNUMBER(G25)),1,0)</f>
        <v>0</v>
      </c>
      <c r="H31" s="56">
        <f>IF(AND(H25&gt;J25,$AK8&gt;2,ISNUMBER(H25),ISNUMBER(J25)),1,0)</f>
        <v>1</v>
      </c>
      <c r="I31" s="56"/>
      <c r="J31" s="57">
        <f>IF(AND(J25&gt;H25,$AK8&gt;2,ISNUMBER(H25),ISNUMBER(J25)),1,0)</f>
        <v>0</v>
      </c>
      <c r="K31" s="56">
        <f>IF(AND(K25&gt;M25,$AK8&gt;3,ISNUMBER(K25),ISNUMBER(M25)),1,0)</f>
        <v>0</v>
      </c>
      <c r="L31" s="56"/>
      <c r="M31" s="57">
        <f>IF(AND(M25&gt;K25,$AK8&gt;3,ISNUMBER(K25),ISNUMBER(M25)),1,0)</f>
        <v>1</v>
      </c>
      <c r="N31" s="56">
        <f>IF(AND(N25&gt;P25,$AK8&gt;4,ISNUMBER(N25),ISNUMBER(P25)),1,0)</f>
        <v>1</v>
      </c>
      <c r="O31" s="56"/>
      <c r="P31" s="57">
        <f>IF(AND(P25&gt;N25,$AK8&gt;4,ISNUMBER(N25),ISNUMBER(P25)),1,0)</f>
        <v>0</v>
      </c>
      <c r="Q31" s="56">
        <f>IF(AND(Q25&gt;S25,$AK8&gt;5,ISNUMBER(Q25),ISNUMBER(S25)),1,0)</f>
        <v>1</v>
      </c>
      <c r="R31" s="56"/>
      <c r="S31" s="57">
        <f>IF(AND(S25&gt;Q25,$AK8&gt;5,ISNUMBER(Q25),ISNUMBER(S25)),1,0)</f>
        <v>0</v>
      </c>
      <c r="T31" s="56">
        <f>IF(AND(T25&gt;V25,$AK8&gt;6,ISNUMBER(T25),ISNUMBER(V25)),1,0)</f>
        <v>1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1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1</v>
      </c>
      <c r="AC31" s="56">
        <f>IF(AND(AC25&gt;AE25,$AK8&gt;9,ISNUMBER(AC25),ISNUMBER(AE25)),1,0)</f>
        <v>1</v>
      </c>
      <c r="AD31" s="56"/>
      <c r="AE31" s="57">
        <f>IF(AND(AE25&gt;AC25,$AK8&gt;9,ISNUMBER(AC25),ISNUMBER(AE25)),1,0)</f>
        <v>0</v>
      </c>
      <c r="AW31" s="58"/>
    </row>
    <row r="32" spans="1:51" s="55" customFormat="1" ht="12.75" hidden="1" customHeight="1" x14ac:dyDescent="0.2">
      <c r="A32" s="55" t="s">
        <v>82</v>
      </c>
      <c r="B32" s="56">
        <f>IF(AND(B26&gt;D26,$AK8&gt;0,$AK7&gt;1,ISNUMBER(B26),ISNUMBER(D26)),1,0)</f>
        <v>0</v>
      </c>
      <c r="C32" s="56"/>
      <c r="D32" s="57">
        <f>IF(AND(D26&gt;B26,$AK8&gt;0,$AK7&gt;1,ISNUMBER(B26),ISNUMBER(D26)),1,0)</f>
        <v>1</v>
      </c>
      <c r="E32" s="56">
        <f>IF(AND(E26&gt;G26,$AK8&gt;1,$AK7&gt;1,ISNUMBER(E26),ISNUMBER(G26)),1,0)</f>
        <v>1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1</v>
      </c>
      <c r="I32" s="56"/>
      <c r="J32" s="57">
        <f>IF(AND(J26&gt;H26,$AK8&gt;2,$AK7&gt;1,ISNUMBER(H26),ISNUMBER(J26)),1,0)</f>
        <v>0</v>
      </c>
      <c r="K32" s="56">
        <f>IF(AND(K26&gt;M26,$AK8&gt;3,$AK7&gt;1,ISNUMBER(K26),ISNUMBER(M26)),1,0)</f>
        <v>0</v>
      </c>
      <c r="L32" s="56"/>
      <c r="M32" s="57">
        <f>IF(AND(M26&gt;K26,$AK8&gt;3,$AK7&gt;1,ISNUMBER(K26),ISNUMBER(M26)),1,0)</f>
        <v>1</v>
      </c>
      <c r="N32" s="56">
        <f>IF(AND(N26&gt;P26,$AK8&gt;4,$AK7&gt;1,ISNUMBER(N26),ISNUMBER(P26)),1,0)</f>
        <v>1</v>
      </c>
      <c r="O32" s="56"/>
      <c r="P32" s="57">
        <f>IF(AND(P26&gt;N26,$AK8&gt;4,$AK7&gt;1,ISNUMBER(N26),ISNUMBER(P26)),1,0)</f>
        <v>0</v>
      </c>
      <c r="Q32" s="56">
        <f>IF(AND(Q26&gt;S26,$AK8&gt;5,$AK7&gt;1,ISNUMBER(Q26),ISNUMBER(S26)),1,0)</f>
        <v>1</v>
      </c>
      <c r="R32" s="56"/>
      <c r="S32" s="57">
        <f>IF(AND(S26&gt;Q26,$AK8&gt;5,$AK7&gt;1,ISNUMBER(Q26),ISNUMBER(S26)),1,0)</f>
        <v>0</v>
      </c>
      <c r="T32" s="56">
        <f>IF(AND(T26&gt;V26,$AK8&gt;6,$AK7&gt;1,ISNUMBER(T26),ISNUMBER(V26)),1,0)</f>
        <v>0</v>
      </c>
      <c r="U32" s="56"/>
      <c r="V32" s="57">
        <f>IF(AND(V26&gt;T26,$AK8&gt;6,$AK7&gt;1,ISNUMBER(T26),ISNUMBER(V26)),1,0)</f>
        <v>1</v>
      </c>
      <c r="W32" s="56">
        <f>IF(AND(W26&gt;Y26,$AK8&gt;7,$AK7&gt;1,ISNUMBER(W26),ISNUMBER(Y26)),1,0)</f>
        <v>1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1</v>
      </c>
      <c r="AC32" s="56">
        <f>IF(AND(AC26&gt;AE26,$AK8&gt;9,$AK7&gt;1,ISNUMBER(AC26),ISNUMBER(AE26)),1,0)</f>
        <v>1</v>
      </c>
      <c r="AD32" s="56"/>
      <c r="AE32" s="57">
        <f>IF(AND(AE26&gt;AC26,$AK8&gt;9,$AK7&gt;1,ISNUMBER(AC26),ISNUMBER(AE26)),1,0)</f>
        <v>0</v>
      </c>
      <c r="AW32" s="58"/>
    </row>
    <row r="33" spans="1:49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  <c r="AW33" s="58"/>
    </row>
    <row r="34" spans="1:49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  <c r="AW34" s="58"/>
    </row>
    <row r="35" spans="1:49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  <c r="AW35" s="58"/>
    </row>
    <row r="36" spans="1:49" s="55" customFormat="1" ht="38.25" hidden="1" customHeight="1" x14ac:dyDescent="0.2">
      <c r="A36" s="59" t="s">
        <v>86</v>
      </c>
      <c r="B36" s="55">
        <f>SUM(B31:B35)</f>
        <v>0</v>
      </c>
      <c r="D36" s="60">
        <f>SUM(D31:D35)</f>
        <v>2</v>
      </c>
      <c r="E36" s="55">
        <f>SUM(E31:E35)</f>
        <v>2</v>
      </c>
      <c r="G36" s="60">
        <f>SUM(G31:G35)</f>
        <v>0</v>
      </c>
      <c r="H36" s="55">
        <f>SUM(H31:H35)</f>
        <v>2</v>
      </c>
      <c r="J36" s="60">
        <f>SUM(J31:J35)</f>
        <v>0</v>
      </c>
      <c r="K36" s="55">
        <f>SUM(K31:K35)</f>
        <v>0</v>
      </c>
      <c r="M36" s="60">
        <f>SUM(M31:M35)</f>
        <v>2</v>
      </c>
      <c r="N36" s="55">
        <f>SUM(N31:N35)</f>
        <v>2</v>
      </c>
      <c r="P36" s="60">
        <f>SUM(P31:P35)</f>
        <v>0</v>
      </c>
      <c r="Q36" s="55">
        <f>SUM(Q31:Q35)</f>
        <v>2</v>
      </c>
      <c r="S36" s="60">
        <f>SUM(S31:S35)</f>
        <v>0</v>
      </c>
      <c r="T36" s="55">
        <f>SUM(T31:T35)</f>
        <v>1</v>
      </c>
      <c r="V36" s="60">
        <f>SUM(V31:V35)</f>
        <v>1</v>
      </c>
      <c r="W36" s="55">
        <f>SUM(W31:W35)</f>
        <v>2</v>
      </c>
      <c r="Y36" s="60">
        <f>SUM(Y31:Y35)</f>
        <v>0</v>
      </c>
      <c r="Z36" s="55">
        <f>SUM(Z31:Z35)</f>
        <v>0</v>
      </c>
      <c r="AB36" s="60">
        <f>SUM(AB31:AB35)</f>
        <v>2</v>
      </c>
      <c r="AC36" s="55">
        <f>SUM(AC31:AC35)</f>
        <v>2</v>
      </c>
      <c r="AE36" s="60">
        <f>SUM(AE31:AE35)</f>
        <v>0</v>
      </c>
      <c r="AW36" s="58"/>
    </row>
    <row r="37" spans="1:49" s="55" customFormat="1" ht="25.5" hidden="1" customHeight="1" x14ac:dyDescent="0.2">
      <c r="A37" s="59" t="s">
        <v>87</v>
      </c>
      <c r="B37" s="55">
        <f>IF(B36&gt;D36,IF(C71=AK7,1,IF(C71=AK7-1,1,0)),0)</f>
        <v>0</v>
      </c>
      <c r="C37" s="55">
        <f>B37+D37</f>
        <v>1</v>
      </c>
      <c r="D37" s="60">
        <f>IF(D36&gt;B36,IF(C71=AK7,1,IF(C71=AK7-1,1,0)),0)</f>
        <v>1</v>
      </c>
      <c r="E37" s="55">
        <f>IF(E36&gt;G36,IF(F71=AK7,1,IF(F71=AK7-1,1,0)),0)</f>
        <v>1</v>
      </c>
      <c r="F37" s="55">
        <f>E37+G37</f>
        <v>1</v>
      </c>
      <c r="G37" s="60">
        <f>IF(G36&gt;E36,IF(F71=AK7,1,IF(F71=AK7-1,1,0)),0)</f>
        <v>0</v>
      </c>
      <c r="H37" s="55">
        <f>IF(H36&gt;J36,IF(I71=AK7,1,IF(I71=AK7-1,1,0)),0)</f>
        <v>1</v>
      </c>
      <c r="I37" s="55">
        <f>H37+J37</f>
        <v>1</v>
      </c>
      <c r="J37" s="60">
        <f>IF(J36&gt;H36,IF(I71=AK7,1,IF(I71=AK7-1,1,0)),0)</f>
        <v>0</v>
      </c>
      <c r="K37" s="55">
        <f>IF(K36&gt;M36,IF(L71=AK7,1,IF(L71=AK7-1,1,0)),0)</f>
        <v>0</v>
      </c>
      <c r="L37" s="55">
        <f>K37+M37</f>
        <v>1</v>
      </c>
      <c r="M37" s="60">
        <f>IF(M36&gt;K36,IF(L71=AK7,1,IF(L71=AK7-1,1,0)),0)</f>
        <v>1</v>
      </c>
      <c r="N37" s="55">
        <f>IF(N36&gt;P36,IF(O71=AK7,1,IF(O71=AK7-1,1,0)),0)</f>
        <v>1</v>
      </c>
      <c r="O37" s="55">
        <f>N37+P37</f>
        <v>1</v>
      </c>
      <c r="P37" s="60">
        <f>IF(P36&gt;N36,IF(O71=AK7,1,IF(O71=AK7-1,1,0)),0)</f>
        <v>0</v>
      </c>
      <c r="Q37" s="55">
        <f>IF(Q36&gt;S36,IF(R71=AK7,1,IF(R71=AK7-1,1,0)),0)</f>
        <v>1</v>
      </c>
      <c r="R37" s="55">
        <f>Q37+S37</f>
        <v>1</v>
      </c>
      <c r="S37" s="60">
        <f>IF(S36&gt;Q36,IF(R71=AK7,1,IF(R71=AK7-1,1,0)),0)</f>
        <v>0</v>
      </c>
      <c r="T37" s="55">
        <f>IF(T36&gt;V36,IF(U71=AK7,1,IF(U71=AK7-1,1,0)),0)</f>
        <v>0</v>
      </c>
      <c r="U37" s="55">
        <f>T37+V37</f>
        <v>0</v>
      </c>
      <c r="V37" s="60">
        <f>IF(V36&gt;T36,IF(U71=AK7,1,IF(U71=AK7-1,1,0)),0)</f>
        <v>0</v>
      </c>
      <c r="W37" s="55">
        <f>IF(W36&gt;Y36,IF(X71=AK7,1,IF(X71=AK7-1,1,0)),0)</f>
        <v>1</v>
      </c>
      <c r="X37" s="55">
        <f>W37+Y37</f>
        <v>1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1</v>
      </c>
      <c r="AB37" s="60">
        <f>IF(AB36&gt;Z36,IF(AA71=AK7,1,IF(AA71=AK7-1,1,0)),0)</f>
        <v>1</v>
      </c>
      <c r="AC37" s="55">
        <f>IF(AC36&gt;AE36,IF(AD71=AK7,1,IF(AD71=AK7-1,1,0)),0)</f>
        <v>1</v>
      </c>
      <c r="AD37" s="55">
        <f>AC37+AE37</f>
        <v>1</v>
      </c>
      <c r="AE37" s="60">
        <f>IF(AE36&gt;AC36,IF(AD71=AK7,1,IF(AD71=AK7-1,1,0)),0)</f>
        <v>0</v>
      </c>
      <c r="AW37" s="58"/>
    </row>
    <row r="38" spans="1:49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  <c r="AW38" s="58"/>
    </row>
    <row r="39" spans="1:49" s="55" customFormat="1" ht="12.75" hidden="1" customHeight="1" x14ac:dyDescent="0.2">
      <c r="A39" s="55" t="s">
        <v>88</v>
      </c>
      <c r="B39" s="55">
        <f>IF(B31=1,B25,0)</f>
        <v>0</v>
      </c>
      <c r="D39" s="60">
        <f t="shared" ref="D39:E43" si="2">IF(D31=1,D25,0)</f>
        <v>25</v>
      </c>
      <c r="E39" s="55">
        <f t="shared" si="2"/>
        <v>25</v>
      </c>
      <c r="G39" s="60">
        <f t="shared" ref="G39:H43" si="3">IF(G31=1,G25,0)</f>
        <v>0</v>
      </c>
      <c r="H39" s="55">
        <f t="shared" si="3"/>
        <v>25</v>
      </c>
      <c r="J39" s="60">
        <f t="shared" ref="J39:K43" si="4">IF(J31=1,J25,0)</f>
        <v>0</v>
      </c>
      <c r="K39" s="55">
        <f t="shared" si="4"/>
        <v>0</v>
      </c>
      <c r="M39" s="60">
        <f t="shared" ref="M39:N43" si="5">IF(M31=1,M25,0)</f>
        <v>25</v>
      </c>
      <c r="N39" s="55">
        <f t="shared" si="5"/>
        <v>25</v>
      </c>
      <c r="P39" s="60">
        <f t="shared" ref="P39:Q43" si="6">IF(P31=1,P25,0)</f>
        <v>0</v>
      </c>
      <c r="Q39" s="55">
        <f t="shared" si="6"/>
        <v>25</v>
      </c>
      <c r="S39" s="60">
        <f t="shared" ref="S39:T43" si="7">IF(S31=1,S25,0)</f>
        <v>0</v>
      </c>
      <c r="T39" s="55">
        <f t="shared" si="7"/>
        <v>25</v>
      </c>
      <c r="V39" s="60">
        <f t="shared" ref="V39:W43" si="8">IF(V31=1,V25,0)</f>
        <v>0</v>
      </c>
      <c r="W39" s="55">
        <f t="shared" si="8"/>
        <v>25</v>
      </c>
      <c r="Y39" s="60">
        <f t="shared" ref="Y39:Z43" si="9">IF(Y31=1,Y25,0)</f>
        <v>0</v>
      </c>
      <c r="Z39" s="55">
        <f t="shared" si="9"/>
        <v>0</v>
      </c>
      <c r="AB39" s="60">
        <f t="shared" ref="AB39:AC43" si="10">IF(AB31=1,AB25,0)</f>
        <v>27</v>
      </c>
      <c r="AC39" s="55">
        <f t="shared" si="10"/>
        <v>25</v>
      </c>
      <c r="AE39" s="60">
        <f>IF(AE31=1,AE25,0)</f>
        <v>0</v>
      </c>
      <c r="AW39" s="58"/>
    </row>
    <row r="40" spans="1:49" s="55" customFormat="1" ht="12.75" hidden="1" customHeight="1" x14ac:dyDescent="0.2">
      <c r="A40" s="55" t="s">
        <v>89</v>
      </c>
      <c r="B40" s="55">
        <f>IF(B32=1,B26,0)</f>
        <v>0</v>
      </c>
      <c r="D40" s="60">
        <f t="shared" si="2"/>
        <v>25</v>
      </c>
      <c r="E40" s="55">
        <f t="shared" si="2"/>
        <v>25</v>
      </c>
      <c r="G40" s="60">
        <f t="shared" si="3"/>
        <v>0</v>
      </c>
      <c r="H40" s="55">
        <f t="shared" si="3"/>
        <v>25</v>
      </c>
      <c r="J40" s="60">
        <f t="shared" si="4"/>
        <v>0</v>
      </c>
      <c r="K40" s="55">
        <f t="shared" si="4"/>
        <v>0</v>
      </c>
      <c r="M40" s="60">
        <f t="shared" si="5"/>
        <v>25</v>
      </c>
      <c r="N40" s="55">
        <f t="shared" si="5"/>
        <v>25</v>
      </c>
      <c r="P40" s="60">
        <f t="shared" si="6"/>
        <v>0</v>
      </c>
      <c r="Q40" s="55">
        <f t="shared" si="6"/>
        <v>25</v>
      </c>
      <c r="S40" s="60">
        <f t="shared" si="7"/>
        <v>0</v>
      </c>
      <c r="T40" s="55">
        <f t="shared" si="7"/>
        <v>0</v>
      </c>
      <c r="V40" s="60">
        <f t="shared" si="8"/>
        <v>25</v>
      </c>
      <c r="W40" s="55">
        <f t="shared" si="8"/>
        <v>25</v>
      </c>
      <c r="Y40" s="60">
        <f t="shared" si="9"/>
        <v>0</v>
      </c>
      <c r="Z40" s="55">
        <f t="shared" si="9"/>
        <v>0</v>
      </c>
      <c r="AB40" s="60">
        <f t="shared" si="10"/>
        <v>25</v>
      </c>
      <c r="AC40" s="55">
        <f t="shared" si="10"/>
        <v>25</v>
      </c>
      <c r="AE40" s="60">
        <f>IF(AE32=1,AE26,0)</f>
        <v>0</v>
      </c>
      <c r="AW40" s="58"/>
    </row>
    <row r="41" spans="1:49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  <c r="AW41" s="58"/>
    </row>
    <row r="42" spans="1:49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  <c r="AW42" s="58"/>
    </row>
    <row r="43" spans="1:49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  <c r="AW43" s="58"/>
    </row>
    <row r="44" spans="1:49" s="55" customFormat="1" ht="38.25" hidden="1" customHeight="1" x14ac:dyDescent="0.2">
      <c r="A44" s="59" t="s">
        <v>93</v>
      </c>
      <c r="B44" s="55">
        <f>SUM(B39:D43)</f>
        <v>50</v>
      </c>
      <c r="D44" s="60"/>
      <c r="E44" s="55">
        <f>SUM(E39:G43)</f>
        <v>50</v>
      </c>
      <c r="G44" s="60"/>
      <c r="H44" s="55">
        <f>SUM(H39:J43)</f>
        <v>50</v>
      </c>
      <c r="J44" s="60"/>
      <c r="K44" s="55">
        <f>SUM(K39:M43)</f>
        <v>50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50</v>
      </c>
      <c r="V44" s="60"/>
      <c r="W44" s="55">
        <f>SUM(W39:Y43)</f>
        <v>50</v>
      </c>
      <c r="Y44" s="60"/>
      <c r="Z44" s="55">
        <f>SUM(Z39:AB43)</f>
        <v>52</v>
      </c>
      <c r="AB44" s="60"/>
      <c r="AC44" s="55">
        <f>SUM(AC39:AE43)</f>
        <v>50</v>
      </c>
      <c r="AE44" s="60"/>
      <c r="AW44" s="58"/>
    </row>
    <row r="45" spans="1:49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  <c r="AW45" s="58"/>
    </row>
    <row r="46" spans="1:49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1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1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1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1</v>
      </c>
      <c r="AE46" s="60">
        <f>IF(AE24=1,IF(AE37=1,1,0),0)</f>
        <v>0</v>
      </c>
      <c r="AF46" s="55">
        <f>SUM(B46:AE46)</f>
        <v>4</v>
      </c>
      <c r="AG46" s="55">
        <f>AF52-AF46</f>
        <v>0</v>
      </c>
      <c r="AW46" s="58"/>
    </row>
    <row r="47" spans="1:49" s="55" customFormat="1" ht="12.75" hidden="1" customHeight="1" x14ac:dyDescent="0.2">
      <c r="A47" s="55" t="s">
        <v>98</v>
      </c>
      <c r="B47" s="55">
        <f>IF(B24=2,IF(B37=1,1,0),0)</f>
        <v>0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0</v>
      </c>
      <c r="AG47" s="55">
        <f>AF53-AF47</f>
        <v>3</v>
      </c>
      <c r="AW47" s="58"/>
    </row>
    <row r="48" spans="1:49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1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1</v>
      </c>
      <c r="AG48" s="55">
        <f>AF54-AF48</f>
        <v>2</v>
      </c>
      <c r="AW48" s="58"/>
    </row>
    <row r="49" spans="1:49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1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1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1</v>
      </c>
      <c r="AC49" s="55">
        <f>IF(AC24=4,IF(AC37=1,1,0),0)</f>
        <v>0</v>
      </c>
      <c r="AE49" s="60">
        <f>IF(AE24=4,IF(AE37=1,1,0),0)</f>
        <v>0</v>
      </c>
      <c r="AF49" s="55">
        <f>SUM(B49:AE49)</f>
        <v>3</v>
      </c>
      <c r="AG49" s="55">
        <f>AF55-AF49</f>
        <v>1</v>
      </c>
      <c r="AW49" s="58"/>
    </row>
    <row r="50" spans="1:49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1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0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0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1</v>
      </c>
      <c r="AG50" s="55">
        <f>AF56-AF50</f>
        <v>3</v>
      </c>
      <c r="AW50" s="58"/>
    </row>
    <row r="51" spans="1:49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  <c r="AW51" s="58"/>
    </row>
    <row r="52" spans="1:49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1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1</v>
      </c>
      <c r="P52" s="60">
        <f>IF(P24=1,IF(O37=1,1,0),0)</f>
        <v>0</v>
      </c>
      <c r="Q52" s="55">
        <f>IF(Q24=1,IF(R37=1,1,0),0)</f>
        <v>0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1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1</v>
      </c>
      <c r="AE52" s="60">
        <f>IF(AE24=1,IF(AD37=1,1,0),0)</f>
        <v>0</v>
      </c>
      <c r="AF52" s="55">
        <f>SUM(B52:AE52)</f>
        <v>4</v>
      </c>
      <c r="AW52" s="58"/>
    </row>
    <row r="53" spans="1:49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0</v>
      </c>
      <c r="J53" s="60">
        <f>IF(J24=2,IF(I37=1,1,0),0)</f>
        <v>0</v>
      </c>
      <c r="K53" s="55">
        <f>IF(K24=2,IF(L37=1,1,0),0)</f>
        <v>1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0</v>
      </c>
      <c r="T53" s="55">
        <f>IF(T24=2,IF(U37=1,1,0),0)</f>
        <v>0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1</v>
      </c>
      <c r="AF53" s="55">
        <f>SUM(B53:AE53)</f>
        <v>3</v>
      </c>
      <c r="AW53" s="58"/>
    </row>
    <row r="54" spans="1:49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0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1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1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0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1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3</v>
      </c>
      <c r="AW54" s="58"/>
    </row>
    <row r="55" spans="1:49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1</v>
      </c>
      <c r="H55" s="55">
        <f>IF(H24=4,IF(I37=1,1,0),0)</f>
        <v>0</v>
      </c>
      <c r="J55" s="60">
        <f>IF(J24=4,IF(I37=1,1,0),0)</f>
        <v>0</v>
      </c>
      <c r="K55" s="55">
        <f>IF(K24=4,IF(L37=1,1,0),0)</f>
        <v>0</v>
      </c>
      <c r="M55" s="60">
        <f>IF(M24=4,IF(L37=1,1,0),0)</f>
        <v>1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1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1</v>
      </c>
      <c r="AC55" s="55">
        <f>IF(AC24=4,IF(AD37=1,1,0),0)</f>
        <v>0</v>
      </c>
      <c r="AE55" s="60">
        <f>IF(AE24=4,IF(AD37=1,1,0),0)</f>
        <v>0</v>
      </c>
      <c r="AF55" s="55">
        <f>SUM(B55:AE55)</f>
        <v>4</v>
      </c>
      <c r="AW55" s="58"/>
    </row>
    <row r="56" spans="1:49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1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1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1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1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4</v>
      </c>
      <c r="AW56" s="58"/>
    </row>
    <row r="57" spans="1:49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328"/>
      <c r="AH57" s="328"/>
      <c r="AI57" s="328"/>
      <c r="AJ57" s="328"/>
      <c r="AK57" s="328"/>
      <c r="AW57" s="58"/>
    </row>
    <row r="58" spans="1:49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50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0</v>
      </c>
      <c r="M58" s="60">
        <f>IF(M24=1,K44,0)</f>
        <v>0</v>
      </c>
      <c r="N58" s="55">
        <f>IF(N24=1,N44,0)</f>
        <v>50</v>
      </c>
      <c r="P58" s="60">
        <f>IF(P24=1,N44,0)</f>
        <v>0</v>
      </c>
      <c r="Q58" s="55">
        <f>IF(Q24=1,Q44,0)</f>
        <v>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50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50</v>
      </c>
      <c r="AE58" s="60">
        <f>IF(AE24=1,AC44,0)</f>
        <v>0</v>
      </c>
      <c r="AF58" s="55">
        <f>SUM(B58:AE58)</f>
        <v>200</v>
      </c>
      <c r="AW58" s="58"/>
    </row>
    <row r="59" spans="1:49" s="55" customFormat="1" ht="12.75" hidden="1" customHeight="1" x14ac:dyDescent="0.2">
      <c r="A59" s="55" t="s">
        <v>104</v>
      </c>
      <c r="B59" s="55">
        <f>IF(B24=2,B44,0)</f>
        <v>50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0</v>
      </c>
      <c r="J59" s="60">
        <f>IF(J24=2,H44,0)</f>
        <v>0</v>
      </c>
      <c r="K59" s="55">
        <f>IF(K24=2,K44,0)</f>
        <v>50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0</v>
      </c>
      <c r="T59" s="55">
        <f>IF(T24=2,T44,0)</f>
        <v>50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50</v>
      </c>
      <c r="AF59" s="55">
        <f>SUM(B59:AE59)</f>
        <v>200</v>
      </c>
      <c r="AW59" s="58"/>
    </row>
    <row r="60" spans="1:49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0</v>
      </c>
      <c r="E60" s="55">
        <f>IF(E24=3,E44,0)</f>
        <v>0</v>
      </c>
      <c r="G60" s="60">
        <f>IF(G24=3,E44,0)</f>
        <v>0</v>
      </c>
      <c r="H60" s="55">
        <f>IF(H24=3,H44,0)</f>
        <v>50</v>
      </c>
      <c r="J60" s="60">
        <f>IF(J24=3,H44,0)</f>
        <v>0</v>
      </c>
      <c r="K60" s="55">
        <f>IF(K24=3,K44,0)</f>
        <v>0</v>
      </c>
      <c r="M60" s="60">
        <f>IF(M24=3,K44,0)</f>
        <v>0</v>
      </c>
      <c r="N60" s="55">
        <f>IF(N24=3,N44,0)</f>
        <v>0</v>
      </c>
      <c r="P60" s="60">
        <f>IF(P24=3,N44,0)</f>
        <v>50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50</v>
      </c>
      <c r="W60" s="55">
        <f>IF(W24=3,W44,0)</f>
        <v>0</v>
      </c>
      <c r="Y60" s="60">
        <f>IF(Y24=3,W44,0)</f>
        <v>0</v>
      </c>
      <c r="Z60" s="55">
        <f>IF(Z24=3,Z44,0)</f>
        <v>52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202</v>
      </c>
      <c r="AW60" s="58"/>
    </row>
    <row r="61" spans="1:49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50</v>
      </c>
      <c r="H61" s="55">
        <f>IF(H24=4,H44,0)</f>
        <v>0</v>
      </c>
      <c r="J61" s="60">
        <f>IF(J24=4,H44,0)</f>
        <v>0</v>
      </c>
      <c r="K61" s="55">
        <f>IF(K24=4,K44,0)</f>
        <v>0</v>
      </c>
      <c r="M61" s="60">
        <f>IF(M24=4,K44,0)</f>
        <v>50</v>
      </c>
      <c r="N61" s="55">
        <f>IF(N24=4,N44,0)</f>
        <v>0</v>
      </c>
      <c r="P61" s="60">
        <f>IF(P24=4,N44,0)</f>
        <v>0</v>
      </c>
      <c r="Q61" s="55">
        <f>IF(Q24=4,Q44,0)</f>
        <v>50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52</v>
      </c>
      <c r="AC61" s="55">
        <f>IF(AC24=4,AC44,0)</f>
        <v>0</v>
      </c>
      <c r="AE61" s="60">
        <f>IF(AE24=4,AC44,0)</f>
        <v>0</v>
      </c>
      <c r="AF61" s="55">
        <f>SUM(B61:AE61)</f>
        <v>202</v>
      </c>
      <c r="AW61" s="58"/>
    </row>
    <row r="62" spans="1:49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50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50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50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50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200</v>
      </c>
      <c r="AW62" s="58"/>
    </row>
    <row r="63" spans="1:49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  <c r="AW63" s="58"/>
    </row>
    <row r="64" spans="1:49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2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2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2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2</v>
      </c>
      <c r="AE64" s="60">
        <f>IF(AE24=1,SUMIF(AE31:AE35,"&gt;0"),0)</f>
        <v>0</v>
      </c>
      <c r="AF64" s="55">
        <f>SUM(B64:AE64)</f>
        <v>8</v>
      </c>
      <c r="AG64" s="55">
        <f>AF72-AF64</f>
        <v>0</v>
      </c>
      <c r="AW64" s="58"/>
    </row>
    <row r="65" spans="1:54" s="55" customFormat="1" ht="12.75" hidden="1" customHeight="1" x14ac:dyDescent="0.2">
      <c r="A65" s="55" t="s">
        <v>98</v>
      </c>
      <c r="B65" s="55">
        <f>IF(B24=2,SUMIF(B31:B35,"&gt;0"),0)</f>
        <v>0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0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1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1</v>
      </c>
      <c r="AG65" s="55">
        <f>AF73-AF65</f>
        <v>7</v>
      </c>
      <c r="AW65" s="58"/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2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1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0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3</v>
      </c>
      <c r="AG66" s="55">
        <f>AF74-AF66</f>
        <v>5</v>
      </c>
      <c r="AW66" s="58"/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0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2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2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2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6</v>
      </c>
      <c r="AG67" s="55">
        <f>AF75-AF67</f>
        <v>2</v>
      </c>
      <c r="AW67" s="58"/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2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0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0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2</v>
      </c>
      <c r="AG68" s="55">
        <f>AF76-AF68</f>
        <v>6</v>
      </c>
      <c r="AW68" s="58"/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  <c r="AW69" s="58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  <c r="AW70" s="58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2</v>
      </c>
      <c r="V71" s="60"/>
      <c r="X71" s="55">
        <f>SUMIF(W64:Y68,"&gt;0")</f>
        <v>2</v>
      </c>
      <c r="Y71" s="60"/>
      <c r="AA71" s="55">
        <f>SUMIF(Z64:AB68,"&gt;0")</f>
        <v>2</v>
      </c>
      <c r="AB71" s="60"/>
      <c r="AD71" s="55">
        <f>SUMIF(AC64:AE68,"&gt;0")</f>
        <v>2</v>
      </c>
      <c r="AE71" s="60"/>
      <c r="AF71" s="59" t="s">
        <v>113</v>
      </c>
      <c r="AW71" s="58"/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0</v>
      </c>
      <c r="M72" s="60">
        <f>IF(M24=1,L71,0)</f>
        <v>0</v>
      </c>
      <c r="N72" s="55">
        <f>IF(N24=1,O71,0)</f>
        <v>2</v>
      </c>
      <c r="P72" s="60">
        <f>IF(P24=1,O71,0)</f>
        <v>0</v>
      </c>
      <c r="Q72" s="55">
        <f>IF(Q24=1,R71,0)</f>
        <v>0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2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2</v>
      </c>
      <c r="AE72" s="60">
        <f>IF(AE24=1,AD71,0)</f>
        <v>0</v>
      </c>
      <c r="AF72" s="55">
        <f>SUM(B72:AE72)</f>
        <v>8</v>
      </c>
      <c r="AW72" s="58"/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0</v>
      </c>
      <c r="J73" s="60">
        <f>IF(J24=2,I71,0)</f>
        <v>0</v>
      </c>
      <c r="K73" s="55">
        <f>IF(K24=2,L71,0)</f>
        <v>2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0</v>
      </c>
      <c r="T73" s="55">
        <f>IF(T24=2,U71,0)</f>
        <v>2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2</v>
      </c>
      <c r="AF73" s="55">
        <f>SUM(B73:AE73)</f>
        <v>8</v>
      </c>
      <c r="AW73" s="58"/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0</v>
      </c>
      <c r="E74" s="55">
        <f>IF(E24=3,F71,0)</f>
        <v>0</v>
      </c>
      <c r="G74" s="60">
        <f>IF(G24=3,F71,0)</f>
        <v>0</v>
      </c>
      <c r="H74" s="55">
        <f>IF(H24=3,I71,0)</f>
        <v>2</v>
      </c>
      <c r="J74" s="60">
        <f>IF(J24=3,I71,0)</f>
        <v>0</v>
      </c>
      <c r="K74" s="55">
        <f>IF(K24=3,L71,0)</f>
        <v>0</v>
      </c>
      <c r="M74" s="60">
        <f>IF(M24=3,L71,0)</f>
        <v>0</v>
      </c>
      <c r="N74" s="55">
        <f>IF(N24=3,O71,0)</f>
        <v>0</v>
      </c>
      <c r="P74" s="60">
        <f>IF(P24=3,O71,0)</f>
        <v>2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2</v>
      </c>
      <c r="W74" s="55">
        <f>IF(W24=3,X71,0)</f>
        <v>0</v>
      </c>
      <c r="Y74" s="60">
        <f>IF(Y24=3,X71,0)</f>
        <v>0</v>
      </c>
      <c r="Z74" s="55">
        <f>IF(Z24=3,AA71,0)</f>
        <v>2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  <c r="AW74" s="58"/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0</v>
      </c>
      <c r="K75" s="55">
        <f>IF(K24=4,L71,0)</f>
        <v>0</v>
      </c>
      <c r="M75" s="60">
        <f>IF(M24=4,L71,0)</f>
        <v>2</v>
      </c>
      <c r="N75" s="55">
        <f>IF(N24=4,O71,0)</f>
        <v>0</v>
      </c>
      <c r="P75" s="60">
        <f>IF(P24=4,O71,0)</f>
        <v>0</v>
      </c>
      <c r="Q75" s="55">
        <f>IF(Q24=4,R71,0)</f>
        <v>2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2</v>
      </c>
      <c r="AC75" s="55">
        <f>IF(AC24=4,AD71,0)</f>
        <v>0</v>
      </c>
      <c r="AE75" s="60">
        <f>IF(AE24=4,AD71,0)</f>
        <v>0</v>
      </c>
      <c r="AF75" s="55">
        <f>SUM(B75:AE75)</f>
        <v>8</v>
      </c>
      <c r="AW75" s="58"/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2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2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2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2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8</v>
      </c>
      <c r="AW76" s="58"/>
    </row>
    <row r="77" spans="1:54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BB77" s="130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Fort Mill 14 Bayley</v>
      </c>
      <c r="C79" s="67">
        <f>VLOOKUP(B79,AU$3:AY$12,3,FALSE)</f>
        <v>2056.3147376237139</v>
      </c>
      <c r="D79" s="67">
        <f>IF(B72,B87,IF(D72,D87,C79))</f>
        <v>2056.3147376237139</v>
      </c>
      <c r="E79" s="67"/>
      <c r="F79" s="67"/>
      <c r="G79" s="67">
        <f>IF(E72,E87,IF(G72,G87,D79))</f>
        <v>2073.0756836975024</v>
      </c>
      <c r="H79" s="67"/>
      <c r="I79" s="67"/>
      <c r="J79" s="67">
        <f>IF(H72,H87,IF(J72,J87,G79))</f>
        <v>2073.0756836975024</v>
      </c>
      <c r="K79" s="67"/>
      <c r="L79" s="67"/>
      <c r="M79" s="67">
        <f>IF(K72,K87,IF(M72,M87,J79))</f>
        <v>2073.0756836975024</v>
      </c>
      <c r="N79" s="67"/>
      <c r="O79" s="67"/>
      <c r="P79" s="67">
        <f>IF(N72,N87,IF(P72,P87,M79))</f>
        <v>2091.6277706105338</v>
      </c>
      <c r="Q79" s="67"/>
      <c r="R79" s="67"/>
      <c r="S79" s="67">
        <f>IF(Q72,Q87,IF(S72,S87,P79))</f>
        <v>2091.6277706105338</v>
      </c>
      <c r="T79" s="67"/>
      <c r="U79" s="67"/>
      <c r="V79" s="67">
        <f>IF(T72,T87,IF(V72,V87,S79))</f>
        <v>2091.6277706105338</v>
      </c>
      <c r="W79" s="67"/>
      <c r="X79" s="67"/>
      <c r="Y79" s="67">
        <f>IF(W72,W87,IF(Y72,Y87,V79))</f>
        <v>2101.4524372978403</v>
      </c>
      <c r="Z79" s="67"/>
      <c r="AA79" s="67"/>
      <c r="AB79" s="67">
        <f>IF(Z72,Z87,IF(AB72,AB87,Y79))</f>
        <v>2101.4524372978403</v>
      </c>
      <c r="AC79" s="67"/>
      <c r="AD79" s="67"/>
      <c r="AE79" s="67">
        <f>IF(AC72,AC87,IF(AE72,AE87,AB79))</f>
        <v>2112.5852906902842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Fort Mill 14 Bayley</v>
      </c>
      <c r="AU79" s="63">
        <f>AE79</f>
        <v>2112.5852906902842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Chas Jrs 14 Blue</v>
      </c>
      <c r="C80" s="67">
        <f>VLOOKUP(B80,AU$3:AY$12,3,FALSE)</f>
        <v>1895.4654161275282</v>
      </c>
      <c r="D80" s="67">
        <f>IF(B73,B87,IF(D73,D87,C80))</f>
        <v>1855.6749229919183</v>
      </c>
      <c r="E80" s="67"/>
      <c r="F80" s="67"/>
      <c r="G80" s="67">
        <f>IF(E73,E87,IF(G73,G87,D80))</f>
        <v>1855.6749229919183</v>
      </c>
      <c r="H80" s="67"/>
      <c r="I80" s="67"/>
      <c r="J80" s="67">
        <f>IF(H73,H87,IF(J73,J87,G80))</f>
        <v>1855.6749229919183</v>
      </c>
      <c r="K80" s="67"/>
      <c r="L80" s="67"/>
      <c r="M80" s="67">
        <f>IF(K73,K87,IF(M73,M87,J80))</f>
        <v>1824.0320670700435</v>
      </c>
      <c r="N80" s="67"/>
      <c r="O80" s="67"/>
      <c r="P80" s="67">
        <f>IF(N73,N87,IF(P73,P87,M80))</f>
        <v>1824.0320670700435</v>
      </c>
      <c r="Q80" s="67"/>
      <c r="R80" s="67"/>
      <c r="S80" s="67">
        <f>IF(Q73,Q87,IF(S73,S87,P80))</f>
        <v>1824.0320670700435</v>
      </c>
      <c r="T80" s="67"/>
      <c r="U80" s="67"/>
      <c r="V80" s="67">
        <f>IF(T73,T87,IF(V73,V87,S80))</f>
        <v>1830.8206849015778</v>
      </c>
      <c r="W80" s="67"/>
      <c r="X80" s="67"/>
      <c r="Y80" s="67">
        <f>IF(W73,W87,IF(Y73,Y87,V80))</f>
        <v>1830.8206849015778</v>
      </c>
      <c r="Z80" s="67"/>
      <c r="AA80" s="67"/>
      <c r="AB80" s="67">
        <f>IF(Z73,Z87,IF(AB73,AB87,Y80))</f>
        <v>1830.8206849015778</v>
      </c>
      <c r="AC80" s="67"/>
      <c r="AD80" s="67"/>
      <c r="AE80" s="67">
        <f>IF(AC73,AC87,IF(AE73,AE87,AB80))</f>
        <v>1819.6878315091337</v>
      </c>
      <c r="AF80" s="4"/>
      <c r="AG80" s="4"/>
      <c r="AJ80" s="4"/>
      <c r="AL80" s="4"/>
      <c r="AM80" s="4"/>
      <c r="AN80" s="4"/>
      <c r="AO80" s="4"/>
      <c r="AT80" s="63" t="str">
        <f>B80</f>
        <v>Chas Jrs 14 Blue</v>
      </c>
      <c r="AU80" s="63">
        <f>AE80</f>
        <v>1819.6878315091337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CSRA Heat 14 Black</v>
      </c>
      <c r="C81" s="67">
        <f>VLOOKUP(B81,AU$3:AY$12,3,FALSE)</f>
        <v>1889.110814092702</v>
      </c>
      <c r="D81" s="67">
        <f>IF(B74,B87,IF(D74,D87,C81))</f>
        <v>1889.110814092702</v>
      </c>
      <c r="E81" s="67"/>
      <c r="F81" s="67"/>
      <c r="G81" s="67">
        <f>IF(E74,E87,IF(G74,G87,D81))</f>
        <v>1889.110814092702</v>
      </c>
      <c r="H81" s="67"/>
      <c r="I81" s="67"/>
      <c r="J81" s="67">
        <f>IF(H74,H87,IF(J74,J87,G81))</f>
        <v>1917.4272134904609</v>
      </c>
      <c r="K81" s="67"/>
      <c r="L81" s="67"/>
      <c r="M81" s="67">
        <f>IF(K74,K87,IF(M74,M87,J81))</f>
        <v>1917.4272134904609</v>
      </c>
      <c r="N81" s="67"/>
      <c r="O81" s="67"/>
      <c r="P81" s="67">
        <f>IF(N74,N87,IF(P74,P87,M81))</f>
        <v>1898.8751265774295</v>
      </c>
      <c r="Q81" s="67"/>
      <c r="R81" s="67"/>
      <c r="S81" s="67">
        <f>IF(Q74,Q87,IF(S74,S87,P81))</f>
        <v>1898.8751265774295</v>
      </c>
      <c r="T81" s="67"/>
      <c r="U81" s="67"/>
      <c r="V81" s="67">
        <f>IF(T74,T87,IF(V74,V87,S81))</f>
        <v>1892.0865087458951</v>
      </c>
      <c r="W81" s="67"/>
      <c r="X81" s="67"/>
      <c r="Y81" s="67">
        <f>IF(W74,W87,IF(Y74,Y87,V81))</f>
        <v>1892.0865087458951</v>
      </c>
      <c r="Z81" s="67"/>
      <c r="AA81" s="67"/>
      <c r="AB81" s="67">
        <f>IF(Z74,Z87,IF(AB74,AB87,Y81))</f>
        <v>1862.3573600985021</v>
      </c>
      <c r="AC81" s="67"/>
      <c r="AD81" s="67"/>
      <c r="AE81" s="67">
        <f>IF(AC74,AC87,IF(AE74,AE87,AB81))</f>
        <v>1862.3573600985021</v>
      </c>
      <c r="AF81" s="4"/>
      <c r="AG81" s="4"/>
      <c r="AJ81" s="4"/>
      <c r="AL81" s="4"/>
      <c r="AM81" s="4"/>
      <c r="AN81" s="4"/>
      <c r="AO81" s="4"/>
      <c r="AT81" s="63" t="str">
        <f>B81</f>
        <v>CSRA Heat 14 Black</v>
      </c>
      <c r="AU81" s="63">
        <f>AE81</f>
        <v>1862.3573600985021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SCWE14AERIES</v>
      </c>
      <c r="C82" s="67">
        <f>VLOOKUP(B82,AU$3:AY$12,3,FALSE)</f>
        <v>1876.31367263991</v>
      </c>
      <c r="D82" s="67">
        <f>IF(B75,B87,IF(D75,D87,C82))</f>
        <v>1876.31367263991</v>
      </c>
      <c r="E82" s="67"/>
      <c r="F82" s="67"/>
      <c r="G82" s="67">
        <f>IF(E75,E87,IF(G75,G87,D82))</f>
        <v>1859.5527265661215</v>
      </c>
      <c r="H82" s="67"/>
      <c r="I82" s="67"/>
      <c r="J82" s="67">
        <f>IF(H75,H87,IF(J75,J87,G82))</f>
        <v>1859.5527265661215</v>
      </c>
      <c r="K82" s="67"/>
      <c r="L82" s="67"/>
      <c r="M82" s="67">
        <f>IF(K75,K87,IF(M75,M87,J82))</f>
        <v>1891.1955824879963</v>
      </c>
      <c r="N82" s="67"/>
      <c r="O82" s="67"/>
      <c r="P82" s="67">
        <f>IF(N75,N87,IF(P75,P87,M82))</f>
        <v>1891.1955824879963</v>
      </c>
      <c r="Q82" s="67"/>
      <c r="R82" s="67"/>
      <c r="S82" s="67">
        <f>IF(Q75,Q87,IF(S75,S87,P82))</f>
        <v>1916.7834770464226</v>
      </c>
      <c r="T82" s="67"/>
      <c r="U82" s="67"/>
      <c r="V82" s="67">
        <f>IF(T75,T87,IF(V75,V87,S82))</f>
        <v>1916.7834770464226</v>
      </c>
      <c r="W82" s="67"/>
      <c r="X82" s="67"/>
      <c r="Y82" s="67">
        <f>IF(W75,W87,IF(Y75,Y87,V82))</f>
        <v>1916.7834770464226</v>
      </c>
      <c r="Z82" s="67"/>
      <c r="AA82" s="67"/>
      <c r="AB82" s="67">
        <f>IF(Z75,Z87,IF(AB75,AB87,Y82))</f>
        <v>1946.5126256938156</v>
      </c>
      <c r="AC82" s="67"/>
      <c r="AD82" s="67"/>
      <c r="AE82" s="67">
        <f>IF(AC75,AC87,IF(AE75,AE87,AB82))</f>
        <v>1946.5126256938156</v>
      </c>
      <c r="AF82" s="4"/>
      <c r="AG82" s="4"/>
      <c r="AJ82" s="4"/>
      <c r="AL82" s="4"/>
      <c r="AM82" s="4"/>
      <c r="AN82" s="4"/>
      <c r="AO82" s="4"/>
      <c r="AT82" s="63" t="str">
        <f>B82</f>
        <v>SCWE14AERIES</v>
      </c>
      <c r="AU82" s="63">
        <f>AE82</f>
        <v>1946.5126256938156</v>
      </c>
      <c r="AW82" s="66"/>
      <c r="BB82" s="66"/>
    </row>
    <row r="83" spans="1:54" s="63" customFormat="1" hidden="1" x14ac:dyDescent="0.2">
      <c r="A83" s="67">
        <v>5</v>
      </c>
      <c r="B83" s="67" t="str">
        <f>E16</f>
        <v>CHSElite 14-A</v>
      </c>
      <c r="C83" s="67">
        <f>VLOOKUP(B83,AU$3:AY$12,3,FALSE)</f>
        <v>1809.1480647862352</v>
      </c>
      <c r="D83" s="67">
        <f>IF(B76,B87,IF(D76,D87,C83))</f>
        <v>1848.9385579218451</v>
      </c>
      <c r="E83" s="67"/>
      <c r="F83" s="67"/>
      <c r="G83" s="67">
        <f>IF(E76,E87,IF(G76,G87,D83))</f>
        <v>1848.9385579218451</v>
      </c>
      <c r="H83" s="67"/>
      <c r="I83" s="67"/>
      <c r="J83" s="67">
        <f>IF(H76,H87,IF(J76,J87,G83))</f>
        <v>1820.6221585240862</v>
      </c>
      <c r="K83" s="67"/>
      <c r="L83" s="67"/>
      <c r="M83" s="67">
        <f>IF(K76,K87,IF(M76,M87,J83))</f>
        <v>1820.6221585240862</v>
      </c>
      <c r="N83" s="67"/>
      <c r="O83" s="67"/>
      <c r="P83" s="67">
        <f>IF(N76,N87,IF(P76,P87,M83))</f>
        <v>1820.6221585240862</v>
      </c>
      <c r="Q83" s="67"/>
      <c r="R83" s="67"/>
      <c r="S83" s="67">
        <f>IF(Q76,Q87,IF(S76,S87,P83))</f>
        <v>1795.0342639656599</v>
      </c>
      <c r="T83" s="67"/>
      <c r="U83" s="67"/>
      <c r="V83" s="67">
        <f>IF(T76,T87,IF(V76,V87,S83))</f>
        <v>1795.0342639656599</v>
      </c>
      <c r="W83" s="67"/>
      <c r="X83" s="67"/>
      <c r="Y83" s="67">
        <f>IF(W76,W87,IF(Y76,Y87,V83))</f>
        <v>1785.2095972783534</v>
      </c>
      <c r="Z83" s="67"/>
      <c r="AA83" s="67"/>
      <c r="AB83" s="67">
        <f>IF(Z76,Z87,IF(AB76,AB87,Y83))</f>
        <v>1785.2095972783534</v>
      </c>
      <c r="AC83" s="67"/>
      <c r="AD83" s="67"/>
      <c r="AE83" s="67">
        <f>IF(AC76,AC87,IF(AE76,AE87,AB83))</f>
        <v>1785.2095972783534</v>
      </c>
      <c r="AF83" s="4"/>
      <c r="AG83" s="4"/>
      <c r="AJ83" s="4"/>
      <c r="AL83" s="4"/>
      <c r="AM83" s="4"/>
      <c r="AN83" s="4"/>
      <c r="AO83" s="4"/>
      <c r="AT83" s="63" t="str">
        <f>B83</f>
        <v>CHSElite 14-A</v>
      </c>
      <c r="AU83" s="63">
        <f>AE83</f>
        <v>1785.2095972783534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1895.4654161275282</v>
      </c>
      <c r="C85" s="67">
        <v>1</v>
      </c>
      <c r="D85" s="67">
        <f>VLOOKUP(D24,$A79:$AE83,3,FALSE)</f>
        <v>1809.1480647862352</v>
      </c>
      <c r="E85" s="67">
        <f>VLOOKUP(E24,$A79:$AE83,4,FALSE)</f>
        <v>2056.3147376237139</v>
      </c>
      <c r="F85" s="67">
        <v>2</v>
      </c>
      <c r="G85" s="67">
        <f>VLOOKUP(G24,$A79:$AE83,4,FALSE)</f>
        <v>1876.31367263991</v>
      </c>
      <c r="H85" s="67">
        <f>VLOOKUP(H24,$A79:$AE83,7,FALSE)</f>
        <v>1889.110814092702</v>
      </c>
      <c r="I85" s="67">
        <v>3</v>
      </c>
      <c r="J85" s="67">
        <f>VLOOKUP(J24,$A79:$AE83,7,FALSE)</f>
        <v>1848.9385579218451</v>
      </c>
      <c r="K85" s="67">
        <f>VLOOKUP(K24,$A79:$AE83,10,FALSE)</f>
        <v>1855.6749229919183</v>
      </c>
      <c r="L85" s="67">
        <v>4</v>
      </c>
      <c r="M85" s="67">
        <f>VLOOKUP(M24,$A79:$AE83,10,FALSE)</f>
        <v>1859.5527265661215</v>
      </c>
      <c r="N85" s="67">
        <f>VLOOKUP(N24,$A79:$AE83,13,FALSE)</f>
        <v>2073.0756836975024</v>
      </c>
      <c r="O85" s="67">
        <v>5</v>
      </c>
      <c r="P85" s="67">
        <f>VLOOKUP(P24,$A79:$AE83,13,FALSE)</f>
        <v>1917.4272134904609</v>
      </c>
      <c r="Q85" s="67">
        <f>VLOOKUP(Q24,$A79:$AE83,16,FALSE)</f>
        <v>1891.1955824879963</v>
      </c>
      <c r="R85" s="67">
        <v>6</v>
      </c>
      <c r="S85" s="67">
        <f>VLOOKUP(S24,$A79:$AE83,16,FALSE)</f>
        <v>1820.6221585240862</v>
      </c>
      <c r="T85" s="67">
        <f>VLOOKUP(T24,$A79:$AE83,19,FALSE)</f>
        <v>1824.0320670700435</v>
      </c>
      <c r="U85" s="67">
        <v>7</v>
      </c>
      <c r="V85" s="67">
        <f>VLOOKUP(V24,$A79:$AE83,19,FALSE)</f>
        <v>1898.8751265774295</v>
      </c>
      <c r="W85" s="67">
        <f>VLOOKUP(W24,$A79:$AE83,22,FALSE)</f>
        <v>2091.6277706105338</v>
      </c>
      <c r="X85" s="67">
        <v>8</v>
      </c>
      <c r="Y85" s="67">
        <f>VLOOKUP(Y24,$A79:$AE83,22,FALSE)</f>
        <v>1795.0342639656599</v>
      </c>
      <c r="Z85" s="67">
        <f>VLOOKUP(Z24,$A79:$AE83,25,FALSE)</f>
        <v>1892.0865087458951</v>
      </c>
      <c r="AA85" s="67">
        <v>9</v>
      </c>
      <c r="AB85" s="67">
        <f>VLOOKUP(AB24,$A79:$AE83,25,FALSE)</f>
        <v>1916.7834770464226</v>
      </c>
      <c r="AC85" s="67">
        <f>VLOOKUP(AC24,$A79:$AE83,28,FALSE)</f>
        <v>2101.4524372978403</v>
      </c>
      <c r="AD85" s="67">
        <v>10</v>
      </c>
      <c r="AE85" s="67">
        <f>VLOOKUP(AE24,$A79:$AE83,28,FALSE)</f>
        <v>1830.8206849015778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1.2434529104878089</v>
      </c>
      <c r="C86" s="68"/>
      <c r="D86" s="68">
        <f>1/(1+(10^-((D85-B85)/400)))*(B36+D36)</f>
        <v>0.75654708951219118</v>
      </c>
      <c r="E86" s="68">
        <f>1/(1+(10^-((E85-G85)/400)))*(E36+G36)</f>
        <v>1.4762204351941093</v>
      </c>
      <c r="F86" s="68"/>
      <c r="G86" s="68">
        <f>1/(1+(10^-((G85-E85)/400)))*(E36+G36)</f>
        <v>0.52377956480589072</v>
      </c>
      <c r="H86" s="68">
        <f>1/(1+(10^-((H85-J85)/400)))*(H36+J36)</f>
        <v>1.1151125188200313</v>
      </c>
      <c r="I86" s="68"/>
      <c r="J86" s="68">
        <f>1/(1+(10^-((J85-H85)/400)))*(H36+J36)</f>
        <v>0.88488748117996863</v>
      </c>
      <c r="K86" s="68">
        <f>1/(1+(10^-((K85-M85)/400)))*(K36+M36)</f>
        <v>0.9888392475585891</v>
      </c>
      <c r="L86" s="68"/>
      <c r="M86" s="68">
        <f>1/(1+(10^-((M85-K85)/400)))*(K36+M36)</f>
        <v>1.0111607524414108</v>
      </c>
      <c r="N86" s="68">
        <f>1/(1+(10^-((N85-P85)/400)))*(N36+P36)</f>
        <v>1.4202472839677691</v>
      </c>
      <c r="O86" s="68"/>
      <c r="P86" s="68">
        <f>1/(1+(10^-((P85-N85)/400)))*(N36+P36)</f>
        <v>0.57975271603223066</v>
      </c>
      <c r="Q86" s="68">
        <f>1/(1+(10^-((Q85-S85)/400)))*(Q36+S36)</f>
        <v>1.2003782950491753</v>
      </c>
      <c r="R86" s="68"/>
      <c r="S86" s="68">
        <f>1/(1+(10^-((S85-Q85)/400)))*(Q36+S36)</f>
        <v>0.79962170495082485</v>
      </c>
      <c r="T86" s="68">
        <f>1/(1+(10^-((T85-V85)/400)))*(T36+V36)</f>
        <v>0.7878556927645487</v>
      </c>
      <c r="U86" s="68"/>
      <c r="V86" s="68">
        <f>1/(1+(10^-((V85-T85)/400)))*(T36+V36)</f>
        <v>1.2121443072354512</v>
      </c>
      <c r="W86" s="68">
        <f>1/(1+(10^-((W85-Y85)/400)))*(W36+Y36)</f>
        <v>1.6929791660216738</v>
      </c>
      <c r="X86" s="68"/>
      <c r="Y86" s="68">
        <f>1/(1+(10^-((Y85-W85)/400)))*(W36+Y36)</f>
        <v>0.3070208339783263</v>
      </c>
      <c r="Z86" s="68">
        <f>1/(1+(10^-((Z85-AB85)/400)))*(Z36+AB36)</f>
        <v>0.92903589523103425</v>
      </c>
      <c r="AA86" s="68"/>
      <c r="AB86" s="68">
        <f>1/(1+(10^-((AB85-Z85)/400)))*(Z36+AB36)</f>
        <v>1.0709641047689658</v>
      </c>
      <c r="AC86" s="68">
        <f>1/(1+(10^-((AC85-AE85)/400)))*(AC36+AE36)</f>
        <v>1.6520983314861228</v>
      </c>
      <c r="AD86" s="68"/>
      <c r="AE86" s="68">
        <f>1/(1+(10^-((AE85-AC85)/400)))*(AC36+AE36)</f>
        <v>0.34790166851387722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1855.6749229919183</v>
      </c>
      <c r="C87" s="74"/>
      <c r="D87" s="74">
        <f>D85+(D36-D86)*$BA$1</f>
        <v>1848.9385579218451</v>
      </c>
      <c r="E87" s="74">
        <f>E85+(E36-E86)*$BA$1</f>
        <v>2073.0756836975024</v>
      </c>
      <c r="F87" s="74"/>
      <c r="G87" s="74">
        <f>G85+(G36-G86)*$BA$1</f>
        <v>1859.5527265661215</v>
      </c>
      <c r="H87" s="74">
        <f>H85+(H36-H86)*$BA$1</f>
        <v>1917.4272134904609</v>
      </c>
      <c r="I87" s="74"/>
      <c r="J87" s="74">
        <f>J85+(J36-J86)*$BA$1</f>
        <v>1820.6221585240862</v>
      </c>
      <c r="K87" s="74">
        <f>K85+(K36-K86)*$BA$1</f>
        <v>1824.0320670700435</v>
      </c>
      <c r="L87" s="74"/>
      <c r="M87" s="74">
        <f>M85+(M36-M86)*$BA$1</f>
        <v>1891.1955824879963</v>
      </c>
      <c r="N87" s="74">
        <f>N85+(N36-N86)*$BA$1</f>
        <v>2091.6277706105338</v>
      </c>
      <c r="O87" s="74"/>
      <c r="P87" s="74">
        <f>P85+(P36-P86)*$BA$1</f>
        <v>1898.8751265774295</v>
      </c>
      <c r="Q87" s="74">
        <f>Q85+(Q36-Q86)*$BA$1</f>
        <v>1916.7834770464226</v>
      </c>
      <c r="R87" s="74"/>
      <c r="S87" s="74">
        <f>S85+(S36-S86)*$BA$1</f>
        <v>1795.0342639656599</v>
      </c>
      <c r="T87" s="74">
        <f>T85+(T36-T86)*$BA$1</f>
        <v>1830.8206849015778</v>
      </c>
      <c r="U87" s="74"/>
      <c r="V87" s="74">
        <f>V85+(V36-V86)*$BA$1</f>
        <v>1892.0865087458951</v>
      </c>
      <c r="W87" s="74">
        <f>W85+(W36-W86)*$BA$1</f>
        <v>2101.4524372978403</v>
      </c>
      <c r="X87" s="74"/>
      <c r="Y87" s="74">
        <f>Y85+(Y36-Y86)*$BA$1</f>
        <v>1785.2095972783534</v>
      </c>
      <c r="Z87" s="74">
        <f>Z85+(Z36-Z86)*$BA$1</f>
        <v>1862.3573600985021</v>
      </c>
      <c r="AA87" s="74"/>
      <c r="AB87" s="74">
        <f>AB85+(AB36-AB86)*$BA$1</f>
        <v>1946.5126256938156</v>
      </c>
      <c r="AC87" s="74">
        <f>AC85+(AC36-AC86)*$BA$1</f>
        <v>2112.5852906902842</v>
      </c>
      <c r="AD87" s="74"/>
      <c r="AE87" s="74">
        <f>AE85+(AE36-AE86)*$BA$1</f>
        <v>1819.6878315091337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329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30"/>
      <c r="AO89" s="330"/>
      <c r="AP89" s="330"/>
      <c r="AQ89" s="330"/>
      <c r="AW89" s="66"/>
    </row>
    <row r="90" spans="1:54" s="63" customFormat="1" ht="13.5" thickBot="1" x14ac:dyDescent="0.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W90" s="66"/>
    </row>
    <row r="91" spans="1:54" ht="24" customHeight="1" thickBot="1" x14ac:dyDescent="0.25">
      <c r="A91" s="22" t="s">
        <v>35</v>
      </c>
      <c r="B91" s="23" t="s">
        <v>119</v>
      </c>
      <c r="C91" s="246" t="s">
        <v>37</v>
      </c>
      <c r="D91" s="247"/>
      <c r="E91" s="247"/>
      <c r="F91" s="247"/>
      <c r="G91" s="247"/>
      <c r="H91" s="248"/>
      <c r="I91" s="249">
        <v>2</v>
      </c>
      <c r="J91" s="250"/>
      <c r="K91" s="251" t="str">
        <f>"Pool "&amp;B91&amp;" - Round 1 - Court "&amp;I91</f>
        <v>Pool B - Round 1 - Court 2</v>
      </c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3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254" t="s">
        <v>10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4" t="str">
        <f>IF($AK95=0,"Games Won","Matches Won")</f>
        <v>Games Won</v>
      </c>
      <c r="M92" s="255"/>
      <c r="N92" s="255"/>
      <c r="O92" s="255"/>
      <c r="P92" s="255"/>
      <c r="Q92" s="256"/>
      <c r="R92" s="254" t="str">
        <f>IF($AK95=0,"Games Lost","Matches Lost")</f>
        <v>Games Lost</v>
      </c>
      <c r="S92" s="257"/>
      <c r="T92" s="257"/>
      <c r="U92" s="257"/>
      <c r="V92" s="258"/>
      <c r="W92" s="259" t="s">
        <v>41</v>
      </c>
      <c r="X92" s="260"/>
      <c r="Y92" s="261"/>
      <c r="Z92" s="259" t="s">
        <v>42</v>
      </c>
      <c r="AA92" s="260"/>
      <c r="AB92" s="261"/>
      <c r="AC92" s="279" t="s">
        <v>43</v>
      </c>
      <c r="AD92" s="280"/>
      <c r="AE92" s="281"/>
      <c r="AF92" s="25" t="s">
        <v>44</v>
      </c>
      <c r="AG92" s="26" t="s">
        <v>9</v>
      </c>
      <c r="AH92" s="282" t="s">
        <v>45</v>
      </c>
      <c r="AI92" s="283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227" t="str">
        <f>IF($AK94&gt;0,"1","")</f>
        <v>1</v>
      </c>
      <c r="B93" s="229" t="s">
        <v>10</v>
      </c>
      <c r="C93" s="230"/>
      <c r="D93" s="231"/>
      <c r="E93" s="232" t="str">
        <f>AU4</f>
        <v>Lake Murray 14 Black</v>
      </c>
      <c r="F93" s="233"/>
      <c r="G93" s="233"/>
      <c r="H93" s="233"/>
      <c r="I93" s="233"/>
      <c r="J93" s="233"/>
      <c r="K93" s="234"/>
      <c r="L93" s="235">
        <f>IF($AK95=0,AF149,AF131)</f>
        <v>8</v>
      </c>
      <c r="M93" s="236"/>
      <c r="N93" s="236"/>
      <c r="O93" s="236"/>
      <c r="P93" s="236"/>
      <c r="Q93" s="256"/>
      <c r="R93" s="235">
        <f>IF($AK95=0,AG149,AG131)</f>
        <v>0</v>
      </c>
      <c r="S93" s="236"/>
      <c r="T93" s="236"/>
      <c r="U93" s="236"/>
      <c r="V93" s="236"/>
      <c r="W93" s="235">
        <f>AQ109</f>
        <v>64</v>
      </c>
      <c r="X93" s="236"/>
      <c r="Y93" s="236"/>
      <c r="Z93" s="239">
        <f>IF(AF143&gt;0,(AQ109/AF143),0)</f>
        <v>0.31840796019900497</v>
      </c>
      <c r="AA93" s="240"/>
      <c r="AB93" s="240"/>
      <c r="AC93" s="262">
        <f>IF(AF157=0,0,(AF149/AF157))</f>
        <v>1</v>
      </c>
      <c r="AD93" s="263"/>
      <c r="AE93" s="264"/>
      <c r="AF93" s="268">
        <v>1</v>
      </c>
      <c r="AG93" s="268">
        <v>1</v>
      </c>
      <c r="AH93" s="270">
        <v>3</v>
      </c>
      <c r="AI93" s="271"/>
      <c r="AJ93" s="27"/>
      <c r="AK93" s="28">
        <v>10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228"/>
      <c r="B94" s="274" t="s">
        <v>11</v>
      </c>
      <c r="C94" s="275"/>
      <c r="D94" s="276"/>
      <c r="E94" s="277" t="str">
        <f>AV4</f>
        <v>fj4lakem2pm</v>
      </c>
      <c r="F94" s="278"/>
      <c r="G94" s="278"/>
      <c r="H94" s="278"/>
      <c r="I94" s="278"/>
      <c r="J94" s="278"/>
      <c r="K94" s="278"/>
      <c r="L94" s="237"/>
      <c r="M94" s="238"/>
      <c r="N94" s="238"/>
      <c r="O94" s="238"/>
      <c r="P94" s="238"/>
      <c r="Q94" s="256"/>
      <c r="R94" s="237"/>
      <c r="S94" s="238"/>
      <c r="T94" s="238"/>
      <c r="U94" s="238"/>
      <c r="V94" s="238"/>
      <c r="W94" s="237"/>
      <c r="X94" s="238"/>
      <c r="Y94" s="238"/>
      <c r="Z94" s="241"/>
      <c r="AA94" s="242"/>
      <c r="AB94" s="242"/>
      <c r="AC94" s="265"/>
      <c r="AD94" s="266"/>
      <c r="AE94" s="267"/>
      <c r="AF94" s="269"/>
      <c r="AG94" s="269"/>
      <c r="AH94" s="272"/>
      <c r="AI94" s="273"/>
      <c r="AJ94" s="27"/>
      <c r="AK94" s="28">
        <v>5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227" t="str">
        <f>IF($AK94&gt;1,"2","")</f>
        <v>2</v>
      </c>
      <c r="B95" s="229" t="s">
        <v>10</v>
      </c>
      <c r="C95" s="230"/>
      <c r="D95" s="231"/>
      <c r="E95" s="232" t="str">
        <f>AU5</f>
        <v>Columbia SC Starlings 14</v>
      </c>
      <c r="F95" s="233"/>
      <c r="G95" s="233"/>
      <c r="H95" s="233"/>
      <c r="I95" s="233"/>
      <c r="J95" s="233"/>
      <c r="K95" s="234"/>
      <c r="L95" s="235">
        <f>IF($AK95=0,AF150,AF132)</f>
        <v>5</v>
      </c>
      <c r="M95" s="236"/>
      <c r="N95" s="236"/>
      <c r="O95" s="236"/>
      <c r="P95" s="236"/>
      <c r="Q95" s="256"/>
      <c r="R95" s="235">
        <f>IF($AK95=0,AG150,AG132)</f>
        <v>3</v>
      </c>
      <c r="S95" s="236"/>
      <c r="T95" s="236"/>
      <c r="U95" s="236"/>
      <c r="V95" s="236"/>
      <c r="W95" s="235">
        <f>AQ110</f>
        <v>33</v>
      </c>
      <c r="X95" s="236"/>
      <c r="Y95" s="236"/>
      <c r="Z95" s="239">
        <f>IF(AF144&gt;0,(AQ110/AF144),0)</f>
        <v>0.16500000000000001</v>
      </c>
      <c r="AA95" s="240"/>
      <c r="AB95" s="240"/>
      <c r="AC95" s="262">
        <f>IF(AF158=0,0,(AF150/AF158))</f>
        <v>0.625</v>
      </c>
      <c r="AD95" s="263"/>
      <c r="AE95" s="264"/>
      <c r="AF95" s="268">
        <v>2</v>
      </c>
      <c r="AG95" s="268">
        <v>3</v>
      </c>
      <c r="AH95" s="270">
        <v>3</v>
      </c>
      <c r="AI95" s="271"/>
      <c r="AJ95" s="27"/>
      <c r="AK95" s="28">
        <v>0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228"/>
      <c r="B96" s="284" t="s">
        <v>11</v>
      </c>
      <c r="C96" s="285"/>
      <c r="D96" s="285"/>
      <c r="E96" s="277" t="str">
        <f>AV5</f>
        <v>fj4starl1pm</v>
      </c>
      <c r="F96" s="278"/>
      <c r="G96" s="278"/>
      <c r="H96" s="278"/>
      <c r="I96" s="278"/>
      <c r="J96" s="278"/>
      <c r="K96" s="278"/>
      <c r="L96" s="237"/>
      <c r="M96" s="238"/>
      <c r="N96" s="238"/>
      <c r="O96" s="238"/>
      <c r="P96" s="238"/>
      <c r="Q96" s="256"/>
      <c r="R96" s="237"/>
      <c r="S96" s="238"/>
      <c r="T96" s="238"/>
      <c r="U96" s="238"/>
      <c r="V96" s="238"/>
      <c r="W96" s="237"/>
      <c r="X96" s="238"/>
      <c r="Y96" s="238"/>
      <c r="Z96" s="241"/>
      <c r="AA96" s="242"/>
      <c r="AB96" s="242"/>
      <c r="AC96" s="265"/>
      <c r="AD96" s="266"/>
      <c r="AE96" s="267"/>
      <c r="AF96" s="269"/>
      <c r="AG96" s="269"/>
      <c r="AH96" s="272"/>
      <c r="AI96" s="273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227" t="str">
        <f>IF($AK94&gt;2,"3","")</f>
        <v>3</v>
      </c>
      <c r="B97" s="286" t="s">
        <v>10</v>
      </c>
      <c r="C97" s="287"/>
      <c r="D97" s="287"/>
      <c r="E97" s="232" t="str">
        <f>AU8</f>
        <v>VolleyOneAcademy 14-Taisa</v>
      </c>
      <c r="F97" s="233"/>
      <c r="G97" s="233"/>
      <c r="H97" s="233"/>
      <c r="I97" s="233"/>
      <c r="J97" s="233"/>
      <c r="K97" s="234"/>
      <c r="L97" s="235">
        <f>IF($AK95=0,AF151,AF133)</f>
        <v>0</v>
      </c>
      <c r="M97" s="236"/>
      <c r="N97" s="236"/>
      <c r="O97" s="236"/>
      <c r="P97" s="236"/>
      <c r="Q97" s="256"/>
      <c r="R97" s="235">
        <f>IF($AK95=0,AG151,AG133)</f>
        <v>8</v>
      </c>
      <c r="S97" s="236"/>
      <c r="T97" s="236"/>
      <c r="U97" s="236"/>
      <c r="V97" s="236"/>
      <c r="W97" s="235">
        <f>AQ111</f>
        <v>-79</v>
      </c>
      <c r="X97" s="236"/>
      <c r="Y97" s="236"/>
      <c r="Z97" s="239">
        <f>IF(AF145&gt;0,(AQ111/AF145),0)</f>
        <v>-0.39500000000000002</v>
      </c>
      <c r="AA97" s="240"/>
      <c r="AB97" s="240"/>
      <c r="AC97" s="262">
        <f>IF(AF159=0,0,(AF151/AF159))</f>
        <v>0</v>
      </c>
      <c r="AD97" s="263"/>
      <c r="AE97" s="264"/>
      <c r="AF97" s="268">
        <v>5</v>
      </c>
      <c r="AG97" s="268">
        <v>1</v>
      </c>
      <c r="AH97" s="270">
        <v>10</v>
      </c>
      <c r="AI97" s="271"/>
      <c r="AJ97" s="31"/>
      <c r="AK97" s="28">
        <v>8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228"/>
      <c r="B98" s="284" t="s">
        <v>11</v>
      </c>
      <c r="C98" s="285"/>
      <c r="D98" s="285"/>
      <c r="E98" s="277" t="str">
        <f>AV8</f>
        <v>fj4vonea1pm</v>
      </c>
      <c r="F98" s="278"/>
      <c r="G98" s="278"/>
      <c r="H98" s="278"/>
      <c r="I98" s="278"/>
      <c r="J98" s="278"/>
      <c r="K98" s="278"/>
      <c r="L98" s="237"/>
      <c r="M98" s="238"/>
      <c r="N98" s="238"/>
      <c r="O98" s="238"/>
      <c r="P98" s="238"/>
      <c r="Q98" s="256"/>
      <c r="R98" s="237"/>
      <c r="S98" s="238"/>
      <c r="T98" s="238"/>
      <c r="U98" s="238"/>
      <c r="V98" s="238"/>
      <c r="W98" s="237"/>
      <c r="X98" s="238"/>
      <c r="Y98" s="238"/>
      <c r="Z98" s="241"/>
      <c r="AA98" s="242"/>
      <c r="AB98" s="242"/>
      <c r="AC98" s="265"/>
      <c r="AD98" s="266"/>
      <c r="AE98" s="267"/>
      <c r="AF98" s="269"/>
      <c r="AG98" s="269"/>
      <c r="AH98" s="272"/>
      <c r="AI98" s="273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227" t="str">
        <f>IF($AK94&gt;3,"4","")</f>
        <v>4</v>
      </c>
      <c r="B99" s="286" t="s">
        <v>10</v>
      </c>
      <c r="C99" s="287"/>
      <c r="D99" s="287"/>
      <c r="E99" s="232" t="str">
        <f>AU9</f>
        <v>OLC 14s Purple Elite</v>
      </c>
      <c r="F99" s="233"/>
      <c r="G99" s="233"/>
      <c r="H99" s="233"/>
      <c r="I99" s="233"/>
      <c r="J99" s="233"/>
      <c r="K99" s="234"/>
      <c r="L99" s="235">
        <f>IF($AK95=0,AF152,AF134)</f>
        <v>5</v>
      </c>
      <c r="M99" s="236"/>
      <c r="N99" s="236"/>
      <c r="O99" s="236"/>
      <c r="P99" s="236"/>
      <c r="Q99" s="256"/>
      <c r="R99" s="235">
        <f>IF($AK95=0,AG152,AG134)</f>
        <v>3</v>
      </c>
      <c r="S99" s="236"/>
      <c r="T99" s="236"/>
      <c r="U99" s="236"/>
      <c r="V99" s="236"/>
      <c r="W99" s="235">
        <f>AQ112</f>
        <v>16</v>
      </c>
      <c r="X99" s="236"/>
      <c r="Y99" s="236"/>
      <c r="Z99" s="239">
        <f>IF(AF146&gt;0,(AQ112/AF146),0)</f>
        <v>7.9601990049751242E-2</v>
      </c>
      <c r="AA99" s="240"/>
      <c r="AB99" s="240"/>
      <c r="AC99" s="262">
        <f>IF(AF160=0,0,(AF152/AF160))</f>
        <v>0.625</v>
      </c>
      <c r="AD99" s="263"/>
      <c r="AE99" s="264"/>
      <c r="AF99" s="268">
        <v>3</v>
      </c>
      <c r="AG99" s="268">
        <v>3</v>
      </c>
      <c r="AH99" s="270">
        <v>6</v>
      </c>
      <c r="AI99" s="271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228"/>
      <c r="B100" s="284" t="s">
        <v>11</v>
      </c>
      <c r="C100" s="285"/>
      <c r="D100" s="285"/>
      <c r="E100" s="277" t="str">
        <f>AV9</f>
        <v>fj4ladyc1pm</v>
      </c>
      <c r="F100" s="278"/>
      <c r="G100" s="278"/>
      <c r="H100" s="278"/>
      <c r="I100" s="278"/>
      <c r="J100" s="278"/>
      <c r="K100" s="278"/>
      <c r="L100" s="237"/>
      <c r="M100" s="238"/>
      <c r="N100" s="238"/>
      <c r="O100" s="238"/>
      <c r="P100" s="238"/>
      <c r="Q100" s="256"/>
      <c r="R100" s="237"/>
      <c r="S100" s="238"/>
      <c r="T100" s="238"/>
      <c r="U100" s="238"/>
      <c r="V100" s="238"/>
      <c r="W100" s="237"/>
      <c r="X100" s="238"/>
      <c r="Y100" s="238"/>
      <c r="Z100" s="241"/>
      <c r="AA100" s="242"/>
      <c r="AB100" s="242"/>
      <c r="AC100" s="265"/>
      <c r="AD100" s="266"/>
      <c r="AE100" s="267"/>
      <c r="AF100" s="269"/>
      <c r="AG100" s="269"/>
      <c r="AH100" s="272"/>
      <c r="AI100" s="273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227" t="str">
        <f>IF($AK94&gt;4,"5","")</f>
        <v>5</v>
      </c>
      <c r="B101" s="286" t="s">
        <v>10</v>
      </c>
      <c r="C101" s="287"/>
      <c r="D101" s="287"/>
      <c r="E101" s="232" t="str">
        <f>AU12</f>
        <v>SC Midlands 14 Black</v>
      </c>
      <c r="F101" s="233"/>
      <c r="G101" s="233"/>
      <c r="H101" s="233"/>
      <c r="I101" s="233"/>
      <c r="J101" s="233"/>
      <c r="K101" s="234"/>
      <c r="L101" s="235">
        <f>IF($AK95=0,AF153,AF135)</f>
        <v>2</v>
      </c>
      <c r="M101" s="236"/>
      <c r="N101" s="236"/>
      <c r="O101" s="236"/>
      <c r="P101" s="236"/>
      <c r="Q101" s="256"/>
      <c r="R101" s="235">
        <f>IF($AK95=0,AG153,AG135)</f>
        <v>6</v>
      </c>
      <c r="S101" s="236"/>
      <c r="T101" s="236"/>
      <c r="U101" s="236"/>
      <c r="V101" s="236"/>
      <c r="W101" s="235">
        <f>AQ113</f>
        <v>-34</v>
      </c>
      <c r="X101" s="236"/>
      <c r="Y101" s="236"/>
      <c r="Z101" s="239">
        <f>IF(AF147&gt;0,(AQ113/AF147),0)</f>
        <v>-0.17</v>
      </c>
      <c r="AA101" s="240"/>
      <c r="AB101" s="240"/>
      <c r="AC101" s="262">
        <f>IF(AF161=0,0,(AF153/AF161))</f>
        <v>0.25</v>
      </c>
      <c r="AD101" s="263"/>
      <c r="AE101" s="264"/>
      <c r="AF101" s="268">
        <v>4</v>
      </c>
      <c r="AG101" s="268">
        <v>1</v>
      </c>
      <c r="AH101" s="270">
        <v>5</v>
      </c>
      <c r="AI101" s="271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228"/>
      <c r="B102" s="296" t="s">
        <v>11</v>
      </c>
      <c r="C102" s="297"/>
      <c r="D102" s="297"/>
      <c r="E102" s="410" t="str">
        <f>AV12</f>
        <v>fj4scmid3pm</v>
      </c>
      <c r="F102" s="411"/>
      <c r="G102" s="411"/>
      <c r="H102" s="411"/>
      <c r="I102" s="411"/>
      <c r="J102" s="411"/>
      <c r="K102" s="411"/>
      <c r="L102" s="303"/>
      <c r="M102" s="304"/>
      <c r="N102" s="304"/>
      <c r="O102" s="304"/>
      <c r="P102" s="304"/>
      <c r="Q102" s="256"/>
      <c r="R102" s="303"/>
      <c r="S102" s="304"/>
      <c r="T102" s="304"/>
      <c r="U102" s="304"/>
      <c r="V102" s="304"/>
      <c r="W102" s="303"/>
      <c r="X102" s="304"/>
      <c r="Y102" s="304"/>
      <c r="Z102" s="288"/>
      <c r="AA102" s="289"/>
      <c r="AB102" s="289"/>
      <c r="AC102" s="290"/>
      <c r="AD102" s="291"/>
      <c r="AE102" s="292"/>
      <c r="AF102" s="293"/>
      <c r="AG102" s="293"/>
      <c r="AH102" s="294"/>
      <c r="AI102" s="295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305" t="s">
        <v>65</v>
      </c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7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thickTop="1" x14ac:dyDescent="0.2">
      <c r="A104" s="4" t="s">
        <v>66</v>
      </c>
      <c r="B104" s="308">
        <v>0.35416666666666669</v>
      </c>
      <c r="C104" s="309"/>
      <c r="D104" s="310"/>
      <c r="E104" s="308">
        <v>0.38541666666666669</v>
      </c>
      <c r="F104" s="309"/>
      <c r="G104" s="310"/>
      <c r="H104" s="308">
        <v>0.41666666666666669</v>
      </c>
      <c r="I104" s="309"/>
      <c r="J104" s="310"/>
      <c r="K104" s="308">
        <v>0.44791666666666669</v>
      </c>
      <c r="L104" s="309"/>
      <c r="M104" s="310"/>
      <c r="N104" s="308">
        <v>0.47916666666666669</v>
      </c>
      <c r="O104" s="309"/>
      <c r="P104" s="310"/>
      <c r="Q104" s="308">
        <v>0.51041666666666663</v>
      </c>
      <c r="R104" s="309"/>
      <c r="S104" s="310"/>
      <c r="T104" s="308">
        <v>4.1666666666666664E-2</v>
      </c>
      <c r="U104" s="309"/>
      <c r="V104" s="310"/>
      <c r="W104" s="308">
        <v>7.2916666666666671E-2</v>
      </c>
      <c r="X104" s="309"/>
      <c r="Y104" s="310"/>
      <c r="Z104" s="308">
        <v>0.10416666666666667</v>
      </c>
      <c r="AA104" s="309"/>
      <c r="AB104" s="310"/>
      <c r="AC104" s="308">
        <v>0.13541666666666666</v>
      </c>
      <c r="AD104" s="309"/>
      <c r="AE104" s="310"/>
      <c r="AF104" s="311" t="s">
        <v>67</v>
      </c>
      <c r="AG104" s="312"/>
      <c r="AH104" s="312"/>
      <c r="AI104" s="312"/>
      <c r="AJ104" s="313"/>
      <c r="AK104" s="313"/>
      <c r="AL104" s="313"/>
      <c r="AM104" s="313"/>
      <c r="AN104" s="313"/>
      <c r="AO104" s="313"/>
      <c r="AP104" s="313"/>
      <c r="AQ104" s="314"/>
    </row>
    <row r="105" spans="1:44" x14ac:dyDescent="0.2">
      <c r="A105" s="41" t="s">
        <v>68</v>
      </c>
      <c r="B105" s="319">
        <v>0.35416666666666669</v>
      </c>
      <c r="C105" s="320"/>
      <c r="D105" s="321"/>
      <c r="E105" s="319">
        <v>0.38541666666666669</v>
      </c>
      <c r="F105" s="320"/>
      <c r="G105" s="321"/>
      <c r="H105" s="319">
        <v>0.42291666666666666</v>
      </c>
      <c r="I105" s="320"/>
      <c r="J105" s="321"/>
      <c r="K105" s="319">
        <v>0.45555555555555555</v>
      </c>
      <c r="L105" s="320"/>
      <c r="M105" s="321"/>
      <c r="N105" s="319">
        <v>0.4916666666666667</v>
      </c>
      <c r="O105" s="320"/>
      <c r="P105" s="321"/>
      <c r="Q105" s="319">
        <v>0.52222222222222225</v>
      </c>
      <c r="R105" s="320"/>
      <c r="S105" s="321"/>
      <c r="T105" s="319">
        <v>0.55486111111111114</v>
      </c>
      <c r="U105" s="320"/>
      <c r="V105" s="321"/>
      <c r="W105" s="319">
        <v>0.58194444444444449</v>
      </c>
      <c r="X105" s="320"/>
      <c r="Y105" s="321"/>
      <c r="Z105" s="319">
        <v>0.60972222222222217</v>
      </c>
      <c r="AA105" s="320"/>
      <c r="AB105" s="321"/>
      <c r="AC105" s="319"/>
      <c r="AD105" s="320"/>
      <c r="AE105" s="321"/>
      <c r="AF105" s="311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5"/>
    </row>
    <row r="106" spans="1:44" x14ac:dyDescent="0.2">
      <c r="A106" s="41" t="s">
        <v>69</v>
      </c>
      <c r="B106" s="319">
        <v>0.375</v>
      </c>
      <c r="C106" s="320"/>
      <c r="D106" s="321"/>
      <c r="E106" s="319">
        <v>0.4145833333333333</v>
      </c>
      <c r="F106" s="320"/>
      <c r="G106" s="321"/>
      <c r="H106" s="319">
        <v>0.44236111111111115</v>
      </c>
      <c r="I106" s="320"/>
      <c r="J106" s="321"/>
      <c r="K106" s="319">
        <v>0.48055555555555557</v>
      </c>
      <c r="L106" s="320"/>
      <c r="M106" s="321"/>
      <c r="N106" s="319">
        <v>0.51111111111111118</v>
      </c>
      <c r="O106" s="320"/>
      <c r="P106" s="321"/>
      <c r="Q106" s="319">
        <v>0.5444444444444444</v>
      </c>
      <c r="R106" s="320"/>
      <c r="S106" s="321"/>
      <c r="T106" s="319">
        <v>0.57291666666666663</v>
      </c>
      <c r="U106" s="320"/>
      <c r="V106" s="321"/>
      <c r="W106" s="319">
        <v>0.60277777777777775</v>
      </c>
      <c r="X106" s="320"/>
      <c r="Y106" s="321"/>
      <c r="Z106" s="319">
        <v>0.63124999999999998</v>
      </c>
      <c r="AA106" s="320"/>
      <c r="AB106" s="321"/>
      <c r="AC106" s="319"/>
      <c r="AD106" s="320"/>
      <c r="AE106" s="321"/>
      <c r="AF106" s="311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5"/>
    </row>
    <row r="107" spans="1:44" ht="13.5" thickBot="1" x14ac:dyDescent="0.25">
      <c r="A107" s="7"/>
      <c r="B107" s="322" t="s">
        <v>70</v>
      </c>
      <c r="C107" s="323"/>
      <c r="D107" s="324"/>
      <c r="E107" s="322" t="str">
        <f>IF(AK93&gt;1,"Match 2","")</f>
        <v>Match 2</v>
      </c>
      <c r="F107" s="323"/>
      <c r="G107" s="324"/>
      <c r="H107" s="322" t="str">
        <f>IF(AK93&gt;2,"Match 3","")</f>
        <v>Match 3</v>
      </c>
      <c r="I107" s="323"/>
      <c r="J107" s="324"/>
      <c r="K107" s="322" t="str">
        <f>IF(AK93&gt;3,"Match 4","")</f>
        <v>Match 4</v>
      </c>
      <c r="L107" s="323"/>
      <c r="M107" s="324"/>
      <c r="N107" s="322" t="str">
        <f>IF(AK93&gt;4,"Match 5","")</f>
        <v>Match 5</v>
      </c>
      <c r="O107" s="323"/>
      <c r="P107" s="324"/>
      <c r="Q107" s="322" t="str">
        <f>IF(AK93&gt;5,"Match 6","")</f>
        <v>Match 6</v>
      </c>
      <c r="R107" s="323"/>
      <c r="S107" s="324"/>
      <c r="T107" s="322" t="str">
        <f>IF(AK93&gt;6,"Match 7","")</f>
        <v>Match 7</v>
      </c>
      <c r="U107" s="323"/>
      <c r="V107" s="324"/>
      <c r="W107" s="322" t="str">
        <f>IF(AK93&gt;7,"Match 8","")</f>
        <v>Match 8</v>
      </c>
      <c r="X107" s="323"/>
      <c r="Y107" s="324"/>
      <c r="Z107" s="322" t="str">
        <f>IF(AK93&gt;8,"Match 9","")</f>
        <v>Match 9</v>
      </c>
      <c r="AA107" s="323"/>
      <c r="AB107" s="324"/>
      <c r="AC107" s="322" t="str">
        <f>IF(AK93&gt;9,"Match 10","")</f>
        <v>Match 10</v>
      </c>
      <c r="AD107" s="323"/>
      <c r="AE107" s="324"/>
      <c r="AF107" s="316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8"/>
    </row>
    <row r="108" spans="1:44" ht="15.75" x14ac:dyDescent="0.25">
      <c r="A108" s="7"/>
      <c r="B108" s="325" t="s">
        <v>71</v>
      </c>
      <c r="C108" s="326"/>
      <c r="D108" s="327"/>
      <c r="E108" s="325" t="s">
        <v>72</v>
      </c>
      <c r="F108" s="326"/>
      <c r="G108" s="327"/>
      <c r="H108" s="325" t="s">
        <v>73</v>
      </c>
      <c r="I108" s="326"/>
      <c r="J108" s="327"/>
      <c r="K108" s="325" t="s">
        <v>74</v>
      </c>
      <c r="L108" s="326"/>
      <c r="M108" s="327"/>
      <c r="N108" s="325" t="s">
        <v>75</v>
      </c>
      <c r="O108" s="326"/>
      <c r="P108" s="327"/>
      <c r="Q108" s="325" t="s">
        <v>73</v>
      </c>
      <c r="R108" s="326"/>
      <c r="S108" s="327"/>
      <c r="T108" s="325" t="s">
        <v>71</v>
      </c>
      <c r="U108" s="326"/>
      <c r="V108" s="327"/>
      <c r="W108" s="325" t="s">
        <v>75</v>
      </c>
      <c r="X108" s="326"/>
      <c r="Y108" s="327"/>
      <c r="Z108" s="325" t="s">
        <v>74</v>
      </c>
      <c r="AA108" s="326"/>
      <c r="AB108" s="327"/>
      <c r="AC108" s="325" t="s">
        <v>72</v>
      </c>
      <c r="AD108" s="326"/>
      <c r="AE108" s="327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8</v>
      </c>
      <c r="AI109" s="48" t="str">
        <f>IF(AK94&lt;1,"",IF(AK93&lt;3,"",IF(H109=1,H115-J115,IF(J109=1,J115-H115,""))))</f>
        <v/>
      </c>
      <c r="AJ109" s="48" t="str">
        <f>IF(AK94&lt;1,"",IF(AK93&lt;4,"",IF(K109=1,K115-M115,IF(M109=1,M115-K115,""))))</f>
        <v/>
      </c>
      <c r="AK109" s="48">
        <f>IF(AK94&lt;1,"",IF(AK93&lt;5,"",IF(N109=1,N115-P115,IF(P109=1,P115-N115,""))))</f>
        <v>22</v>
      </c>
      <c r="AL109" s="48" t="str">
        <f>IF(AK94&lt;1,"",IF(AK93&lt;6,"",IF(Q109=1,Q115-S115,IF(S109=1,S115-Q115,""))))</f>
        <v/>
      </c>
      <c r="AM109" s="48" t="str">
        <f>IF(AK94&lt;1,"",IF(AK93&lt;7,"",IF(T109=1,T115-V115,IF(V109=1,V115-T115,""))))</f>
        <v/>
      </c>
      <c r="AN109" s="48">
        <f>IF(AK94&lt;1,"",IF(AK93&lt;8,"",IF(W109=1,W115-Y115,IF(Y109=1,Y115-W115,""))))</f>
        <v>17</v>
      </c>
      <c r="AO109" s="48" t="str">
        <f>IF(AK94&lt;1,"",IF(AK93&lt;9,"",IF(Z109=1,Z115-AB115,IF(AB109=1,AB115-Z115,""))))</f>
        <v/>
      </c>
      <c r="AP109" s="48">
        <f>IF(AK94&lt;1,"",IF(AK93&lt;10,"",IF(AC109=1,AC115-AE115,IF(AE109=1,AE115-AC115,""))))</f>
        <v>17</v>
      </c>
      <c r="AQ109" s="44">
        <f>SUM(AG109:AP109)</f>
        <v>64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17</v>
      </c>
      <c r="E110" s="49">
        <v>25</v>
      </c>
      <c r="F110" s="50" t="str">
        <f>IF(AK93&gt;1,"/","")</f>
        <v>/</v>
      </c>
      <c r="G110" s="51">
        <v>19</v>
      </c>
      <c r="H110" s="49">
        <v>13</v>
      </c>
      <c r="I110" s="50" t="str">
        <f>IF(AK93&gt;2,"/","")</f>
        <v>/</v>
      </c>
      <c r="J110" s="51">
        <v>25</v>
      </c>
      <c r="K110" s="49">
        <v>21</v>
      </c>
      <c r="L110" s="50" t="str">
        <f>IF(AK93&gt;3,"/","")</f>
        <v>/</v>
      </c>
      <c r="M110" s="51">
        <v>25</v>
      </c>
      <c r="N110" s="49">
        <v>25</v>
      </c>
      <c r="O110" s="50" t="str">
        <f>IF(AK93&gt;4,"/","")</f>
        <v>/</v>
      </c>
      <c r="P110" s="51">
        <v>11</v>
      </c>
      <c r="Q110" s="49">
        <v>25</v>
      </c>
      <c r="R110" s="50" t="str">
        <f>IF(AK93&gt;5,"/","")</f>
        <v>/</v>
      </c>
      <c r="S110" s="51">
        <v>22</v>
      </c>
      <c r="T110" s="49">
        <v>25</v>
      </c>
      <c r="U110" s="50" t="str">
        <f>IF(AK93&gt;6,"/","")</f>
        <v>/</v>
      </c>
      <c r="V110" s="51">
        <v>15</v>
      </c>
      <c r="W110" s="49">
        <v>25</v>
      </c>
      <c r="X110" s="50" t="str">
        <f>IF(AK93&gt;7,"/","")</f>
        <v>/</v>
      </c>
      <c r="Y110" s="51">
        <v>23</v>
      </c>
      <c r="Z110" s="49">
        <v>13</v>
      </c>
      <c r="AA110" s="50" t="str">
        <f>IF(AK93&gt;8,"/","")</f>
        <v>/</v>
      </c>
      <c r="AB110" s="51">
        <v>25</v>
      </c>
      <c r="AC110" s="49">
        <v>25</v>
      </c>
      <c r="AD110" s="50" t="str">
        <f>IF(AK93&gt;9,"/","")</f>
        <v>/</v>
      </c>
      <c r="AE110" s="51">
        <v>17</v>
      </c>
      <c r="AF110" s="42" t="str">
        <f>IF(AK94&gt;1,"Team 2","")</f>
        <v>Team 2</v>
      </c>
      <c r="AG110" s="48">
        <f>IF(AK94&lt;2,"",IF(AK93&lt;1,"",IF(B109=2,B115-D115,IF(D109=2,D115-B115,""))))</f>
        <v>25</v>
      </c>
      <c r="AH110" s="48" t="str">
        <f>IF(AK94&lt;2,"",IF(AK93&lt;2,"",IF(E109=2,E115-G115,IF(G109=2,G115-E115,""))))</f>
        <v/>
      </c>
      <c r="AI110" s="48" t="str">
        <f>IF(AK94&lt;2,"",IF(AK93&lt;3,"",IF(H109=2,H115-J115,IF(J109=2,J115-H115,""))))</f>
        <v/>
      </c>
      <c r="AJ110" s="48">
        <f>IF(AK94&lt;2,"",IF(AK93&lt;4,"",IF(K109=2,K115-M115,IF(M109=2,M115-K115,""))))</f>
        <v>2</v>
      </c>
      <c r="AK110" s="48" t="str">
        <f>IF(AK94&lt;2,"",IF(AK93&lt;5,"",IF(N109=2,N115-P115,IF(P109=2,P115-N115,""))))</f>
        <v/>
      </c>
      <c r="AL110" s="48" t="str">
        <f>IF(AK94&lt;2,"",IF(AK93&lt;6,"",IF(Q109=2,Q115-S115,IF(S109=2,S115-Q115,""))))</f>
        <v/>
      </c>
      <c r="AM110" s="48">
        <f>IF(AK94&lt;2,"",IF(AK93&lt;7,"",IF(T109=2,T115-V115,IF(V109=2,V115-T115,""))))</f>
        <v>23</v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>
        <f>IF(AK94&lt;2,"",IF(AK93&lt;10,"",IF(AC109=2,AC115-AE115,IF(AE109=2,AE115-AC115,""))))</f>
        <v>-17</v>
      </c>
      <c r="AQ110" s="44">
        <f>SUM(AG110:AP110)</f>
        <v>33</v>
      </c>
    </row>
    <row r="111" spans="1:44" ht="15" x14ac:dyDescent="0.2">
      <c r="A111" s="3" t="str">
        <f>IF(AK92&gt;1,"Game 2","")</f>
        <v>Game 2</v>
      </c>
      <c r="B111" s="49">
        <v>25</v>
      </c>
      <c r="C111" s="50" t="s">
        <v>80</v>
      </c>
      <c r="D111" s="51">
        <v>8</v>
      </c>
      <c r="E111" s="49">
        <v>26</v>
      </c>
      <c r="F111" s="50" t="str">
        <f>IF(AK93&gt;1,IF(AK92&gt;1,"/",""),"")</f>
        <v>/</v>
      </c>
      <c r="G111" s="51">
        <v>24</v>
      </c>
      <c r="H111" s="49">
        <v>19</v>
      </c>
      <c r="I111" s="50" t="str">
        <f>IF(AK93&gt;2,IF(AK92&gt;1,"/",""),"")</f>
        <v>/</v>
      </c>
      <c r="J111" s="51">
        <v>25</v>
      </c>
      <c r="K111" s="49">
        <v>25</v>
      </c>
      <c r="L111" s="50" t="str">
        <f>IF(AK93&gt;3,IF(AK92&gt;1,"/",""),"")</f>
        <v>/</v>
      </c>
      <c r="M111" s="51">
        <v>19</v>
      </c>
      <c r="N111" s="49">
        <v>25</v>
      </c>
      <c r="O111" s="50" t="str">
        <f>IF(AK93&gt;4,IF(AK92&gt;1,"/",""),"")</f>
        <v>/</v>
      </c>
      <c r="P111" s="51">
        <v>17</v>
      </c>
      <c r="Q111" s="49">
        <v>25</v>
      </c>
      <c r="R111" s="50" t="str">
        <f>IF(AK93&gt;5,IF(AK92&gt;1,"/",""),"")</f>
        <v>/</v>
      </c>
      <c r="S111" s="51">
        <v>18</v>
      </c>
      <c r="T111" s="49">
        <v>25</v>
      </c>
      <c r="U111" s="50" t="str">
        <f>IF(AK93&gt;6,IF(AK92&gt;1,"/",""),"")</f>
        <v>/</v>
      </c>
      <c r="V111" s="51">
        <v>12</v>
      </c>
      <c r="W111" s="49">
        <v>25</v>
      </c>
      <c r="X111" s="50" t="str">
        <f>IF(AK93&gt;7,IF(AK92&gt;1,"/",""),"")</f>
        <v>/</v>
      </c>
      <c r="Y111" s="51">
        <v>10</v>
      </c>
      <c r="Z111" s="49">
        <v>21</v>
      </c>
      <c r="AA111" s="50" t="str">
        <f>IF(AK93&gt;8,IF(AK92&gt;1,"/",""),"")</f>
        <v>/</v>
      </c>
      <c r="AB111" s="51">
        <v>25</v>
      </c>
      <c r="AC111" s="49">
        <v>25</v>
      </c>
      <c r="AD111" s="50" t="str">
        <f>IF(AK93&gt;9,IF(AK92&gt;1,"/",""),"")</f>
        <v>/</v>
      </c>
      <c r="AE111" s="51">
        <v>16</v>
      </c>
      <c r="AF111" s="42" t="str">
        <f>IF(AK94&gt;2,"Team 3","")</f>
        <v>Team 3</v>
      </c>
      <c r="AG111" s="48" t="str">
        <f>IF(AK94&lt;3,"",IF(AK93&lt;1,"",IF(B109=3,B115-D115,IF(D109=3,D115-B115,""))))</f>
        <v/>
      </c>
      <c r="AH111" s="48" t="str">
        <f>IF(AK94&lt;3,"",IF(AK93&lt;2,"",IF(E109=3,E115-G115,IF(G109=3,G115-E115,""))))</f>
        <v/>
      </c>
      <c r="AI111" s="48">
        <f>IF(AK94&lt;3,"",IF(AK93&lt;3,"",IF(H109=3,H115-J115,IF(J109=3,J115-H115,""))))</f>
        <v>-18</v>
      </c>
      <c r="AJ111" s="48" t="str">
        <f>IF(AK94&lt;3,"",IF(AK93&lt;4,"",IF(K109=3,K115-M115,IF(M109=3,M115-K115,""))))</f>
        <v/>
      </c>
      <c r="AK111" s="48">
        <f>IF(AK94&lt;3,"",IF(AK93&lt;5,"",IF(N109=3,N115-P115,IF(P109=3,P115-N115,""))))</f>
        <v>-22</v>
      </c>
      <c r="AL111" s="48" t="str">
        <f>IF(AK94&lt;3,"",IF(AK93&lt;6,"",IF(Q109=3,Q115-S115,IF(S109=3,S115-Q115,""))))</f>
        <v/>
      </c>
      <c r="AM111" s="48">
        <f>IF(AK94&lt;3,"",IF(AK93&lt;7,"",IF(T109=3,T115-V115,IF(V109=3,V115-T115,""))))</f>
        <v>-23</v>
      </c>
      <c r="AN111" s="48" t="str">
        <f>IF(AK94&lt;3,"",IF(AK93&lt;8,"",IF(W109=3,W115-Y115,IF(Y109=3,Y115-W115,""))))</f>
        <v/>
      </c>
      <c r="AO111" s="48">
        <f>IF(AK94&lt;3,"",IF(AK93&lt;9,"",IF(Z109=3,Z115-AB115,IF(AB109=3,AB115-Z115,""))))</f>
        <v>-16</v>
      </c>
      <c r="AP111" s="48" t="str">
        <f>IF(AK94&lt;3,"",IF(AK93&lt;9,"",IF(AC109=3,AC115-AE115,IF(AE109=3,AE115-AC115,""))))</f>
        <v/>
      </c>
      <c r="AQ111" s="44">
        <f>SUM(AG111:AP111)</f>
        <v>-79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-8</v>
      </c>
      <c r="AI112" s="48" t="str">
        <f>IF(AK94&lt;4,"",IF(AK93&lt;3,"",IF(H109=4,H115-J115,IF(J109=4,J115-H115,""))))</f>
        <v/>
      </c>
      <c r="AJ112" s="48">
        <f>IF(AK94&lt;4,"",IF(AK93&lt;4,"",IF(K109=4,K115-M115,IF(M109=4,M115-K115,""))))</f>
        <v>-2</v>
      </c>
      <c r="AK112" s="48" t="str">
        <f>IF(AK94&lt;4,"",IF(AK93&lt;5,"",IF(N109=4,N115-P115,IF(P109=4,P115-N115,""))))</f>
        <v/>
      </c>
      <c r="AL112" s="48">
        <f>IF(AK94&lt;4,"",IF(AK93&lt;6,"",IF(Q109=4,Q115-S115,IF(S109=4,S115-Q115,""))))</f>
        <v>10</v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>
        <f>IF(AK94&lt;4,"",IF(AK93&lt;9,"",IF(Z109=4,Z115-AB115,IF(AB109=4,AB115-Z115,""))))</f>
        <v>16</v>
      </c>
      <c r="AP112" s="48" t="str">
        <f>IF(AK94&lt;4,"",IF(AK93&lt;10,"",IF(AC109=4,AC115-AE115,IF(AE109=4,AE115-AC115,""))))</f>
        <v/>
      </c>
      <c r="AQ112" s="44">
        <f>SUM(AG112:AP112)</f>
        <v>16</v>
      </c>
    </row>
    <row r="113" spans="1:49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>Team 5</v>
      </c>
      <c r="AG113" s="52">
        <f>IF(AK94&lt;5,"",IF(AK93&lt;1,"",IF(B109=5,B115-D115,IF(D109=5,D115-B115,""))))</f>
        <v>-25</v>
      </c>
      <c r="AH113" s="48" t="str">
        <f>IF(AK94&lt;5,"",IF(AK93&lt;2,"",IF(E109=5,E115-G115,IF(G109=5,G115-E115,""))))</f>
        <v/>
      </c>
      <c r="AI113" s="48">
        <f>IF(AK94&lt;5,"",IF(AK93&lt;3,"",IF(H109=5,H115-J115,IF(J109=5,J115-H115,""))))</f>
        <v>18</v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>
        <f>IF(AK94&lt;5,"",IF(AK93&lt;6,"",IF(Q109=5,Q115-S115,IF(S109=5,S115-Q115,""))))</f>
        <v>-10</v>
      </c>
      <c r="AM113" s="48" t="str">
        <f>IF(AK94&lt;5,"",IF(AK93&lt;7,"",IF(T109=5,T115-V115,IF(V109=5,V115-T115,""))))</f>
        <v/>
      </c>
      <c r="AN113" s="48">
        <f>IF(AK94&lt;5,"",IF(AK93&lt;8,"",IF(W109=5,W115-Y115,IF(Y109=5,Y115-W115,""))))</f>
        <v>-17</v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-34</v>
      </c>
    </row>
    <row r="114" spans="1:49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3"/>
      <c r="B115" s="53">
        <f>IF($AK92=5,SUM(B110:B114),IF($AK92=4,SUM(B110:B113),IF($AK92=3,SUM(B110:B112),IF($AK92=2,SUM(B110:B111),B110))))</f>
        <v>50</v>
      </c>
      <c r="C115" s="53"/>
      <c r="D115" s="53">
        <f>IF($AK92=5,SUM(D110:D114),IF($AK92=4,SUM(D110:D113),IF($AK92=3,SUM(D110:D112),IF($AK92=2,SUM(D110:D111),D110))))</f>
        <v>25</v>
      </c>
      <c r="E115" s="53">
        <f>IF($AK92=5,SUM(E110:E114),IF($AK92=4,SUM(E110:E113),IF($AK92=3,SUM(E110:E112),IF($AK92=2,SUM(E110:E111),E110))))</f>
        <v>51</v>
      </c>
      <c r="F115" s="53"/>
      <c r="G115" s="53">
        <f>IF($AK92=5,SUM(G110:G114),IF($AK92=4,SUM(G110:G113),IF($AK92=3,SUM(G110:G112),IF($AK92=2,SUM(G110:G111),G110))))</f>
        <v>43</v>
      </c>
      <c r="H115" s="53">
        <f>IF($AK92=5,SUM(H110:H114),IF($AK92=4,SUM(H110:H113),IF($AK92=3,SUM(H110:H112),IF($AK92=2,SUM(H110:H111),H110))))</f>
        <v>32</v>
      </c>
      <c r="I115" s="53"/>
      <c r="J115" s="53">
        <f>IF($AK92=5,SUM(J110:J114),IF($AK92=4,SUM(J110:J113),IF($AK92=3,SUM(J110:J112),IF($AK92=2,SUM(J110:J111),J110))))</f>
        <v>50</v>
      </c>
      <c r="K115" s="53">
        <f>IF($AK92=5,SUM(K110:K114),IF($AK92=4,SUM(K110:K113),IF($AK92=3,SUM(K110:K112),IF($AK92=2,SUM(K110:K111),K110))))</f>
        <v>46</v>
      </c>
      <c r="L115" s="53"/>
      <c r="M115" s="53">
        <f>IF($AK92=5,SUM(M110:M114),IF($AK92=4,SUM(M110:M113),IF($AK92=3,SUM(M110:M112),IF($AK92=2,SUM(M110:M111),M110))))</f>
        <v>44</v>
      </c>
      <c r="N115" s="53">
        <f>IF($AK92=5,SUM(N110:N114),IF($AK92=4,SUM(N110:N113),IF($AK92=3,SUM(N110:N112),IF($AK92=2,SUM(N110:N111),N110))))</f>
        <v>50</v>
      </c>
      <c r="O115" s="53"/>
      <c r="P115" s="53">
        <f>IF($AK92=5,SUM(P110:P114),IF($AK92=4,SUM(P110:P113),IF($AK92=3,SUM(P110:P112),IF($AK92=2,SUM(P110:P111),P110))))</f>
        <v>28</v>
      </c>
      <c r="Q115" s="53">
        <f>IF($AK92=5,SUM(Q110:Q114),IF($AK92=4,SUM(Q110:Q113),IF($AK92=3,SUM(Q110:Q112),IF($AK92=2,SUM(Q110:Q111),Q110))))</f>
        <v>50</v>
      </c>
      <c r="R115" s="53"/>
      <c r="S115" s="53">
        <f>IF($AK92=5,SUM(S110:S114),IF($AK92=4,SUM(S110:S113),IF($AK92=3,SUM(S110:S112),IF($AK92=2,SUM(S110:S111),S110))))</f>
        <v>40</v>
      </c>
      <c r="T115" s="53">
        <f>IF($AK92=5,SUM(T110:T114),IF($AK92=4,SUM(T110:T113),IF($AK92=3,SUM(T110:T112),IF($AK92=2,SUM(T110:T111),T110))))</f>
        <v>50</v>
      </c>
      <c r="U115" s="53"/>
      <c r="V115" s="53">
        <f>IF($AK92=5,SUM(V110:V114),IF($AK92=4,SUM(V110:V113),IF($AK92=3,SUM(V110:V112),IF($AK92=2,SUM(V110:V111),V110))))</f>
        <v>27</v>
      </c>
      <c r="W115" s="53">
        <f>IF($AK92=5,SUM(W110:W114),IF($AK92=4,SUM(W110:W113),IF($AK92=3,SUM(W110:W112),IF($AK92=2,SUM(W110:W111),W110))))</f>
        <v>50</v>
      </c>
      <c r="X115" s="53"/>
      <c r="Y115" s="53">
        <f>IF($AK92=5,SUM(Y110:Y114),IF($AK92=4,SUM(Y110:Y113),IF($AK92=3,SUM(Y110:Y112),IF($AK92=2,SUM(Y110:Y111),Y110))))</f>
        <v>33</v>
      </c>
      <c r="Z115" s="53">
        <f>IF($AK92=5,SUM(Z110:Z114),IF($AK92=4,SUM(Z110:Z113),IF($AK92=3,SUM(Z110:Z112),IF($AK92=2,SUM(Z110:Z111),Z110))))</f>
        <v>34</v>
      </c>
      <c r="AA115" s="53"/>
      <c r="AB115" s="53">
        <f>IF($AK92=5,SUM(AB110:AB114),IF($AK92=4,SUM(AB110:AB113),IF($AK92=3,SUM(AB110:AB112),IF($AK92=2,SUM(AB110:AB111),AB110))))</f>
        <v>50</v>
      </c>
      <c r="AC115" s="53">
        <f>IF($AK92=5,SUM(AC110:AC114),IF($AK92=4,SUM(AC110:AC113),IF($AK92=3,SUM(AC110:AC112),IF($AK92=2,SUM(AC110:AC111),AC110))))</f>
        <v>50</v>
      </c>
      <c r="AD115" s="53"/>
      <c r="AE115" s="53">
        <f>IF($AK92=5,SUM(AE110:AE114),IF($AK92=4,SUM(AE110:AE113),IF($AK92=3,SUM(AE110:AE112),IF($AK92=2,SUM(AE110:AE111),AE110))))</f>
        <v>33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1</v>
      </c>
      <c r="F116" s="56"/>
      <c r="G116" s="57">
        <f>IF(AND(G110&gt;E110,$AK93&gt;1,ISNUMBER(E110),ISNUMBER(G110)),1,0)</f>
        <v>0</v>
      </c>
      <c r="H116" s="56">
        <f>IF(AND(H110&gt;J110,$AK93&gt;2,ISNUMBER(H110),ISNUMBER(J110)),1,0)</f>
        <v>0</v>
      </c>
      <c r="I116" s="56"/>
      <c r="J116" s="57">
        <f>IF(AND(J110&gt;H110,$AK93&gt;2,ISNUMBER(H110),ISNUMBER(J110)),1,0)</f>
        <v>1</v>
      </c>
      <c r="K116" s="56">
        <f>IF(AND(K110&gt;M110,$AK93&gt;3,ISNUMBER(K110),ISNUMBER(M110)),1,0)</f>
        <v>0</v>
      </c>
      <c r="L116" s="56"/>
      <c r="M116" s="57">
        <f>IF(AND(M110&gt;K110,$AK93&gt;3,ISNUMBER(K110),ISNUMBER(M110)),1,0)</f>
        <v>1</v>
      </c>
      <c r="N116" s="56">
        <f>IF(AND(N110&gt;P110,$AK93&gt;4,ISNUMBER(N110),ISNUMBER(P110)),1,0)</f>
        <v>1</v>
      </c>
      <c r="O116" s="56"/>
      <c r="P116" s="57">
        <f>IF(AND(P110&gt;N110,$AK93&gt;4,ISNUMBER(N110),ISNUMBER(P110)),1,0)</f>
        <v>0</v>
      </c>
      <c r="Q116" s="56">
        <f>IF(AND(Q110&gt;S110,$AK93&gt;5,ISNUMBER(Q110),ISNUMBER(S110)),1,0)</f>
        <v>1</v>
      </c>
      <c r="R116" s="56"/>
      <c r="S116" s="57">
        <f>IF(AND(S110&gt;Q110,$AK93&gt;5,ISNUMBER(Q110),ISNUMBER(S110)),1,0)</f>
        <v>0</v>
      </c>
      <c r="T116" s="56">
        <f>IF(AND(T110&gt;V110,$AK93&gt;6,ISNUMBER(T110),ISNUMBER(V110)),1,0)</f>
        <v>1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1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1</v>
      </c>
      <c r="AC116" s="56">
        <f>IF(AND(AC110&gt;AE110,$AK93&gt;9,ISNUMBER(AC110),ISNUMBER(AE110)),1,0)</f>
        <v>1</v>
      </c>
      <c r="AD116" s="56"/>
      <c r="AE116" s="57">
        <f>IF(AND(AE110&gt;AC110,$AK93&gt;9,ISNUMBER(AC110),ISNUMBER(AE110)),1,0)</f>
        <v>0</v>
      </c>
      <c r="AW116" s="58"/>
    </row>
    <row r="117" spans="1:49" s="55" customFormat="1" ht="12.75" hidden="1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1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0</v>
      </c>
      <c r="I117" s="56"/>
      <c r="J117" s="57">
        <f>IF(AND(J111&gt;H111,$AK93&gt;2,$AK92&gt;1,ISNUMBER(H111),ISNUMBER(J111)),1,0)</f>
        <v>1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1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1</v>
      </c>
      <c r="R117" s="56"/>
      <c r="S117" s="57">
        <f>IF(AND(S111&gt;Q111,$AK93&gt;5,$AK92&gt;1,ISNUMBER(Q111),ISNUMBER(S111)),1,0)</f>
        <v>0</v>
      </c>
      <c r="T117" s="56">
        <f>IF(AND(T111&gt;V111,$AK93&gt;6,$AK92&gt;1,ISNUMBER(T111),ISNUMBER(V111)),1,0)</f>
        <v>1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1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1</v>
      </c>
      <c r="AC117" s="56">
        <f>IF(AND(AC111&gt;AE111,$AK93&gt;9,$AK92&gt;1,ISNUMBER(AC111),ISNUMBER(AE111)),1,0)</f>
        <v>1</v>
      </c>
      <c r="AD117" s="56"/>
      <c r="AE117" s="57">
        <f>IF(AND(AE111&gt;AC111,$AK93&gt;9,$AK92&gt;1,ISNUMBER(AC111),ISNUMBER(AE111)),1,0)</f>
        <v>0</v>
      </c>
      <c r="AW117" s="58"/>
    </row>
    <row r="118" spans="1:49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  <c r="AW118" s="58"/>
    </row>
    <row r="119" spans="1:49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  <c r="AW119" s="58"/>
    </row>
    <row r="120" spans="1:49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  <c r="AW120" s="58"/>
    </row>
    <row r="121" spans="1:49" s="55" customFormat="1" ht="38.25" hidden="1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2</v>
      </c>
      <c r="G121" s="60">
        <f>SUM(G116:G120)</f>
        <v>0</v>
      </c>
      <c r="H121" s="55">
        <f>SUM(H116:H120)</f>
        <v>0</v>
      </c>
      <c r="J121" s="60">
        <f>SUM(J116:J120)</f>
        <v>2</v>
      </c>
      <c r="K121" s="55">
        <f>SUM(K116:K120)</f>
        <v>1</v>
      </c>
      <c r="M121" s="60">
        <f>SUM(M116:M120)</f>
        <v>1</v>
      </c>
      <c r="N121" s="55">
        <f>SUM(N116:N120)</f>
        <v>2</v>
      </c>
      <c r="P121" s="60">
        <f>SUM(P116:P120)</f>
        <v>0</v>
      </c>
      <c r="Q121" s="55">
        <f>SUM(Q116:Q120)</f>
        <v>2</v>
      </c>
      <c r="S121" s="60">
        <f>SUM(S116:S120)</f>
        <v>0</v>
      </c>
      <c r="T121" s="55">
        <f>SUM(T116:T120)</f>
        <v>2</v>
      </c>
      <c r="V121" s="60">
        <f>SUM(V116:V120)</f>
        <v>0</v>
      </c>
      <c r="W121" s="55">
        <f>SUM(W116:W120)</f>
        <v>2</v>
      </c>
      <c r="Y121" s="60">
        <f>SUM(Y116:Y120)</f>
        <v>0</v>
      </c>
      <c r="Z121" s="55">
        <f>SUM(Z116:Z120)</f>
        <v>0</v>
      </c>
      <c r="AB121" s="60">
        <f>SUM(AB116:AB120)</f>
        <v>2</v>
      </c>
      <c r="AC121" s="55">
        <f>SUM(AC116:AC120)</f>
        <v>2</v>
      </c>
      <c r="AE121" s="60">
        <f>SUM(AE116:AE120)</f>
        <v>0</v>
      </c>
      <c r="AW121" s="58"/>
    </row>
    <row r="122" spans="1:49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1</v>
      </c>
      <c r="F122" s="55">
        <f>E122+G122</f>
        <v>1</v>
      </c>
      <c r="G122" s="60">
        <f>IF(G121&gt;E121,IF(F156=AK92,1,IF(F156=AK92-1,1,0)),0)</f>
        <v>0</v>
      </c>
      <c r="H122" s="55">
        <f>IF(H121&gt;J121,IF(I156=AK92,1,IF(I156=AK92-1,1,0)),0)</f>
        <v>0</v>
      </c>
      <c r="I122" s="55">
        <f>H122+J122</f>
        <v>1</v>
      </c>
      <c r="J122" s="60">
        <f>IF(J121&gt;H121,IF(I156=AK92,1,IF(I156=AK92-1,1,0)),0)</f>
        <v>1</v>
      </c>
      <c r="K122" s="55">
        <f>IF(K121&gt;M121,IF(L156=AK92,1,IF(L156=AK92-1,1,0)),0)</f>
        <v>0</v>
      </c>
      <c r="L122" s="55">
        <f>K122+M122</f>
        <v>0</v>
      </c>
      <c r="M122" s="60">
        <f>IF(M121&gt;K121,IF(L156=AK92,1,IF(L156=AK92-1,1,0)),0)</f>
        <v>0</v>
      </c>
      <c r="N122" s="55">
        <f>IF(N121&gt;P121,IF(O156=AK92,1,IF(O156=AK92-1,1,0)),0)</f>
        <v>1</v>
      </c>
      <c r="O122" s="55">
        <f>N122+P122</f>
        <v>1</v>
      </c>
      <c r="P122" s="60">
        <f>IF(P121&gt;N121,IF(O156=AK92,1,IF(O156=AK92-1,1,0)),0)</f>
        <v>0</v>
      </c>
      <c r="Q122" s="55">
        <f>IF(Q121&gt;S121,IF(R156=AK92,1,IF(R156=AK92-1,1,0)),0)</f>
        <v>1</v>
      </c>
      <c r="R122" s="55">
        <f>Q122+S122</f>
        <v>1</v>
      </c>
      <c r="S122" s="60">
        <f>IF(S121&gt;Q121,IF(R156=AK92,1,IF(R156=AK92-1,1,0)),0)</f>
        <v>0</v>
      </c>
      <c r="T122" s="55">
        <f>IF(T121&gt;V121,IF(U156=AK92,1,IF(U156=AK92-1,1,0)),0)</f>
        <v>1</v>
      </c>
      <c r="U122" s="55">
        <f>T122+V122</f>
        <v>1</v>
      </c>
      <c r="V122" s="60">
        <f>IF(V121&gt;T121,IF(U156=AK92,1,IF(U156=AK92-1,1,0)),0)</f>
        <v>0</v>
      </c>
      <c r="W122" s="55">
        <f>IF(W121&gt;Y121,IF(X156=AK92,1,IF(X156=AK92-1,1,0)),0)</f>
        <v>1</v>
      </c>
      <c r="X122" s="55">
        <f>W122+Y122</f>
        <v>1</v>
      </c>
      <c r="Y122" s="60">
        <f>IF(Y121&gt;W121,IF(X156=AK92,1,IF(X156=AK92-1,1,0)),0)</f>
        <v>0</v>
      </c>
      <c r="Z122" s="55">
        <f>IF(Z121&gt;AB121,IF(AA156=AK92,1,IF(AA156=AK92-1,1,0)),0)</f>
        <v>0</v>
      </c>
      <c r="AA122" s="55">
        <f>Z122+AB122</f>
        <v>1</v>
      </c>
      <c r="AB122" s="60">
        <f>IF(AB121&gt;Z121,IF(AA156=AK92,1,IF(AA156=AK92-1,1,0)),0)</f>
        <v>1</v>
      </c>
      <c r="AC122" s="55">
        <f>IF(AC121&gt;AE121,IF(AD156=AK92,1,IF(AD156=AK92-1,1,0)),0)</f>
        <v>1</v>
      </c>
      <c r="AD122" s="55">
        <f>AC122+AE122</f>
        <v>1</v>
      </c>
      <c r="AE122" s="60">
        <f>IF(AE121&gt;AC121,IF(AD156=AK92,1,IF(AD156=AK92-1,1,0)),0)</f>
        <v>0</v>
      </c>
      <c r="AW122" s="58"/>
    </row>
    <row r="123" spans="1:49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  <c r="AW123" s="58"/>
    </row>
    <row r="124" spans="1:49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25</v>
      </c>
      <c r="G124" s="60">
        <f t="shared" ref="G124:H128" si="12">IF(G116=1,G110,0)</f>
        <v>0</v>
      </c>
      <c r="H124" s="55">
        <f t="shared" si="12"/>
        <v>0</v>
      </c>
      <c r="J124" s="60">
        <f t="shared" ref="J124:K128" si="13">IF(J116=1,J110,0)</f>
        <v>25</v>
      </c>
      <c r="K124" s="55">
        <f t="shared" si="13"/>
        <v>0</v>
      </c>
      <c r="M124" s="60">
        <f t="shared" ref="M124:N128" si="14">IF(M116=1,M110,0)</f>
        <v>25</v>
      </c>
      <c r="N124" s="55">
        <f t="shared" si="14"/>
        <v>25</v>
      </c>
      <c r="P124" s="60">
        <f t="shared" ref="P124:Q128" si="15">IF(P116=1,P110,0)</f>
        <v>0</v>
      </c>
      <c r="Q124" s="55">
        <f t="shared" si="15"/>
        <v>25</v>
      </c>
      <c r="S124" s="60">
        <f t="shared" ref="S124:T128" si="16">IF(S116=1,S110,0)</f>
        <v>0</v>
      </c>
      <c r="T124" s="55">
        <f t="shared" si="16"/>
        <v>25</v>
      </c>
      <c r="V124" s="60">
        <f t="shared" ref="V124:W128" si="17">IF(V116=1,V110,0)</f>
        <v>0</v>
      </c>
      <c r="W124" s="55">
        <f t="shared" si="17"/>
        <v>25</v>
      </c>
      <c r="Y124" s="60">
        <f t="shared" ref="Y124:Z128" si="18">IF(Y116=1,Y110,0)</f>
        <v>0</v>
      </c>
      <c r="Z124" s="55">
        <f t="shared" si="18"/>
        <v>0</v>
      </c>
      <c r="AB124" s="60">
        <f t="shared" ref="AB124:AC128" si="19">IF(AB116=1,AB110,0)</f>
        <v>25</v>
      </c>
      <c r="AC124" s="55">
        <f t="shared" si="19"/>
        <v>25</v>
      </c>
      <c r="AE124" s="60">
        <f>IF(AE116=1,AE110,0)</f>
        <v>0</v>
      </c>
      <c r="AW124" s="58"/>
    </row>
    <row r="125" spans="1:49" s="55" customFormat="1" ht="12.75" hidden="1" customHeight="1" x14ac:dyDescent="0.2">
      <c r="A125" s="55" t="s">
        <v>89</v>
      </c>
      <c r="B125" s="55">
        <f>IF(B117=1,B111,0)</f>
        <v>25</v>
      </c>
      <c r="D125" s="60">
        <f t="shared" si="11"/>
        <v>0</v>
      </c>
      <c r="E125" s="55">
        <f t="shared" si="11"/>
        <v>26</v>
      </c>
      <c r="G125" s="60">
        <f t="shared" si="12"/>
        <v>0</v>
      </c>
      <c r="H125" s="55">
        <f t="shared" si="12"/>
        <v>0</v>
      </c>
      <c r="J125" s="60">
        <f t="shared" si="13"/>
        <v>25</v>
      </c>
      <c r="K125" s="55">
        <f t="shared" si="13"/>
        <v>25</v>
      </c>
      <c r="M125" s="60">
        <f t="shared" si="14"/>
        <v>0</v>
      </c>
      <c r="N125" s="55">
        <f t="shared" si="14"/>
        <v>25</v>
      </c>
      <c r="P125" s="60">
        <f t="shared" si="15"/>
        <v>0</v>
      </c>
      <c r="Q125" s="55">
        <f t="shared" si="15"/>
        <v>25</v>
      </c>
      <c r="S125" s="60">
        <f t="shared" si="16"/>
        <v>0</v>
      </c>
      <c r="T125" s="55">
        <f t="shared" si="16"/>
        <v>25</v>
      </c>
      <c r="V125" s="60">
        <f t="shared" si="17"/>
        <v>0</v>
      </c>
      <c r="W125" s="55">
        <f t="shared" si="17"/>
        <v>25</v>
      </c>
      <c r="Y125" s="60">
        <f t="shared" si="18"/>
        <v>0</v>
      </c>
      <c r="Z125" s="55">
        <f t="shared" si="18"/>
        <v>0</v>
      </c>
      <c r="AB125" s="60">
        <f t="shared" si="19"/>
        <v>25</v>
      </c>
      <c r="AC125" s="55">
        <f t="shared" si="19"/>
        <v>25</v>
      </c>
      <c r="AE125" s="60">
        <f>IF(AE117=1,AE111,0)</f>
        <v>0</v>
      </c>
      <c r="AW125" s="58"/>
    </row>
    <row r="126" spans="1:49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  <c r="AW126" s="58"/>
    </row>
    <row r="127" spans="1:49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  <c r="AW127" s="58"/>
    </row>
    <row r="128" spans="1:49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  <c r="AW128" s="58"/>
    </row>
    <row r="129" spans="1:49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51</v>
      </c>
      <c r="G129" s="60"/>
      <c r="H129" s="55">
        <f>SUM(H124:J128)</f>
        <v>50</v>
      </c>
      <c r="J129" s="60"/>
      <c r="K129" s="55">
        <f>SUM(K124:M128)</f>
        <v>50</v>
      </c>
      <c r="M129" s="60"/>
      <c r="N129" s="55">
        <f>SUM(N124:P128)</f>
        <v>50</v>
      </c>
      <c r="P129" s="60"/>
      <c r="Q129" s="55">
        <f>SUM(Q124:S128)</f>
        <v>50</v>
      </c>
      <c r="S129" s="60"/>
      <c r="T129" s="55">
        <f>SUM(T124:V128)</f>
        <v>50</v>
      </c>
      <c r="V129" s="60"/>
      <c r="W129" s="55">
        <f>SUM(W124:Y128)</f>
        <v>50</v>
      </c>
      <c r="Y129" s="60"/>
      <c r="Z129" s="55">
        <f>SUM(Z124:AB128)</f>
        <v>50</v>
      </c>
      <c r="AB129" s="60"/>
      <c r="AC129" s="55">
        <f>SUM(AC124:AE128)</f>
        <v>50</v>
      </c>
      <c r="AE129" s="60"/>
      <c r="AW129" s="58"/>
    </row>
    <row r="130" spans="1:49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  <c r="AW130" s="58"/>
    </row>
    <row r="131" spans="1:49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1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1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1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1</v>
      </c>
      <c r="AE131" s="60">
        <f>IF(AE109=1,IF(AE122=1,1,0),0)</f>
        <v>0</v>
      </c>
      <c r="AF131" s="55">
        <f>SUM(B131:AE131)</f>
        <v>4</v>
      </c>
      <c r="AG131" s="55">
        <f>AF137-AF131</f>
        <v>0</v>
      </c>
      <c r="AW131" s="58"/>
    </row>
    <row r="132" spans="1:49" s="55" customFormat="1" ht="12.75" hidden="1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0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1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2</v>
      </c>
      <c r="AG132" s="55">
        <f>AF138-AF132</f>
        <v>1</v>
      </c>
      <c r="AW132" s="58"/>
    </row>
    <row r="133" spans="1:49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0</v>
      </c>
      <c r="AG133" s="55">
        <f>AF139-AF133</f>
        <v>4</v>
      </c>
      <c r="AW133" s="58"/>
    </row>
    <row r="134" spans="1:49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1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1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2</v>
      </c>
      <c r="AG134" s="55">
        <f>AF140-AF134</f>
        <v>1</v>
      </c>
      <c r="AW134" s="58"/>
    </row>
    <row r="135" spans="1:49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1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1</v>
      </c>
      <c r="AG135" s="55">
        <f>AF141-AF135</f>
        <v>3</v>
      </c>
      <c r="AW135" s="58"/>
    </row>
    <row r="136" spans="1:49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  <c r="AW136" s="58"/>
    </row>
    <row r="137" spans="1:49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0</v>
      </c>
      <c r="M137" s="60">
        <f>IF(M109=1,IF(L122=1,1,0),0)</f>
        <v>0</v>
      </c>
      <c r="N137" s="55">
        <f>IF(N109=1,IF(O122=1,1,0),0)</f>
        <v>1</v>
      </c>
      <c r="P137" s="60">
        <f>IF(P109=1,IF(O122=1,1,0),0)</f>
        <v>0</v>
      </c>
      <c r="Q137" s="55">
        <f>IF(Q109=1,IF(R122=1,1,0),0)</f>
        <v>0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1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1</v>
      </c>
      <c r="AE137" s="60">
        <f>IF(AE109=1,IF(AD122=1,1,0),0)</f>
        <v>0</v>
      </c>
      <c r="AF137" s="55">
        <f>SUM(B137:AE137)</f>
        <v>4</v>
      </c>
      <c r="AW137" s="58"/>
    </row>
    <row r="138" spans="1:49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0</v>
      </c>
      <c r="K138" s="55">
        <f>IF(K109=2,IF(L122=1,1,0),0)</f>
        <v>0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0</v>
      </c>
      <c r="T138" s="55">
        <f>IF(T109=2,IF(U122=1,1,0),0)</f>
        <v>1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1</v>
      </c>
      <c r="AF138" s="55">
        <f>SUM(B138:AE138)</f>
        <v>3</v>
      </c>
      <c r="AW138" s="58"/>
    </row>
    <row r="139" spans="1:49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0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1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0</v>
      </c>
      <c r="N139" s="55">
        <f>IF(N109=3,IF(O122=1,1,0),0)</f>
        <v>0</v>
      </c>
      <c r="P139" s="60">
        <f>IF(P109=3,IF(O122=1,1,0),0)</f>
        <v>1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1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1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4</v>
      </c>
      <c r="AW139" s="58"/>
    </row>
    <row r="140" spans="1:49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0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1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1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3</v>
      </c>
      <c r="AW140" s="58"/>
    </row>
    <row r="141" spans="1:49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1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1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1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1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4</v>
      </c>
      <c r="AW141" s="58"/>
    </row>
    <row r="142" spans="1:49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328"/>
      <c r="AH142" s="328"/>
      <c r="AI142" s="328"/>
      <c r="AJ142" s="328"/>
      <c r="AK142" s="328"/>
      <c r="AW142" s="58"/>
    </row>
    <row r="143" spans="1:49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51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0</v>
      </c>
      <c r="M143" s="60">
        <f>IF(M109=1,K129,0)</f>
        <v>0</v>
      </c>
      <c r="N143" s="55">
        <f>IF(N109=1,N129,0)</f>
        <v>50</v>
      </c>
      <c r="P143" s="60">
        <f>IF(P109=1,N129,0)</f>
        <v>0</v>
      </c>
      <c r="Q143" s="55">
        <f>IF(Q109=1,Q129,0)</f>
        <v>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50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50</v>
      </c>
      <c r="AE143" s="60">
        <f>IF(AE109=1,AC129,0)</f>
        <v>0</v>
      </c>
      <c r="AF143" s="55">
        <f>SUM(B143:AE143)</f>
        <v>201</v>
      </c>
      <c r="AW143" s="58"/>
    </row>
    <row r="144" spans="1:49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0</v>
      </c>
      <c r="J144" s="60">
        <f>IF(J109=2,H129,0)</f>
        <v>0</v>
      </c>
      <c r="K144" s="55">
        <f>IF(K109=2,K129,0)</f>
        <v>50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0</v>
      </c>
      <c r="T144" s="55">
        <f>IF(T109=2,T129,0)</f>
        <v>50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50</v>
      </c>
      <c r="AF144" s="55">
        <f>SUM(B144:AE144)</f>
        <v>200</v>
      </c>
      <c r="AW144" s="58"/>
    </row>
    <row r="145" spans="1:49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0</v>
      </c>
      <c r="E145" s="55">
        <f>IF(E109=3,E129,0)</f>
        <v>0</v>
      </c>
      <c r="G145" s="60">
        <f>IF(G109=3,E129,0)</f>
        <v>0</v>
      </c>
      <c r="H145" s="55">
        <f>IF(H109=3,H129,0)</f>
        <v>50</v>
      </c>
      <c r="J145" s="60">
        <f>IF(J109=3,H129,0)</f>
        <v>0</v>
      </c>
      <c r="K145" s="55">
        <f>IF(K109=3,K129,0)</f>
        <v>0</v>
      </c>
      <c r="M145" s="60">
        <f>IF(M109=3,K129,0)</f>
        <v>0</v>
      </c>
      <c r="N145" s="55">
        <f>IF(N109=3,N129,0)</f>
        <v>0</v>
      </c>
      <c r="P145" s="60">
        <f>IF(P109=3,N129,0)</f>
        <v>50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50</v>
      </c>
      <c r="W145" s="55">
        <f>IF(W109=3,W129,0)</f>
        <v>0</v>
      </c>
      <c r="Y145" s="60">
        <f>IF(Y109=3,W129,0)</f>
        <v>0</v>
      </c>
      <c r="Z145" s="55">
        <f>IF(Z109=3,Z129,0)</f>
        <v>50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200</v>
      </c>
      <c r="AW145" s="58"/>
    </row>
    <row r="146" spans="1:49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51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50</v>
      </c>
      <c r="N146" s="55">
        <f>IF(N109=4,N129,0)</f>
        <v>0</v>
      </c>
      <c r="P146" s="60">
        <f>IF(P109=4,N129,0)</f>
        <v>0</v>
      </c>
      <c r="Q146" s="55">
        <f>IF(Q109=4,Q129,0)</f>
        <v>50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50</v>
      </c>
      <c r="AC146" s="55">
        <f>IF(AC109=4,AC129,0)</f>
        <v>0</v>
      </c>
      <c r="AE146" s="60">
        <f>IF(AE109=4,AC129,0)</f>
        <v>0</v>
      </c>
      <c r="AF146" s="55">
        <f>SUM(B146:AE146)</f>
        <v>201</v>
      </c>
      <c r="AW146" s="58"/>
    </row>
    <row r="147" spans="1:49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50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50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50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50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200</v>
      </c>
      <c r="AW147" s="58"/>
    </row>
    <row r="148" spans="1:49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  <c r="AW148" s="58"/>
    </row>
    <row r="149" spans="1:49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2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2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2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2</v>
      </c>
      <c r="AE149" s="60">
        <f>IF(AE109=1,SUMIF(AE116:AE120,"&gt;0"),0)</f>
        <v>0</v>
      </c>
      <c r="AF149" s="55">
        <f>SUM(B149:AE149)</f>
        <v>8</v>
      </c>
      <c r="AG149" s="55">
        <f>AF157-AF149</f>
        <v>0</v>
      </c>
      <c r="AW149" s="58"/>
    </row>
    <row r="150" spans="1:49" s="55" customFormat="1" ht="12.75" hidden="1" customHeight="1" x14ac:dyDescent="0.2">
      <c r="A150" s="55" t="s">
        <v>98</v>
      </c>
      <c r="B150" s="55">
        <f>IF(B109=2,SUMIF(B116:B120,"&gt;0"),0)</f>
        <v>2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1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2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0</v>
      </c>
      <c r="AF150" s="55">
        <f>SUM(B150:AE150)</f>
        <v>5</v>
      </c>
      <c r="AG150" s="55">
        <f>AF158-AF150</f>
        <v>3</v>
      </c>
      <c r="AW150" s="58"/>
    </row>
    <row r="151" spans="1:49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0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0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0</v>
      </c>
      <c r="AG151" s="55">
        <f>AF159-AF151</f>
        <v>8</v>
      </c>
      <c r="AW151" s="58"/>
    </row>
    <row r="152" spans="1:49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1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2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2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5</v>
      </c>
      <c r="AG152" s="55">
        <f>AF160-AF152</f>
        <v>3</v>
      </c>
      <c r="AW152" s="58"/>
    </row>
    <row r="153" spans="1:49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2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2</v>
      </c>
      <c r="AG153" s="55">
        <f>AF161-AF153</f>
        <v>6</v>
      </c>
      <c r="AW153" s="58"/>
    </row>
    <row r="154" spans="1:49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  <c r="AW154" s="58"/>
    </row>
    <row r="155" spans="1:49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  <c r="AW155" s="58"/>
    </row>
    <row r="156" spans="1:49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2</v>
      </c>
      <c r="V156" s="60"/>
      <c r="X156" s="55">
        <f>SUMIF(W149:Y153,"&gt;0")</f>
        <v>2</v>
      </c>
      <c r="Y156" s="60"/>
      <c r="AA156" s="55">
        <f>SUMIF(Z149:AB153,"&gt;0")</f>
        <v>2</v>
      </c>
      <c r="AB156" s="60"/>
      <c r="AD156" s="55">
        <f>SUMIF(AC149:AE153,"&gt;0")</f>
        <v>2</v>
      </c>
      <c r="AE156" s="60"/>
      <c r="AF156" s="59" t="s">
        <v>113</v>
      </c>
      <c r="AW156" s="58"/>
    </row>
    <row r="157" spans="1:49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0</v>
      </c>
      <c r="M157" s="60">
        <f>IF(M109=1,L156,0)</f>
        <v>0</v>
      </c>
      <c r="N157" s="55">
        <f>IF(N109=1,O156,0)</f>
        <v>2</v>
      </c>
      <c r="P157" s="60">
        <f>IF(P109=1,O156,0)</f>
        <v>0</v>
      </c>
      <c r="Q157" s="55">
        <f>IF(Q109=1,R156,0)</f>
        <v>0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2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2</v>
      </c>
      <c r="AE157" s="60">
        <f>IF(AE109=1,AD156,0)</f>
        <v>0</v>
      </c>
      <c r="AF157" s="55">
        <f>SUM(B157:AE157)</f>
        <v>8</v>
      </c>
      <c r="AW157" s="58"/>
    </row>
    <row r="158" spans="1:49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0</v>
      </c>
      <c r="J158" s="60">
        <f>IF(J109=2,I156,0)</f>
        <v>0</v>
      </c>
      <c r="K158" s="55">
        <f>IF(K109=2,L156,0)</f>
        <v>2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0</v>
      </c>
      <c r="T158" s="55">
        <f>IF(T109=2,U156,0)</f>
        <v>2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2</v>
      </c>
      <c r="AF158" s="55">
        <f>SUM(B158:AE158)</f>
        <v>8</v>
      </c>
      <c r="AW158" s="58"/>
    </row>
    <row r="159" spans="1:49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0</v>
      </c>
      <c r="E159" s="55">
        <f>IF(E109=3,F156,0)</f>
        <v>0</v>
      </c>
      <c r="G159" s="60">
        <f>IF(G109=3,F156,0)</f>
        <v>0</v>
      </c>
      <c r="H159" s="55">
        <f>IF(H109=3,I156,0)</f>
        <v>2</v>
      </c>
      <c r="J159" s="60">
        <f>IF(J109=3,I156,0)</f>
        <v>0</v>
      </c>
      <c r="K159" s="55">
        <f>IF(K109=3,L156,0)</f>
        <v>0</v>
      </c>
      <c r="M159" s="60">
        <f>IF(M109=3,L156,0)</f>
        <v>0</v>
      </c>
      <c r="N159" s="55">
        <f>IF(N109=3,O156,0)</f>
        <v>0</v>
      </c>
      <c r="P159" s="60">
        <f>IF(P109=3,O156,0)</f>
        <v>2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2</v>
      </c>
      <c r="W159" s="55">
        <f>IF(W109=3,X156,0)</f>
        <v>0</v>
      </c>
      <c r="Y159" s="60">
        <f>IF(Y109=3,X156,0)</f>
        <v>0</v>
      </c>
      <c r="Z159" s="55">
        <f>IF(Z109=3,AA156,0)</f>
        <v>2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8</v>
      </c>
      <c r="AW159" s="58"/>
    </row>
    <row r="160" spans="1:49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2</v>
      </c>
      <c r="N160" s="55">
        <f>IF(N109=4,O156,0)</f>
        <v>0</v>
      </c>
      <c r="P160" s="60">
        <f>IF(P109=4,O156,0)</f>
        <v>0</v>
      </c>
      <c r="Q160" s="55">
        <f>IF(Q109=4,R156,0)</f>
        <v>2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2</v>
      </c>
      <c r="AC160" s="55">
        <f>IF(AC109=4,AD156,0)</f>
        <v>0</v>
      </c>
      <c r="AE160" s="60">
        <f>IF(AE109=4,AD156,0)</f>
        <v>0</v>
      </c>
      <c r="AF160" s="55">
        <f>SUM(B160:AE160)</f>
        <v>8</v>
      </c>
      <c r="AW160" s="58"/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2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2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2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2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8</v>
      </c>
      <c r="AW161" s="58"/>
    </row>
    <row r="162" spans="1:54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BB162" s="130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Lake Murray 14 Black</v>
      </c>
      <c r="C164" s="67">
        <f>VLOOKUP(B164,AU$3:AY$12,3,FALSE)</f>
        <v>1952.1722411424284</v>
      </c>
      <c r="D164" s="67">
        <f>IF(B157,B172,IF(D157,D172,C164))</f>
        <v>1952.1722411424284</v>
      </c>
      <c r="E164" s="67"/>
      <c r="F164" s="67"/>
      <c r="G164" s="67">
        <f>IF(E157,E172,IF(G157,G172,D164))</f>
        <v>1981.1030999658888</v>
      </c>
      <c r="H164" s="67"/>
      <c r="I164" s="67"/>
      <c r="J164" s="67">
        <f>IF(H157,H172,IF(J157,J172,G164))</f>
        <v>1981.1030999658888</v>
      </c>
      <c r="K164" s="67"/>
      <c r="L164" s="67"/>
      <c r="M164" s="67">
        <f>IF(K157,K172,IF(M157,M172,J164))</f>
        <v>1981.1030999658888</v>
      </c>
      <c r="N164" s="67"/>
      <c r="O164" s="67"/>
      <c r="P164" s="67">
        <f>IF(N157,N172,IF(P157,P172,M164))</f>
        <v>2001.1110193692668</v>
      </c>
      <c r="Q164" s="67"/>
      <c r="R164" s="67"/>
      <c r="S164" s="67">
        <f>IF(Q157,Q172,IF(S157,S172,P164))</f>
        <v>2001.1110193692668</v>
      </c>
      <c r="T164" s="67"/>
      <c r="U164" s="67"/>
      <c r="V164" s="67">
        <f>IF(T157,T172,IF(V157,V172,S164))</f>
        <v>2001.1110193692668</v>
      </c>
      <c r="W164" s="67"/>
      <c r="X164" s="67"/>
      <c r="Y164" s="67">
        <f>IF(W157,W172,IF(Y157,Y172,V164))</f>
        <v>2016.3825669863879</v>
      </c>
      <c r="Z164" s="67"/>
      <c r="AA164" s="67"/>
      <c r="AB164" s="67">
        <f>IF(Z157,Z172,IF(AB157,AB172,Y164))</f>
        <v>2016.3825669863879</v>
      </c>
      <c r="AC164" s="67"/>
      <c r="AD164" s="67"/>
      <c r="AE164" s="67">
        <f>IF(AC157,AC172,IF(AE157,AE172,AB164))</f>
        <v>2043.2791651722152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Lake Murray 14 Black</v>
      </c>
      <c r="AU164" s="63">
        <f>AE164</f>
        <v>2043.2791651722152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Columbia SC Starlings 14</v>
      </c>
      <c r="C165" s="67">
        <f>VLOOKUP(B165,AU$3:AY$12,3,FALSE)</f>
        <v>1921.8901473006756</v>
      </c>
      <c r="D165" s="67">
        <f>IF(B158,B172,IF(D158,D172,C165))</f>
        <v>1943.5845438099516</v>
      </c>
      <c r="E165" s="67"/>
      <c r="F165" s="67"/>
      <c r="G165" s="67">
        <f>IF(E158,E172,IF(G158,G172,D165))</f>
        <v>1943.5845438099516</v>
      </c>
      <c r="H165" s="67"/>
      <c r="I165" s="67"/>
      <c r="J165" s="67">
        <f>IF(H158,H172,IF(J158,J172,G165))</f>
        <v>1943.5845438099516</v>
      </c>
      <c r="K165" s="67"/>
      <c r="L165" s="67"/>
      <c r="M165" s="67">
        <f>IF(K158,K172,IF(M158,M172,J165))</f>
        <v>1938.6714260658639</v>
      </c>
      <c r="N165" s="67"/>
      <c r="O165" s="67"/>
      <c r="P165" s="67">
        <f>IF(N158,N172,IF(P158,P172,M165))</f>
        <v>1938.6714260658639</v>
      </c>
      <c r="Q165" s="67"/>
      <c r="R165" s="67"/>
      <c r="S165" s="67">
        <f>IF(Q158,Q172,IF(S158,S172,P165))</f>
        <v>1938.6714260658639</v>
      </c>
      <c r="T165" s="67"/>
      <c r="U165" s="67"/>
      <c r="V165" s="67">
        <f>IF(T158,T172,IF(V158,V172,S165))</f>
        <v>1960.4960171471466</v>
      </c>
      <c r="W165" s="67"/>
      <c r="X165" s="67"/>
      <c r="Y165" s="67">
        <f>IF(W158,W172,IF(Y158,Y172,V165))</f>
        <v>1960.4960171471466</v>
      </c>
      <c r="Z165" s="67"/>
      <c r="AA165" s="67"/>
      <c r="AB165" s="67">
        <f>IF(Z158,Z172,IF(AB158,AB172,Y165))</f>
        <v>1960.4960171471466</v>
      </c>
      <c r="AC165" s="67"/>
      <c r="AD165" s="67"/>
      <c r="AE165" s="67">
        <f>IF(AC158,AC172,IF(AE158,AE172,AB165))</f>
        <v>1933.5994189613193</v>
      </c>
      <c r="AF165" s="4"/>
      <c r="AG165" s="4"/>
      <c r="AJ165" s="4"/>
      <c r="AL165" s="4"/>
      <c r="AM165" s="4"/>
      <c r="AN165" s="4"/>
      <c r="AO165" s="4"/>
      <c r="AT165" s="63" t="str">
        <f>B165</f>
        <v>Columbia SC Starlings 14</v>
      </c>
      <c r="AU165" s="63">
        <f>AE165</f>
        <v>1933.5994189613193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VolleyOneAcademy 14-Taisa</v>
      </c>
      <c r="C166" s="67">
        <f>VLOOKUP(B166,AU$3:AY$12,3,FALSE)</f>
        <v>1885.2929818149187</v>
      </c>
      <c r="D166" s="67">
        <f>IF(B159,B172,IF(D159,D172,C166))</f>
        <v>1885.2929818149187</v>
      </c>
      <c r="E166" s="67"/>
      <c r="F166" s="67"/>
      <c r="G166" s="67">
        <f>IF(E159,E172,IF(G159,G172,D166))</f>
        <v>1885.2929818149187</v>
      </c>
      <c r="H166" s="67"/>
      <c r="I166" s="67"/>
      <c r="J166" s="67">
        <f>IF(H159,H172,IF(J159,J172,G166))</f>
        <v>1844.2340707468261</v>
      </c>
      <c r="K166" s="67"/>
      <c r="L166" s="67"/>
      <c r="M166" s="67">
        <f>IF(K159,K172,IF(M159,M172,J166))</f>
        <v>1844.2340707468261</v>
      </c>
      <c r="N166" s="67"/>
      <c r="O166" s="67"/>
      <c r="P166" s="67">
        <f>IF(N159,N172,IF(P159,P172,M166))</f>
        <v>1824.226151343448</v>
      </c>
      <c r="Q166" s="67"/>
      <c r="R166" s="67"/>
      <c r="S166" s="67">
        <f>IF(Q159,Q172,IF(S159,S172,P166))</f>
        <v>1824.226151343448</v>
      </c>
      <c r="T166" s="67"/>
      <c r="U166" s="67"/>
      <c r="V166" s="67">
        <f>IF(T159,T172,IF(V159,V172,S166))</f>
        <v>1802.4015602621653</v>
      </c>
      <c r="W166" s="67"/>
      <c r="X166" s="67"/>
      <c r="Y166" s="67">
        <f>IF(W159,W172,IF(Y159,Y172,V166))</f>
        <v>1802.4015602621653</v>
      </c>
      <c r="Z166" s="67"/>
      <c r="AA166" s="67"/>
      <c r="AB166" s="67">
        <f>IF(Z159,Z172,IF(AB159,AB172,Y166))</f>
        <v>1780.8711874278245</v>
      </c>
      <c r="AC166" s="67"/>
      <c r="AD166" s="67"/>
      <c r="AE166" s="67">
        <f>IF(AC159,AC172,IF(AE159,AE172,AB166))</f>
        <v>1780.8711874278245</v>
      </c>
      <c r="AF166" s="4"/>
      <c r="AG166" s="4"/>
      <c r="AJ166" s="4"/>
      <c r="AL166" s="4"/>
      <c r="AM166" s="4"/>
      <c r="AN166" s="4"/>
      <c r="AO166" s="4"/>
      <c r="AT166" s="63" t="str">
        <f>B166</f>
        <v>VolleyOneAcademy 14-Taisa</v>
      </c>
      <c r="AU166" s="63">
        <f>AE166</f>
        <v>1780.8711874278245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OLC 14s Purple Elite</v>
      </c>
      <c r="C167" s="67">
        <f>VLOOKUP(B167,AU$3:AY$12,3,FALSE)</f>
        <v>1918.746719402327</v>
      </c>
      <c r="D167" s="67">
        <f>IF(B160,B172,IF(D160,D172,C167))</f>
        <v>1918.746719402327</v>
      </c>
      <c r="E167" s="67"/>
      <c r="F167" s="67"/>
      <c r="G167" s="67">
        <f>IF(E160,E172,IF(G160,G172,D167))</f>
        <v>1889.8158605788667</v>
      </c>
      <c r="H167" s="67"/>
      <c r="I167" s="67"/>
      <c r="J167" s="67">
        <f>IF(H160,H172,IF(J160,J172,G167))</f>
        <v>1889.8158605788667</v>
      </c>
      <c r="K167" s="67"/>
      <c r="L167" s="67"/>
      <c r="M167" s="67">
        <f>IF(K160,K172,IF(M160,M172,J167))</f>
        <v>1894.7289783229544</v>
      </c>
      <c r="N167" s="67"/>
      <c r="O167" s="67"/>
      <c r="P167" s="67">
        <f>IF(N160,N172,IF(P160,P172,M167))</f>
        <v>1894.7289783229544</v>
      </c>
      <c r="Q167" s="67"/>
      <c r="R167" s="67"/>
      <c r="S167" s="67">
        <f>IF(Q160,Q172,IF(S160,S172,P167))</f>
        <v>1920.4123194543149</v>
      </c>
      <c r="T167" s="67"/>
      <c r="U167" s="67"/>
      <c r="V167" s="67">
        <f>IF(T160,T172,IF(V160,V172,S167))</f>
        <v>1920.4123194543149</v>
      </c>
      <c r="W167" s="67"/>
      <c r="X167" s="67"/>
      <c r="Y167" s="67">
        <f>IF(W160,W172,IF(Y160,Y172,V167))</f>
        <v>1920.4123194543149</v>
      </c>
      <c r="Z167" s="67"/>
      <c r="AA167" s="67"/>
      <c r="AB167" s="67">
        <f>IF(Z160,Z172,IF(AB160,AB172,Y167))</f>
        <v>1941.9426922886557</v>
      </c>
      <c r="AC167" s="67"/>
      <c r="AD167" s="67"/>
      <c r="AE167" s="67">
        <f>IF(AC160,AC172,IF(AE160,AE172,AB167))</f>
        <v>1941.9426922886557</v>
      </c>
      <c r="AF167" s="4"/>
      <c r="AG167" s="4"/>
      <c r="AJ167" s="4"/>
      <c r="AL167" s="4"/>
      <c r="AM167" s="4"/>
      <c r="AN167" s="4"/>
      <c r="AO167" s="4"/>
      <c r="AT167" s="63" t="str">
        <f>B167</f>
        <v>OLC 14s Purple Elite</v>
      </c>
      <c r="AU167" s="63">
        <f>AE167</f>
        <v>1941.9426922886557</v>
      </c>
      <c r="AW167" s="66"/>
      <c r="BB167" s="66"/>
    </row>
    <row r="168" spans="1:54" s="63" customFormat="1" hidden="1" x14ac:dyDescent="0.2">
      <c r="A168" s="67">
        <v>5</v>
      </c>
      <c r="B168" s="67" t="str">
        <f>E101</f>
        <v>SC Midlands 14 Black</v>
      </c>
      <c r="C168" s="67">
        <f>VLOOKUP(B168,AU$3:AY$12,3,FALSE)</f>
        <v>1805.8700188425732</v>
      </c>
      <c r="D168" s="67">
        <f>IF(B161,B172,IF(D161,D172,C168))</f>
        <v>1784.1756223332973</v>
      </c>
      <c r="E168" s="67"/>
      <c r="F168" s="67"/>
      <c r="G168" s="67">
        <f>IF(E161,E172,IF(G161,G172,D168))</f>
        <v>1784.1756223332973</v>
      </c>
      <c r="H168" s="67"/>
      <c r="I168" s="67"/>
      <c r="J168" s="67">
        <f>IF(H161,H172,IF(J161,J172,G168))</f>
        <v>1825.2345334013899</v>
      </c>
      <c r="K168" s="67"/>
      <c r="L168" s="67"/>
      <c r="M168" s="67">
        <f>IF(K161,K172,IF(M161,M172,J168))</f>
        <v>1825.2345334013899</v>
      </c>
      <c r="N168" s="67"/>
      <c r="O168" s="67"/>
      <c r="P168" s="67">
        <f>IF(N161,N172,IF(P161,P172,M168))</f>
        <v>1825.2345334013899</v>
      </c>
      <c r="Q168" s="67"/>
      <c r="R168" s="67"/>
      <c r="S168" s="67">
        <f>IF(Q161,Q172,IF(S161,S172,P168))</f>
        <v>1799.5511922700293</v>
      </c>
      <c r="T168" s="67"/>
      <c r="U168" s="67"/>
      <c r="V168" s="67">
        <f>IF(T161,T172,IF(V161,V172,S168))</f>
        <v>1799.5511922700293</v>
      </c>
      <c r="W168" s="67"/>
      <c r="X168" s="67"/>
      <c r="Y168" s="67">
        <f>IF(W161,W172,IF(Y161,Y172,V168))</f>
        <v>1784.2796446529082</v>
      </c>
      <c r="Z168" s="67"/>
      <c r="AA168" s="67"/>
      <c r="AB168" s="67">
        <f>IF(Z161,Z172,IF(AB161,AB172,Y168))</f>
        <v>1784.2796446529082</v>
      </c>
      <c r="AC168" s="67"/>
      <c r="AD168" s="67"/>
      <c r="AE168" s="67">
        <f>IF(AC161,AC172,IF(AE161,AE172,AB168))</f>
        <v>1784.2796446529082</v>
      </c>
      <c r="AF168" s="4"/>
      <c r="AG168" s="4"/>
      <c r="AJ168" s="4"/>
      <c r="AL168" s="4"/>
      <c r="AM168" s="4"/>
      <c r="AN168" s="4"/>
      <c r="AO168" s="4"/>
      <c r="AT168" s="63" t="str">
        <f>B168</f>
        <v>SC Midlands 14 Black</v>
      </c>
      <c r="AU168" s="63">
        <f>AE168</f>
        <v>1784.2796446529082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1921.8901473006756</v>
      </c>
      <c r="C170" s="67">
        <v>1</v>
      </c>
      <c r="D170" s="67">
        <f>VLOOKUP(D109,$A164:$AE168,3,FALSE)</f>
        <v>1805.8700188425732</v>
      </c>
      <c r="E170" s="67">
        <f>VLOOKUP(E109,$A164:$AE168,4,FALSE)</f>
        <v>1952.1722411424284</v>
      </c>
      <c r="F170" s="67">
        <v>2</v>
      </c>
      <c r="G170" s="67">
        <f>VLOOKUP(G109,$A164:$AE168,4,FALSE)</f>
        <v>1918.746719402327</v>
      </c>
      <c r="H170" s="67">
        <f>VLOOKUP(H109,$A164:$AE168,7,FALSE)</f>
        <v>1885.2929818149187</v>
      </c>
      <c r="I170" s="67">
        <v>3</v>
      </c>
      <c r="J170" s="67">
        <f>VLOOKUP(J109,$A164:$AE168,7,FALSE)</f>
        <v>1784.1756223332973</v>
      </c>
      <c r="K170" s="67">
        <f>VLOOKUP(K109,$A164:$AE168,10,FALSE)</f>
        <v>1943.5845438099516</v>
      </c>
      <c r="L170" s="67">
        <v>4</v>
      </c>
      <c r="M170" s="67">
        <f>VLOOKUP(M109,$A164:$AE168,10,FALSE)</f>
        <v>1889.8158605788667</v>
      </c>
      <c r="N170" s="67">
        <f>VLOOKUP(N109,$A164:$AE168,13,FALSE)</f>
        <v>1981.1030999658888</v>
      </c>
      <c r="O170" s="67">
        <v>5</v>
      </c>
      <c r="P170" s="67">
        <f>VLOOKUP(P109,$A164:$AE168,13,FALSE)</f>
        <v>1844.2340707468261</v>
      </c>
      <c r="Q170" s="67">
        <f>VLOOKUP(Q109,$A164:$AE168,16,FALSE)</f>
        <v>1894.7289783229544</v>
      </c>
      <c r="R170" s="67">
        <v>6</v>
      </c>
      <c r="S170" s="67">
        <f>VLOOKUP(S109,$A164:$AE168,16,FALSE)</f>
        <v>1825.2345334013899</v>
      </c>
      <c r="T170" s="67">
        <f>VLOOKUP(T109,$A164:$AE168,19,FALSE)</f>
        <v>1938.6714260658639</v>
      </c>
      <c r="U170" s="67">
        <v>7</v>
      </c>
      <c r="V170" s="67">
        <f>VLOOKUP(V109,$A164:$AE168,19,FALSE)</f>
        <v>1824.226151343448</v>
      </c>
      <c r="W170" s="67">
        <f>VLOOKUP(W109,$A164:$AE168,22,FALSE)</f>
        <v>2001.1110193692668</v>
      </c>
      <c r="X170" s="67">
        <v>8</v>
      </c>
      <c r="Y170" s="67">
        <f>VLOOKUP(Y109,$A164:$AE168,22,FALSE)</f>
        <v>1799.5511922700293</v>
      </c>
      <c r="Z170" s="67">
        <f>VLOOKUP(Z109,$A164:$AE168,25,FALSE)</f>
        <v>1802.4015602621653</v>
      </c>
      <c r="AA170" s="67">
        <v>9</v>
      </c>
      <c r="AB170" s="67">
        <f>VLOOKUP(AB109,$A164:$AE168,25,FALSE)</f>
        <v>1920.4123194543149</v>
      </c>
      <c r="AC170" s="67">
        <f>VLOOKUP(AC109,$A164:$AE168,28,FALSE)</f>
        <v>2016.3825669863879</v>
      </c>
      <c r="AD170" s="67">
        <v>10</v>
      </c>
      <c r="AE170" s="67">
        <f>VLOOKUP(AE109,$A164:$AE168,28,FALSE)</f>
        <v>1960.4960171471466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1.3220501090851287</v>
      </c>
      <c r="C171" s="68"/>
      <c r="D171" s="68">
        <f>1/(1+(10^-((D170-B170)/400)))*(B121+D121)</f>
        <v>0.67794989091487146</v>
      </c>
      <c r="E171" s="68">
        <f>1/(1+(10^-((E170-G170)/400)))*(E121+G121)</f>
        <v>1.0959106617668637</v>
      </c>
      <c r="F171" s="68"/>
      <c r="G171" s="68">
        <f>1/(1+(10^-((G170-E170)/400)))*(E121+G121)</f>
        <v>0.9040893382331362</v>
      </c>
      <c r="H171" s="68">
        <f>1/(1+(10^-((H170-J170)/400)))*(H121+J121)</f>
        <v>1.2830909708778966</v>
      </c>
      <c r="I171" s="68"/>
      <c r="J171" s="68">
        <f>1/(1+(10^-((J170-H170)/400)))*(H121+J121)</f>
        <v>0.71690902912210352</v>
      </c>
      <c r="K171" s="68">
        <f>1/(1+(10^-((K170-M170)/400)))*(K121+M121)</f>
        <v>1.1535349295027422</v>
      </c>
      <c r="L171" s="68"/>
      <c r="M171" s="68">
        <f>1/(1+(10^-((M170-K170)/400)))*(K121+M121)</f>
        <v>0.84646507049725794</v>
      </c>
      <c r="N171" s="68">
        <f>1/(1+(10^-((N170-P170)/400)))*(N121+P121)</f>
        <v>1.3747525186444349</v>
      </c>
      <c r="O171" s="68"/>
      <c r="P171" s="68">
        <f>1/(1+(10^-((P170-N170)/400)))*(N121+P121)</f>
        <v>0.62524748135556496</v>
      </c>
      <c r="Q171" s="68">
        <f>1/(1+(10^-((Q170-S170)/400)))*(Q121+S121)</f>
        <v>1.1973955896449837</v>
      </c>
      <c r="R171" s="68"/>
      <c r="S171" s="68">
        <f>1/(1+(10^-((S170-Q170)/400)))*(Q121+S121)</f>
        <v>0.80260441035501662</v>
      </c>
      <c r="T171" s="68">
        <f>1/(1+(10^-((T170-V170)/400)))*(T121+V121)</f>
        <v>1.3179815287099113</v>
      </c>
      <c r="U171" s="68"/>
      <c r="V171" s="68">
        <f>1/(1+(10^-((V170-T170)/400)))*(T121+V121)</f>
        <v>0.68201847129008875</v>
      </c>
      <c r="W171" s="68">
        <f>1/(1+(10^-((W170-Y170)/400)))*(W121+Y121)</f>
        <v>1.5227641369649645</v>
      </c>
      <c r="X171" s="68"/>
      <c r="Y171" s="68">
        <f>1/(1+(10^-((Y170-W170)/400)))*(W121+Y121)</f>
        <v>0.4772358630350354</v>
      </c>
      <c r="Z171" s="68">
        <f>1/(1+(10^-((Z170-AB170)/400)))*(Z121+AB121)</f>
        <v>0.67282415107315274</v>
      </c>
      <c r="AA171" s="68"/>
      <c r="AB171" s="68">
        <f>1/(1+(10^-((AB170-Z170)/400)))*(Z121+AB121)</f>
        <v>1.3271758489268473</v>
      </c>
      <c r="AC171" s="68">
        <f>1/(1+(10^-((AC170-AE170)/400)))*(AC121+AE121)</f>
        <v>1.1594813066928973</v>
      </c>
      <c r="AD171" s="68"/>
      <c r="AE171" s="68">
        <f>1/(1+(10^-((AE170-AC170)/400)))*(AC121+AE121)</f>
        <v>0.84051869330710272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1943.5845438099516</v>
      </c>
      <c r="C172" s="74"/>
      <c r="D172" s="74">
        <f>D170+(D121-D171)*$BA$1</f>
        <v>1784.1756223332973</v>
      </c>
      <c r="E172" s="74">
        <f>E170+(E121-E171)*$BA$1</f>
        <v>1981.1030999658888</v>
      </c>
      <c r="F172" s="74"/>
      <c r="G172" s="74">
        <f>G170+(G121-G171)*$BA$1</f>
        <v>1889.8158605788667</v>
      </c>
      <c r="H172" s="74">
        <f>H170+(H121-H171)*$BA$1</f>
        <v>1844.2340707468261</v>
      </c>
      <c r="I172" s="74"/>
      <c r="J172" s="74">
        <f>J170+(J121-J171)*$BA$1</f>
        <v>1825.2345334013899</v>
      </c>
      <c r="K172" s="74">
        <f>K170+(K121-K171)*$BA$1</f>
        <v>1938.6714260658639</v>
      </c>
      <c r="L172" s="74"/>
      <c r="M172" s="74">
        <f>M170+(M121-M171)*$BA$1</f>
        <v>1894.7289783229544</v>
      </c>
      <c r="N172" s="74">
        <f>N170+(N121-N171)*$BA$1</f>
        <v>2001.1110193692668</v>
      </c>
      <c r="O172" s="74"/>
      <c r="P172" s="74">
        <f>P170+(P121-P171)*$BA$1</f>
        <v>1824.226151343448</v>
      </c>
      <c r="Q172" s="74">
        <f>Q170+(Q121-Q171)*$BA$1</f>
        <v>1920.4123194543149</v>
      </c>
      <c r="R172" s="74"/>
      <c r="S172" s="74">
        <f>S170+(S121-S171)*$BA$1</f>
        <v>1799.5511922700293</v>
      </c>
      <c r="T172" s="74">
        <f>T170+(T121-T171)*$BA$1</f>
        <v>1960.4960171471466</v>
      </c>
      <c r="U172" s="74"/>
      <c r="V172" s="74">
        <f>V170+(V121-V171)*$BA$1</f>
        <v>1802.4015602621653</v>
      </c>
      <c r="W172" s="74">
        <f>W170+(W121-W171)*$BA$1</f>
        <v>2016.3825669863879</v>
      </c>
      <c r="X172" s="74"/>
      <c r="Y172" s="74">
        <f>Y170+(Y121-Y171)*$BA$1</f>
        <v>1784.2796446529082</v>
      </c>
      <c r="Z172" s="74">
        <f>Z170+(Z121-Z171)*$BA$1</f>
        <v>1780.8711874278245</v>
      </c>
      <c r="AA172" s="74"/>
      <c r="AB172" s="74">
        <f>AB170+(AB121-AB171)*$BA$1</f>
        <v>1941.9426922886557</v>
      </c>
      <c r="AC172" s="74">
        <f>AC170+(AC121-AC171)*$BA$1</f>
        <v>2043.2791651722152</v>
      </c>
      <c r="AD172" s="74"/>
      <c r="AE172" s="74">
        <f>AE170+(AE121-AE171)*$BA$1</f>
        <v>1933.5994189613193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329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30"/>
      <c r="AO174" s="330"/>
      <c r="AP174" s="330"/>
      <c r="AQ174" s="330"/>
      <c r="AW174" s="66"/>
    </row>
    <row r="175" spans="1:54" s="63" customFormat="1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W175" s="66"/>
    </row>
    <row r="176" spans="1:54" ht="21" thickBot="1" x14ac:dyDescent="0.35">
      <c r="A176" s="345" t="s">
        <v>120</v>
      </c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</row>
    <row r="177" spans="1:53" ht="13.5" thickBot="1" x14ac:dyDescent="0.25">
      <c r="A177" s="346" t="s">
        <v>121</v>
      </c>
      <c r="B177" s="348" t="s">
        <v>122</v>
      </c>
      <c r="C177" s="349"/>
      <c r="D177" s="349"/>
      <c r="E177" s="349"/>
      <c r="F177" s="349"/>
      <c r="G177" s="349"/>
      <c r="H177" s="349"/>
      <c r="I177" s="349"/>
      <c r="J177" s="349"/>
      <c r="K177" s="350"/>
      <c r="L177" s="348" t="s">
        <v>123</v>
      </c>
      <c r="M177" s="349"/>
      <c r="N177" s="349"/>
      <c r="O177" s="349"/>
      <c r="P177" s="349"/>
      <c r="Q177" s="349"/>
      <c r="R177" s="349"/>
      <c r="S177" s="349"/>
      <c r="T177" s="349"/>
      <c r="U177" s="350"/>
      <c r="V177" s="348" t="s">
        <v>124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348" t="s">
        <v>125</v>
      </c>
      <c r="AG177" s="349"/>
      <c r="AH177" s="349"/>
      <c r="AI177" s="349"/>
      <c r="AJ177" s="349"/>
      <c r="AK177" s="349"/>
      <c r="AL177" s="349"/>
      <c r="AM177" s="349"/>
      <c r="AN177" s="349"/>
      <c r="AO177" s="350"/>
    </row>
    <row r="178" spans="1:53" ht="13.5" thickBot="1" x14ac:dyDescent="0.25">
      <c r="A178" s="347"/>
      <c r="B178" s="354" t="s">
        <v>10</v>
      </c>
      <c r="C178" s="355"/>
      <c r="D178" s="355"/>
      <c r="E178" s="355"/>
      <c r="F178" s="355"/>
      <c r="G178" s="356"/>
      <c r="H178" s="354" t="s">
        <v>126</v>
      </c>
      <c r="I178" s="355"/>
      <c r="J178" s="355"/>
      <c r="K178" s="356"/>
      <c r="L178" s="354" t="s">
        <v>10</v>
      </c>
      <c r="M178" s="355"/>
      <c r="N178" s="355"/>
      <c r="O178" s="355"/>
      <c r="P178" s="355"/>
      <c r="Q178" s="356"/>
      <c r="R178" s="354" t="s">
        <v>126</v>
      </c>
      <c r="S178" s="355"/>
      <c r="T178" s="355"/>
      <c r="U178" s="356"/>
      <c r="V178" s="354" t="s">
        <v>10</v>
      </c>
      <c r="W178" s="355"/>
      <c r="X178" s="355"/>
      <c r="Y178" s="355"/>
      <c r="Z178" s="355"/>
      <c r="AA178" s="356"/>
      <c r="AB178" s="354" t="s">
        <v>126</v>
      </c>
      <c r="AC178" s="355"/>
      <c r="AD178" s="355"/>
      <c r="AE178" s="356"/>
      <c r="AF178" s="354" t="s">
        <v>10</v>
      </c>
      <c r="AG178" s="355"/>
      <c r="AH178" s="355"/>
      <c r="AI178" s="355"/>
      <c r="AJ178" s="355"/>
      <c r="AK178" s="356"/>
      <c r="AL178" s="354" t="s">
        <v>126</v>
      </c>
      <c r="AM178" s="355"/>
      <c r="AN178" s="355"/>
      <c r="AO178" s="356"/>
    </row>
    <row r="179" spans="1:53" x14ac:dyDescent="0.2">
      <c r="A179" s="82" t="s">
        <v>127</v>
      </c>
      <c r="B179" s="412" t="str">
        <f>IF($AF$8=1,$E$8,IF($AF$10=1,$E$10,IF($AF$12=1,$E$12,IF($AF$14=1,$E$14,IF($AF$16=1,$E$16,"1st Place "&amp;$A179)))))</f>
        <v>Fort Mill 14 Bayley</v>
      </c>
      <c r="C179" s="413"/>
      <c r="D179" s="413"/>
      <c r="E179" s="413"/>
      <c r="F179" s="413"/>
      <c r="G179" s="413"/>
      <c r="H179" s="414" t="str">
        <f>IF($AF$8=1,$E$9,IF($AF$10=1,$E$11,IF($AF$12=1,$E$13,IF($AF$14=1,$E$15,IF($AF$16=1,$E$17,"1st Place "&amp;$A179)))))</f>
        <v>fj4fortm1pm</v>
      </c>
      <c r="I179" s="414"/>
      <c r="J179" s="414"/>
      <c r="K179" s="415"/>
      <c r="L179" s="412" t="str">
        <f>IF($AF$8=2,$E$8,IF($AF$10=2,$E$10,IF($AF$12=2,$E$12,IF($AF$14=2,$E$14,IF($AF$16=2,$E$16,"2nd Place "&amp;$A179)))))</f>
        <v>SCWE14AERIES</v>
      </c>
      <c r="M179" s="413"/>
      <c r="N179" s="413"/>
      <c r="O179" s="413"/>
      <c r="P179" s="413"/>
      <c r="Q179" s="413"/>
      <c r="R179" s="414" t="str">
        <f>IF($AF$8=2,$E$9,IF($AF$10=2,$E$11,IF($AF$12=2,$E$13,IF($AF$14=2,$E$15,IF($AF$16=2,$E$17,"2nd Place "&amp;$A179)))))</f>
        <v>fj4scwea1pm</v>
      </c>
      <c r="S179" s="414"/>
      <c r="T179" s="414"/>
      <c r="U179" s="415"/>
      <c r="V179" s="412" t="str">
        <f>IF($AF$8=3,$E$8,IF($AF$10=3,$E$10,IF($AF$12=3,$E$12,IF($AF$14=3,$E$14,IF($AF$16=3,$E$16,"3rd Place "&amp;$A179)))))</f>
        <v>CSRA Heat 14 Black</v>
      </c>
      <c r="W179" s="413"/>
      <c r="X179" s="413"/>
      <c r="Y179" s="413"/>
      <c r="Z179" s="413"/>
      <c r="AA179" s="413"/>
      <c r="AB179" s="414" t="str">
        <f>IF($AF$8=3,$E$9,IF($AF$10=3,$E$11,IF($AF$12=3,$E$13,IF($AF$14=3,$E$15,IF($AF$16=3,$E$17,"3rd Place "&amp;$A179)))))</f>
        <v>fj4csrah3pm</v>
      </c>
      <c r="AC179" s="414"/>
      <c r="AD179" s="414"/>
      <c r="AE179" s="415"/>
      <c r="AF179" s="412" t="str">
        <f>IF($AF$8=4,$E$8,IF($AF$10=4,$E$10,IF($AF$12=4,$E$12,IF($AF$14=4,$E$14,IF($AF$16=4,$E$16,"4th Place "&amp;$A179)))))</f>
        <v>CHSElite 14-A</v>
      </c>
      <c r="AG179" s="413"/>
      <c r="AH179" s="413"/>
      <c r="AI179" s="413"/>
      <c r="AJ179" s="413"/>
      <c r="AK179" s="413"/>
      <c r="AL179" s="414" t="str">
        <f>IF($AF$8=4,$E$9,IF($AF$10=4,$E$11,IF($AF$12=4,$E$13,IF($AF$14=4,$E$15,IF($AF$16=4,$E$17,"4th Place "&amp;$A179)))))</f>
        <v>fj4celit1pm</v>
      </c>
      <c r="AM179" s="414"/>
      <c r="AN179" s="414"/>
      <c r="AO179" s="415"/>
    </row>
    <row r="180" spans="1:53" ht="13.5" thickBot="1" x14ac:dyDescent="0.25">
      <c r="A180" s="83" t="s">
        <v>128</v>
      </c>
      <c r="B180" s="416" t="str">
        <f>IF($AF$93=1,$E$93,IF($AF$95=1,$E$95,IF($AF$97=1,$E$97,IF($AF$99=1,$E$99,IF($AF$101=1,$E$101,"1st Place "&amp;$A180)))))</f>
        <v>Lake Murray 14 Black</v>
      </c>
      <c r="C180" s="417"/>
      <c r="D180" s="417"/>
      <c r="E180" s="417"/>
      <c r="F180" s="417"/>
      <c r="G180" s="417"/>
      <c r="H180" s="418" t="str">
        <f>IF($AF$93=1,$E$94,IF($AF$95=1,$E$96,IF($AF$97=1,$E$98,IF($AF$99=1,$E$100,IF($AF$101=1,$E$102,"1st Place "&amp;$A180)))))</f>
        <v>fj4lakem2pm</v>
      </c>
      <c r="I180" s="418"/>
      <c r="J180" s="418"/>
      <c r="K180" s="419"/>
      <c r="L180" s="416" t="str">
        <f>IF($AF$93=2,$E$93,IF($AF$95=2,$E$95,IF($AF$97=2,$E$97,IF($AF$99=2,$E$99,IF($AF$101=2,$E$101,"2nd Place "&amp;$A180)))))</f>
        <v>Columbia SC Starlings 14</v>
      </c>
      <c r="M180" s="417"/>
      <c r="N180" s="417"/>
      <c r="O180" s="417"/>
      <c r="P180" s="417"/>
      <c r="Q180" s="417"/>
      <c r="R180" s="418" t="str">
        <f>IF($AF$93=2,$E$94,IF($AF$95=2,$E$96,IF($AF$97=2,$E$98,IF($AF$99=2,$E$100,IF($AF$101=2,$E$102,"2nd Place "&amp;$A180)))))</f>
        <v>fj4starl1pm</v>
      </c>
      <c r="S180" s="418"/>
      <c r="T180" s="418"/>
      <c r="U180" s="419"/>
      <c r="V180" s="416" t="str">
        <f>IF($AF$93=3,$E$93,IF($AF$95=3,$E$95,IF($AF$97=3,$E$97,IF($AF$99=3,$E$99,IF($AF$101=3,$E$101,"3rd Place "&amp;$A180)))))</f>
        <v>OLC 14s Purple Elite</v>
      </c>
      <c r="W180" s="417"/>
      <c r="X180" s="417"/>
      <c r="Y180" s="417"/>
      <c r="Z180" s="417"/>
      <c r="AA180" s="417"/>
      <c r="AB180" s="418" t="str">
        <f>IF($AF$93=3,$E$94,IF($AF$95=3,$E$96,IF($AF$97=3,$E$98,IF($AF$99=3,$E$100,IF($AF$101=3,$E$102,"3rd Place "&amp;$A180)))))</f>
        <v>fj4ladyc1pm</v>
      </c>
      <c r="AC180" s="418"/>
      <c r="AD180" s="418"/>
      <c r="AE180" s="419"/>
      <c r="AF180" s="416" t="str">
        <f>IF($AF$93=4,$E$93,IF($AF$95=4,$E$95,IF($AF$97=4,$E$97,IF($AF$99=4,$E$99,IF($AF$101=4,$E$101,"4th Place "&amp;$A180)))))</f>
        <v>SC Midlands 14 Black</v>
      </c>
      <c r="AG180" s="417"/>
      <c r="AH180" s="417"/>
      <c r="AI180" s="417"/>
      <c r="AJ180" s="417"/>
      <c r="AK180" s="417"/>
      <c r="AL180" s="418" t="str">
        <f>IF($AF$93=4,$E$94,IF($AF$95=4,$E$96,IF($AF$97=4,$E$98,IF($AF$99=4,$E$100,IF($AF$101=4,$E$102,"4th Place "&amp;$A180)))))</f>
        <v>fj4scmid3pm</v>
      </c>
      <c r="AM180" s="418"/>
      <c r="AN180" s="418"/>
      <c r="AO180" s="41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W181" s="130"/>
      <c r="AX181" s="4"/>
      <c r="AY181" s="4"/>
      <c r="AZ181" s="4"/>
      <c r="BA181" s="4"/>
    </row>
    <row r="182" spans="1:53" ht="15.75" x14ac:dyDescent="0.25">
      <c r="A182" s="426" t="s">
        <v>129</v>
      </c>
      <c r="B182" s="426"/>
      <c r="C182" s="426"/>
      <c r="D182" s="426"/>
      <c r="E182" s="426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T182" s="86"/>
      <c r="AU182" s="86"/>
      <c r="AV182" s="86"/>
    </row>
    <row r="183" spans="1:53" ht="14.25" x14ac:dyDescent="0.2">
      <c r="A183" s="427" t="s">
        <v>130</v>
      </c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</row>
    <row r="184" spans="1:53" x14ac:dyDescent="0.2">
      <c r="A184" s="428" t="s">
        <v>131</v>
      </c>
      <c r="B184" s="428"/>
      <c r="C184" s="428"/>
      <c r="D184" s="428"/>
      <c r="E184" s="428"/>
      <c r="F184" s="428"/>
      <c r="G184" s="428"/>
      <c r="H184" s="428"/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53" x14ac:dyDescent="0.2">
      <c r="A185" s="428"/>
      <c r="B185" s="428"/>
      <c r="C185" s="428"/>
      <c r="D185" s="428"/>
      <c r="E185" s="428"/>
      <c r="F185" s="428"/>
      <c r="G185" s="428"/>
      <c r="H185" s="428"/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53" x14ac:dyDescent="0.2">
      <c r="A186" s="429" t="s">
        <v>132</v>
      </c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330" t="s">
        <v>133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130"/>
      <c r="R188" s="330" t="s">
        <v>134</v>
      </c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</row>
    <row r="190" spans="1:53" ht="13.5" thickBot="1" x14ac:dyDescent="0.25">
      <c r="A190" s="420" t="str">
        <f>IF(B218=1,B210,IF(B218=2,B211,IF(B218=3,B212,IF(B218=4,B213,IF(OR(B218="B",B218="b"),"BYE","invalid")))))</f>
        <v>Fort Mill 14 Bayley</v>
      </c>
      <c r="B190" s="420"/>
      <c r="C190" s="420"/>
      <c r="D190" s="420"/>
      <c r="E190" s="420"/>
      <c r="F190" s="88"/>
      <c r="G190" s="88"/>
      <c r="H190" s="88"/>
      <c r="I190" s="88"/>
      <c r="J190" s="88"/>
      <c r="K190" s="88"/>
      <c r="L190" s="88"/>
      <c r="M190" s="88"/>
      <c r="N190" s="88"/>
      <c r="S190" s="131"/>
      <c r="T190" s="131"/>
      <c r="U190" s="420" t="str">
        <f>IF(W218=1,X210,IF(W218=2,X211,IF(W218=3,X212,IF(W218=4,X213,IF(OR(W218="B",W218="b"),"BYE","invalid")))))</f>
        <v>CSRA Heat 14 Black</v>
      </c>
      <c r="V190" s="420"/>
      <c r="W190" s="420"/>
      <c r="X190" s="420"/>
      <c r="Y190" s="420"/>
      <c r="Z190" s="420"/>
      <c r="AA190" s="420"/>
      <c r="AB190" s="88"/>
      <c r="AC190" s="88"/>
      <c r="AD190" s="88"/>
      <c r="AE190" s="88"/>
    </row>
    <row r="191" spans="1:53" x14ac:dyDescent="0.2">
      <c r="A191" s="421" t="s">
        <v>135</v>
      </c>
      <c r="B191" s="421"/>
      <c r="C191" s="421"/>
      <c r="D191" s="421"/>
      <c r="E191" s="421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422" t="s">
        <v>136</v>
      </c>
      <c r="V191" s="422"/>
      <c r="W191" s="422"/>
      <c r="X191" s="422"/>
      <c r="Y191" s="422"/>
      <c r="Z191" s="422"/>
      <c r="AA191" s="423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422" t="str">
        <f>B212&amp;" ref"</f>
        <v>SCWE14AERIES ref</v>
      </c>
      <c r="B193" s="422"/>
      <c r="C193" s="422"/>
      <c r="D193" s="422"/>
      <c r="E193" s="423"/>
      <c r="F193" s="424" t="str">
        <f>IF(H218=1,B210,IF(H218=2,B211,IF(H218=3,B212,IF(H218=4,B213,"Winner Match 1"))))</f>
        <v>Fort Mill 14 Bayley</v>
      </c>
      <c r="G193" s="425"/>
      <c r="H193" s="425"/>
      <c r="I193" s="425"/>
      <c r="J193" s="425"/>
      <c r="K193" s="425"/>
      <c r="L193" s="425"/>
      <c r="M193" s="425"/>
      <c r="N193" s="88"/>
      <c r="P193" s="93"/>
      <c r="Q193" s="93"/>
      <c r="R193" s="93"/>
      <c r="S193" s="93"/>
      <c r="T193" s="422" t="str">
        <f>X212&amp;" ref"</f>
        <v>CHSElite 14-A ref</v>
      </c>
      <c r="U193" s="422"/>
      <c r="V193" s="422"/>
      <c r="W193" s="422"/>
      <c r="X193" s="422"/>
      <c r="Y193" s="422"/>
      <c r="Z193" s="422"/>
      <c r="AA193" s="423"/>
      <c r="AB193" s="424" t="str">
        <f>IF(AC218=1,X210,IF(AC218=2,X211,IF(AC218=3,X212,IF(AC218=4,X213,"Winner Match 1"))))</f>
        <v>SC Midlands 14 Black</v>
      </c>
      <c r="AC193" s="425"/>
      <c r="AD193" s="425"/>
      <c r="AE193" s="425"/>
      <c r="AF193" s="425"/>
      <c r="AG193" s="425"/>
      <c r="AH193" s="425"/>
    </row>
    <row r="194" spans="1:53" x14ac:dyDescent="0.2">
      <c r="A194" s="434" t="s">
        <v>137</v>
      </c>
      <c r="B194" s="434"/>
      <c r="C194" s="434"/>
      <c r="D194" s="434"/>
      <c r="E194" s="434"/>
      <c r="F194" s="435"/>
      <c r="G194" s="436"/>
      <c r="H194" s="436"/>
      <c r="I194" s="437"/>
      <c r="J194" s="438"/>
      <c r="K194" s="439"/>
      <c r="L194" s="439"/>
      <c r="M194" s="439"/>
      <c r="N194" s="88"/>
      <c r="O194" s="88"/>
      <c r="P194" s="94"/>
      <c r="Q194" s="6"/>
      <c r="R194" s="95"/>
      <c r="S194" s="95"/>
      <c r="T194" s="440" t="s">
        <v>138</v>
      </c>
      <c r="U194" s="440"/>
      <c r="V194" s="440"/>
      <c r="W194" s="440"/>
      <c r="X194" s="440"/>
      <c r="Y194" s="440"/>
      <c r="Z194" s="440"/>
      <c r="AA194" s="92"/>
      <c r="AB194" s="435"/>
      <c r="AC194" s="436"/>
      <c r="AD194" s="436"/>
      <c r="AE194" s="437"/>
      <c r="AF194" s="438"/>
      <c r="AG194" s="439"/>
      <c r="AH194" s="439"/>
    </row>
    <row r="195" spans="1:53" ht="13.5" thickBot="1" x14ac:dyDescent="0.25">
      <c r="A195" s="420" t="str">
        <f>IF(D218=1,B210,IF(D218=2,B211,IF(D218=3,B212,IF(D218=4,B213,IF(OR(D218="B",D218="b"),"BYE","invalid")))))</f>
        <v>Columbia SC Starlings 14</v>
      </c>
      <c r="B195" s="420"/>
      <c r="C195" s="420"/>
      <c r="D195" s="420"/>
      <c r="E195" s="430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420" t="str">
        <f>IF(Y218=1,X210,IF(Y218=2,X211,IF(Y218=3,X212,IF(Y218=4,X213,IF(OR(Y218="B",Y218="b"),"BYE","invalid")))))</f>
        <v>SC Midlands 14 Black</v>
      </c>
      <c r="V195" s="420"/>
      <c r="W195" s="420"/>
      <c r="X195" s="420"/>
      <c r="Y195" s="420"/>
      <c r="Z195" s="420"/>
      <c r="AA195" s="430"/>
      <c r="AB195" s="88"/>
      <c r="AC195" s="88"/>
      <c r="AD195" s="88"/>
      <c r="AE195" s="92"/>
      <c r="AF195" s="88"/>
      <c r="AG195" s="88"/>
    </row>
    <row r="196" spans="1:53" x14ac:dyDescent="0.2">
      <c r="A196" s="421" t="s">
        <v>139</v>
      </c>
      <c r="B196" s="421"/>
      <c r="C196" s="421"/>
      <c r="D196" s="421"/>
      <c r="E196" s="421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431" t="s">
        <v>140</v>
      </c>
      <c r="V196" s="431"/>
      <c r="W196" s="431"/>
      <c r="X196" s="431"/>
      <c r="Y196" s="431"/>
      <c r="Z196" s="431"/>
      <c r="AA196" s="431"/>
      <c r="AB196" s="88"/>
      <c r="AC196" s="88"/>
      <c r="AD196" s="88"/>
      <c r="AE196" s="92"/>
      <c r="AF196" s="88"/>
      <c r="AG196" s="88"/>
      <c r="AQ196" s="96"/>
      <c r="AR196" s="96"/>
      <c r="AS196" s="96"/>
    </row>
    <row r="197" spans="1:53" x14ac:dyDescent="0.2">
      <c r="A197" s="88"/>
      <c r="B197" s="88"/>
      <c r="C197" s="88"/>
      <c r="D197" s="88"/>
      <c r="E197" s="88"/>
      <c r="F197" s="432" t="s">
        <v>141</v>
      </c>
      <c r="G197" s="432"/>
      <c r="H197" s="432"/>
      <c r="I197" s="433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432" t="s">
        <v>141</v>
      </c>
      <c r="AC197" s="432"/>
      <c r="AD197" s="432"/>
      <c r="AE197" s="433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445" t="str">
        <f>IF(K223=1,B210,IF(K223=2,B211,IF(K223=3,B212,IF(K223=4,B213,"Division Winner"))))</f>
        <v>Fort Mill 14 Bayley</v>
      </c>
      <c r="K198" s="446"/>
      <c r="L198" s="446"/>
      <c r="M198" s="446"/>
      <c r="N198" s="446"/>
      <c r="O198" s="446"/>
      <c r="P198" s="446"/>
      <c r="Q198" s="131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446" t="str">
        <f>IF(AF223=1,X210,IF(AF223=2,X211,IF(AF223=3,X212,IF(AF223=4,X213,"Division Winner"))))</f>
        <v>SC Midlands 14 Black</v>
      </c>
      <c r="AG198" s="446"/>
      <c r="AH198" s="446"/>
      <c r="AI198" s="446"/>
      <c r="AJ198" s="446"/>
      <c r="AK198" s="98"/>
    </row>
    <row r="199" spans="1:53" ht="13.5" thickBot="1" x14ac:dyDescent="0.25">
      <c r="A199" s="420" t="str">
        <f>IF(E218=1,B210,IF(E218=2,B211,IF(E218=3,B212,IF(E218=4,B213,IF(OR(E218="B",E218="b"),"BYE","invalid")))))</f>
        <v>Lake Murray 14 Black</v>
      </c>
      <c r="B199" s="420"/>
      <c r="C199" s="420"/>
      <c r="D199" s="420"/>
      <c r="E199" s="420"/>
      <c r="F199" s="434" t="s">
        <v>142</v>
      </c>
      <c r="G199" s="434"/>
      <c r="H199" s="434"/>
      <c r="I199" s="434"/>
      <c r="J199" s="441" t="s">
        <v>143</v>
      </c>
      <c r="K199" s="432"/>
      <c r="L199" s="432"/>
      <c r="M199" s="432"/>
      <c r="N199" s="432"/>
      <c r="O199" s="432"/>
      <c r="P199" s="432"/>
      <c r="R199" s="98"/>
      <c r="S199" s="98"/>
      <c r="T199" s="98"/>
      <c r="U199" s="420" t="str">
        <f>IF(Z218=1,X210,IF(Z218=2,X211,IF(Z218=3,X212,IF(Z218=4,X213,IF(OR(Z218="B",Z218="b"),"BYE","invalid")))))</f>
        <v>OLC 14s Purple Elite</v>
      </c>
      <c r="V199" s="420"/>
      <c r="W199" s="420"/>
      <c r="X199" s="420"/>
      <c r="Y199" s="420"/>
      <c r="Z199" s="420"/>
      <c r="AA199" s="420"/>
      <c r="AB199" s="434" t="s">
        <v>144</v>
      </c>
      <c r="AC199" s="434"/>
      <c r="AD199" s="434"/>
      <c r="AE199" s="447"/>
      <c r="AF199" s="448" t="s">
        <v>145</v>
      </c>
      <c r="AG199" s="449"/>
      <c r="AH199" s="449"/>
      <c r="AI199" s="449"/>
      <c r="AJ199" s="449"/>
    </row>
    <row r="200" spans="1:53" x14ac:dyDescent="0.2">
      <c r="A200" s="421" t="s">
        <v>146</v>
      </c>
      <c r="B200" s="421"/>
      <c r="C200" s="421"/>
      <c r="D200" s="421"/>
      <c r="E200" s="421"/>
      <c r="F200" s="90"/>
      <c r="G200" s="88"/>
      <c r="H200" s="88"/>
      <c r="I200" s="88"/>
      <c r="J200" s="441"/>
      <c r="K200" s="432"/>
      <c r="L200" s="432"/>
      <c r="M200" s="432"/>
      <c r="N200" s="432"/>
      <c r="O200" s="432"/>
      <c r="P200" s="432"/>
      <c r="Q200" s="88"/>
      <c r="R200" s="96"/>
      <c r="S200" s="96"/>
      <c r="T200" s="96"/>
      <c r="U200" s="422" t="s">
        <v>147</v>
      </c>
      <c r="V200" s="422"/>
      <c r="W200" s="422"/>
      <c r="X200" s="422"/>
      <c r="Y200" s="422"/>
      <c r="Z200" s="422"/>
      <c r="AA200" s="423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W201" s="58"/>
      <c r="AX201" s="55"/>
      <c r="AY201" s="55"/>
      <c r="AZ201" s="55"/>
      <c r="BA201" s="55"/>
    </row>
    <row r="202" spans="1:53" ht="13.5" thickBot="1" x14ac:dyDescent="0.25">
      <c r="A202" s="432" t="s">
        <v>148</v>
      </c>
      <c r="B202" s="432"/>
      <c r="C202" s="432"/>
      <c r="D202" s="432"/>
      <c r="E202" s="94"/>
      <c r="F202" s="442"/>
      <c r="G202" s="443"/>
      <c r="H202" s="443"/>
      <c r="I202" s="444"/>
      <c r="J202" s="438"/>
      <c r="K202" s="439"/>
      <c r="L202" s="439"/>
      <c r="M202" s="439"/>
      <c r="N202" s="88"/>
      <c r="Q202" s="93"/>
      <c r="R202" s="93"/>
      <c r="S202" s="93"/>
      <c r="T202" s="432" t="s">
        <v>148</v>
      </c>
      <c r="U202" s="432"/>
      <c r="V202" s="432"/>
      <c r="W202" s="432"/>
      <c r="X202" s="432"/>
      <c r="Y202" s="432"/>
      <c r="Z202" s="432"/>
      <c r="AA202" s="88"/>
      <c r="AB202" s="442"/>
      <c r="AC202" s="443"/>
      <c r="AD202" s="443"/>
      <c r="AE202" s="444"/>
      <c r="AF202" s="438"/>
      <c r="AG202" s="439"/>
      <c r="AH202" s="439"/>
      <c r="AW202" s="58"/>
      <c r="AX202" s="55"/>
      <c r="AY202" s="55"/>
      <c r="AZ202" s="55"/>
      <c r="BA202" s="55"/>
    </row>
    <row r="203" spans="1:53" x14ac:dyDescent="0.2">
      <c r="A203" s="434" t="s">
        <v>137</v>
      </c>
      <c r="B203" s="434"/>
      <c r="C203" s="434"/>
      <c r="D203" s="434"/>
      <c r="E203" s="447"/>
      <c r="F203" s="424" t="str">
        <f>IF(J218=1,B210,IF(J218=2,B211,IF(J218=3,B212,IF(J218=4,B213,"Winner Match 2"))))</f>
        <v>SCWE14AERIES</v>
      </c>
      <c r="G203" s="425"/>
      <c r="H203" s="425"/>
      <c r="I203" s="425"/>
      <c r="J203" s="425"/>
      <c r="K203" s="425"/>
      <c r="L203" s="425"/>
      <c r="M203" s="425"/>
      <c r="N203" s="88"/>
      <c r="P203" s="94"/>
      <c r="Q203" s="94"/>
      <c r="S203" s="95"/>
      <c r="T203" s="434" t="s">
        <v>138</v>
      </c>
      <c r="U203" s="434"/>
      <c r="V203" s="434"/>
      <c r="W203" s="434"/>
      <c r="X203" s="434"/>
      <c r="Y203" s="434"/>
      <c r="Z203" s="434"/>
      <c r="AA203" s="92"/>
      <c r="AB203" s="424" t="str">
        <f>IF(AE218=1,X210,IF(AE218=2,X211,IF(AE218=3,X212,IF(AE218=4,X213,"Winner Match 2"))))</f>
        <v>OLC 14s Purple Elite</v>
      </c>
      <c r="AC203" s="425"/>
      <c r="AD203" s="425"/>
      <c r="AE203" s="425"/>
      <c r="AF203" s="425"/>
      <c r="AG203" s="425"/>
      <c r="AH203" s="425"/>
      <c r="AW203" s="58"/>
      <c r="AX203" s="55"/>
      <c r="AY203" s="55"/>
      <c r="AZ203" s="55"/>
      <c r="BA203" s="55"/>
    </row>
    <row r="204" spans="1:53" ht="13.5" thickBot="1" x14ac:dyDescent="0.25">
      <c r="A204" s="420" t="str">
        <f>IF(G218=1,B210,IF(G218=2,B211,IF(G218=3,B212,IF(G218=4,B213,IF(OR(G218="B",G218="b"),"BYE","invalid")))))</f>
        <v>SCWE14AERIES</v>
      </c>
      <c r="B204" s="420"/>
      <c r="C204" s="420"/>
      <c r="D204" s="420"/>
      <c r="E204" s="430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420" t="str">
        <f>IF(AB218=1,X210,IF(AB218=2,X211,IF(AB218=3,X212,IF(AB218=4,X213,IF(OR(AB218="B",AB218="b"),"BYE","invalid")))))</f>
        <v>CHSElite 14-A</v>
      </c>
      <c r="V204" s="420"/>
      <c r="W204" s="420"/>
      <c r="X204" s="420"/>
      <c r="Y204" s="420"/>
      <c r="Z204" s="420"/>
      <c r="AA204" s="430"/>
      <c r="AB204" s="88"/>
      <c r="AC204" s="88"/>
      <c r="AD204" s="88"/>
      <c r="AE204" s="88"/>
      <c r="AW204" s="58"/>
      <c r="AX204" s="55"/>
      <c r="AY204" s="55"/>
      <c r="AZ204" s="55"/>
      <c r="BA204" s="55"/>
    </row>
    <row r="205" spans="1:53" x14ac:dyDescent="0.2">
      <c r="A205" s="421" t="s">
        <v>149</v>
      </c>
      <c r="B205" s="421"/>
      <c r="C205" s="421"/>
      <c r="D205" s="421"/>
      <c r="E205" s="421"/>
      <c r="S205" s="96"/>
      <c r="T205" s="96"/>
      <c r="U205" s="422" t="s">
        <v>150</v>
      </c>
      <c r="V205" s="422"/>
      <c r="W205" s="422"/>
      <c r="X205" s="422"/>
      <c r="Y205" s="422"/>
      <c r="Z205" s="422"/>
      <c r="AA205" s="422"/>
      <c r="AW205" s="58"/>
      <c r="AX205" s="55"/>
      <c r="AY205" s="55"/>
      <c r="AZ205" s="55"/>
      <c r="BA205" s="55"/>
    </row>
    <row r="206" spans="1:53" x14ac:dyDescent="0.2">
      <c r="AT206" s="55"/>
      <c r="AU206" s="55"/>
      <c r="AV206" s="55"/>
      <c r="AW206" s="58"/>
      <c r="AX206" s="55"/>
      <c r="AY206" s="55"/>
      <c r="AZ206" s="55"/>
      <c r="BA206" s="55"/>
    </row>
    <row r="207" spans="1:53" x14ac:dyDescent="0.2">
      <c r="AT207" s="55"/>
      <c r="AU207" s="55"/>
      <c r="AV207" s="55"/>
      <c r="AW207" s="58"/>
      <c r="AX207" s="55"/>
      <c r="AY207" s="55"/>
      <c r="AZ207" s="55"/>
      <c r="BA207" s="55"/>
    </row>
    <row r="208" spans="1:53" ht="16.5" thickBot="1" x14ac:dyDescent="0.3">
      <c r="A208" s="450" t="s">
        <v>151</v>
      </c>
      <c r="B208" s="450"/>
      <c r="C208" s="450"/>
      <c r="D208" s="450"/>
      <c r="E208" s="450"/>
      <c r="F208" s="450"/>
      <c r="G208" s="450"/>
      <c r="H208" s="450"/>
      <c r="I208" s="450"/>
      <c r="J208" s="450"/>
      <c r="Q208" s="100"/>
      <c r="R208" s="100"/>
      <c r="S208" s="100"/>
      <c r="U208" s="450" t="s">
        <v>152</v>
      </c>
      <c r="V208" s="450"/>
      <c r="W208" s="450"/>
      <c r="X208" s="450"/>
      <c r="Y208" s="450"/>
      <c r="Z208" s="450"/>
      <c r="AA208" s="450"/>
      <c r="AB208" s="450"/>
      <c r="AC208" s="450"/>
      <c r="AD208" s="450"/>
      <c r="AE208" s="450"/>
      <c r="AF208" s="450"/>
      <c r="AT208" s="55"/>
      <c r="AU208" s="55"/>
      <c r="AV208" s="55"/>
      <c r="AW208" s="58"/>
      <c r="AX208" s="55"/>
      <c r="AY208" s="55"/>
      <c r="AZ208" s="55"/>
      <c r="BA208" s="55"/>
    </row>
    <row r="209" spans="1:53" ht="13.5" thickBot="1" x14ac:dyDescent="0.25">
      <c r="A209" s="101" t="s">
        <v>153</v>
      </c>
      <c r="B209" s="451" t="s">
        <v>154</v>
      </c>
      <c r="C209" s="452"/>
      <c r="D209" s="452"/>
      <c r="E209" s="452"/>
      <c r="F209" s="452"/>
      <c r="G209" s="452"/>
      <c r="H209" s="452"/>
      <c r="I209" s="452"/>
      <c r="J209" s="453"/>
      <c r="K209" s="454" t="s">
        <v>155</v>
      </c>
      <c r="L209" s="455"/>
      <c r="M209" s="455"/>
      <c r="N209" s="455"/>
      <c r="O209" s="455"/>
      <c r="P209" s="455"/>
      <c r="Q209" s="456"/>
      <c r="U209" s="457" t="s">
        <v>153</v>
      </c>
      <c r="V209" s="458"/>
      <c r="W209" s="459"/>
      <c r="X209" s="451" t="s">
        <v>154</v>
      </c>
      <c r="Y209" s="452"/>
      <c r="Z209" s="452"/>
      <c r="AA209" s="452"/>
      <c r="AB209" s="452"/>
      <c r="AC209" s="452"/>
      <c r="AD209" s="452"/>
      <c r="AE209" s="452"/>
      <c r="AF209" s="453"/>
      <c r="AG209" s="454" t="s">
        <v>155</v>
      </c>
      <c r="AH209" s="455"/>
      <c r="AI209" s="455"/>
      <c r="AJ209" s="455"/>
      <c r="AK209" s="455"/>
      <c r="AL209" s="455"/>
      <c r="AM209" s="456"/>
      <c r="AT209" s="55"/>
      <c r="AU209" s="55"/>
      <c r="AV209" s="55"/>
      <c r="AW209" s="58"/>
      <c r="AX209" s="55"/>
      <c r="AY209" s="55"/>
      <c r="AZ209" s="55"/>
      <c r="BA209" s="55"/>
    </row>
    <row r="210" spans="1:53" ht="13.5" thickBot="1" x14ac:dyDescent="0.25">
      <c r="A210" s="101">
        <v>1</v>
      </c>
      <c r="B210" s="460" t="str">
        <f>B179</f>
        <v>Fort Mill 14 Bayley</v>
      </c>
      <c r="C210" s="461"/>
      <c r="D210" s="461"/>
      <c r="E210" s="461"/>
      <c r="F210" s="461"/>
      <c r="G210" s="461"/>
      <c r="H210" s="461"/>
      <c r="I210" s="461"/>
      <c r="J210" s="462"/>
      <c r="K210" s="463" t="str">
        <f>H179</f>
        <v>fj4fortm1pm</v>
      </c>
      <c r="L210" s="464"/>
      <c r="M210" s="464"/>
      <c r="N210" s="464"/>
      <c r="O210" s="464"/>
      <c r="P210" s="464"/>
      <c r="Q210" s="465"/>
      <c r="U210" s="457">
        <v>1</v>
      </c>
      <c r="V210" s="458"/>
      <c r="W210" s="459"/>
      <c r="X210" s="460" t="str">
        <f>V179</f>
        <v>CSRA Heat 14 Black</v>
      </c>
      <c r="Y210" s="461"/>
      <c r="Z210" s="461"/>
      <c r="AA210" s="461"/>
      <c r="AB210" s="461"/>
      <c r="AC210" s="461"/>
      <c r="AD210" s="461"/>
      <c r="AE210" s="461"/>
      <c r="AF210" s="462"/>
      <c r="AG210" s="463" t="str">
        <f>AB179</f>
        <v>fj4csrah3pm</v>
      </c>
      <c r="AH210" s="464"/>
      <c r="AI210" s="464"/>
      <c r="AJ210" s="464"/>
      <c r="AK210" s="464"/>
      <c r="AL210" s="464"/>
      <c r="AM210" s="465"/>
      <c r="AT210" s="55"/>
      <c r="AU210" s="55"/>
      <c r="AV210" s="55"/>
      <c r="AW210" s="58"/>
      <c r="AX210" s="55"/>
      <c r="AY210" s="55"/>
      <c r="AZ210" s="55"/>
      <c r="BA210" s="55"/>
    </row>
    <row r="211" spans="1:53" ht="13.5" thickBot="1" x14ac:dyDescent="0.25">
      <c r="A211" s="101">
        <v>2</v>
      </c>
      <c r="B211" s="460" t="str">
        <f>B180</f>
        <v>Lake Murray 14 Black</v>
      </c>
      <c r="C211" s="461"/>
      <c r="D211" s="461"/>
      <c r="E211" s="461"/>
      <c r="F211" s="461"/>
      <c r="G211" s="461"/>
      <c r="H211" s="461"/>
      <c r="I211" s="461"/>
      <c r="J211" s="462"/>
      <c r="K211" s="463" t="str">
        <f>H180</f>
        <v>fj4lakem2pm</v>
      </c>
      <c r="L211" s="464"/>
      <c r="M211" s="464"/>
      <c r="N211" s="464"/>
      <c r="O211" s="464"/>
      <c r="P211" s="464"/>
      <c r="Q211" s="465"/>
      <c r="U211" s="457">
        <v>2</v>
      </c>
      <c r="V211" s="458"/>
      <c r="W211" s="459"/>
      <c r="X211" s="460" t="str">
        <f>V180</f>
        <v>OLC 14s Purple Elite</v>
      </c>
      <c r="Y211" s="461"/>
      <c r="Z211" s="461"/>
      <c r="AA211" s="461"/>
      <c r="AB211" s="461"/>
      <c r="AC211" s="461"/>
      <c r="AD211" s="461"/>
      <c r="AE211" s="461"/>
      <c r="AF211" s="462"/>
      <c r="AG211" s="463" t="str">
        <f>AB180</f>
        <v>fj4ladyc1pm</v>
      </c>
      <c r="AH211" s="464"/>
      <c r="AI211" s="464"/>
      <c r="AJ211" s="464"/>
      <c r="AK211" s="464"/>
      <c r="AL211" s="464"/>
      <c r="AM211" s="465"/>
      <c r="AT211" s="55"/>
      <c r="AU211" s="55"/>
      <c r="AV211" s="55"/>
      <c r="AW211" s="58"/>
      <c r="AX211" s="55"/>
      <c r="AY211" s="55"/>
      <c r="AZ211" s="55"/>
      <c r="BA211" s="55"/>
    </row>
    <row r="212" spans="1:53" ht="13.5" thickBot="1" x14ac:dyDescent="0.25">
      <c r="A212" s="101">
        <v>3</v>
      </c>
      <c r="B212" s="460" t="str">
        <f>L179</f>
        <v>SCWE14AERIES</v>
      </c>
      <c r="C212" s="461"/>
      <c r="D212" s="461"/>
      <c r="E212" s="461"/>
      <c r="F212" s="461"/>
      <c r="G212" s="461"/>
      <c r="H212" s="461"/>
      <c r="I212" s="461"/>
      <c r="J212" s="462"/>
      <c r="K212" s="463" t="str">
        <f>R179</f>
        <v>fj4scwea1pm</v>
      </c>
      <c r="L212" s="464"/>
      <c r="M212" s="464"/>
      <c r="N212" s="464"/>
      <c r="O212" s="464"/>
      <c r="P212" s="464"/>
      <c r="Q212" s="465"/>
      <c r="U212" s="457">
        <v>3</v>
      </c>
      <c r="V212" s="458"/>
      <c r="W212" s="459"/>
      <c r="X212" s="460" t="str">
        <f>AF179</f>
        <v>CHSElite 14-A</v>
      </c>
      <c r="Y212" s="461"/>
      <c r="Z212" s="461"/>
      <c r="AA212" s="461"/>
      <c r="AB212" s="461"/>
      <c r="AC212" s="461"/>
      <c r="AD212" s="461"/>
      <c r="AE212" s="461"/>
      <c r="AF212" s="462"/>
      <c r="AG212" s="463" t="str">
        <f>AL179</f>
        <v>fj4celit1pm</v>
      </c>
      <c r="AH212" s="464"/>
      <c r="AI212" s="464"/>
      <c r="AJ212" s="464"/>
      <c r="AK212" s="464"/>
      <c r="AL212" s="464"/>
      <c r="AM212" s="465"/>
      <c r="AT212" s="55"/>
      <c r="AU212" s="55"/>
      <c r="AV212" s="55"/>
      <c r="AW212" s="58"/>
      <c r="AX212" s="55"/>
      <c r="AY212" s="55"/>
      <c r="AZ212" s="55"/>
      <c r="BA212" s="55"/>
    </row>
    <row r="213" spans="1:53" ht="13.5" thickBot="1" x14ac:dyDescent="0.25">
      <c r="A213" s="101">
        <v>4</v>
      </c>
      <c r="B213" s="460" t="str">
        <f>L180</f>
        <v>Columbia SC Starlings 14</v>
      </c>
      <c r="C213" s="461"/>
      <c r="D213" s="461"/>
      <c r="E213" s="461"/>
      <c r="F213" s="461"/>
      <c r="G213" s="461"/>
      <c r="H213" s="461"/>
      <c r="I213" s="461"/>
      <c r="J213" s="462"/>
      <c r="K213" s="463" t="str">
        <f>R180</f>
        <v>fj4starl1pm</v>
      </c>
      <c r="L213" s="464"/>
      <c r="M213" s="464"/>
      <c r="N213" s="464"/>
      <c r="O213" s="464"/>
      <c r="P213" s="464"/>
      <c r="Q213" s="465"/>
      <c r="U213" s="457">
        <v>4</v>
      </c>
      <c r="V213" s="458"/>
      <c r="W213" s="459"/>
      <c r="X213" s="460" t="str">
        <f>AF180</f>
        <v>SC Midlands 14 Black</v>
      </c>
      <c r="Y213" s="461"/>
      <c r="Z213" s="461"/>
      <c r="AA213" s="461"/>
      <c r="AB213" s="461"/>
      <c r="AC213" s="461"/>
      <c r="AD213" s="461"/>
      <c r="AE213" s="461"/>
      <c r="AF213" s="462"/>
      <c r="AG213" s="463" t="str">
        <f>AL180</f>
        <v>fj4scmid3pm</v>
      </c>
      <c r="AH213" s="464"/>
      <c r="AI213" s="464"/>
      <c r="AJ213" s="464"/>
      <c r="AK213" s="464"/>
      <c r="AL213" s="464"/>
      <c r="AM213" s="465"/>
      <c r="AT213" s="55"/>
      <c r="AU213" s="55"/>
      <c r="AV213" s="55"/>
      <c r="AW213" s="58"/>
      <c r="AX213" s="55"/>
      <c r="AY213" s="55"/>
      <c r="AZ213" s="55"/>
      <c r="BA213" s="55"/>
    </row>
    <row r="214" spans="1:53" ht="13.5" thickBot="1" x14ac:dyDescent="0.25">
      <c r="AT214" s="55"/>
      <c r="AU214" s="55"/>
      <c r="AV214" s="55"/>
      <c r="AW214" s="58"/>
      <c r="AX214" s="55"/>
      <c r="AY214" s="55"/>
      <c r="AZ214" s="55"/>
      <c r="BA214" s="55"/>
    </row>
    <row r="215" spans="1:53" x14ac:dyDescent="0.2">
      <c r="B215" s="466" t="s">
        <v>156</v>
      </c>
      <c r="C215" s="467"/>
      <c r="D215" s="468"/>
      <c r="E215" s="469" t="s">
        <v>156</v>
      </c>
      <c r="F215" s="467"/>
      <c r="G215" s="468"/>
      <c r="H215" s="469" t="s">
        <v>14</v>
      </c>
      <c r="I215" s="467"/>
      <c r="J215" s="470"/>
      <c r="K215" s="471" t="s">
        <v>157</v>
      </c>
      <c r="L215" s="472"/>
      <c r="M215" s="472"/>
      <c r="N215" s="472"/>
      <c r="O215" s="472"/>
      <c r="P215" s="472"/>
      <c r="Q215" s="473"/>
      <c r="R215" s="102"/>
      <c r="S215" s="102"/>
      <c r="T215" s="102"/>
      <c r="U215" s="102"/>
      <c r="W215" s="466" t="s">
        <v>156</v>
      </c>
      <c r="X215" s="467"/>
      <c r="Y215" s="468"/>
      <c r="Z215" s="469" t="s">
        <v>156</v>
      </c>
      <c r="AA215" s="467"/>
      <c r="AB215" s="468"/>
      <c r="AC215" s="469" t="s">
        <v>14</v>
      </c>
      <c r="AD215" s="467"/>
      <c r="AE215" s="470"/>
      <c r="AF215" s="471" t="s">
        <v>157</v>
      </c>
      <c r="AG215" s="480"/>
      <c r="AH215" s="480"/>
      <c r="AI215" s="480"/>
      <c r="AJ215" s="481"/>
      <c r="AW215" s="58"/>
      <c r="AX215" s="55"/>
      <c r="AY215" s="55"/>
      <c r="AZ215" s="55"/>
      <c r="BA215" s="55"/>
    </row>
    <row r="216" spans="1:53" x14ac:dyDescent="0.2">
      <c r="A216" s="41" t="s">
        <v>158</v>
      </c>
      <c r="B216" s="488">
        <v>3</v>
      </c>
      <c r="C216" s="489"/>
      <c r="D216" s="490"/>
      <c r="E216" s="491" t="s">
        <v>159</v>
      </c>
      <c r="F216" s="489"/>
      <c r="G216" s="490"/>
      <c r="H216" s="491" t="s">
        <v>160</v>
      </c>
      <c r="I216" s="489"/>
      <c r="J216" s="492"/>
      <c r="K216" s="474"/>
      <c r="L216" s="475"/>
      <c r="M216" s="475"/>
      <c r="N216" s="475"/>
      <c r="O216" s="475"/>
      <c r="P216" s="475"/>
      <c r="Q216" s="476"/>
      <c r="R216" s="102"/>
      <c r="S216" s="102"/>
      <c r="T216" s="493" t="s">
        <v>158</v>
      </c>
      <c r="U216" s="493"/>
      <c r="V216" s="494"/>
      <c r="W216" s="488">
        <v>3</v>
      </c>
      <c r="X216" s="489"/>
      <c r="Y216" s="490"/>
      <c r="Z216" s="491" t="s">
        <v>159</v>
      </c>
      <c r="AA216" s="489"/>
      <c r="AB216" s="490"/>
      <c r="AC216" s="491" t="s">
        <v>160</v>
      </c>
      <c r="AD216" s="489"/>
      <c r="AE216" s="492"/>
      <c r="AF216" s="482"/>
      <c r="AG216" s="483"/>
      <c r="AH216" s="483"/>
      <c r="AI216" s="483"/>
      <c r="AJ216" s="484"/>
      <c r="AW216" s="58"/>
      <c r="AX216" s="55"/>
      <c r="AY216" s="55"/>
      <c r="AZ216" s="55"/>
      <c r="BA216" s="55"/>
    </row>
    <row r="217" spans="1:53" ht="13.5" thickBot="1" x14ac:dyDescent="0.25">
      <c r="A217" s="7"/>
      <c r="B217" s="501" t="s">
        <v>70</v>
      </c>
      <c r="C217" s="323"/>
      <c r="D217" s="324"/>
      <c r="E217" s="322" t="s">
        <v>161</v>
      </c>
      <c r="F217" s="323"/>
      <c r="G217" s="324"/>
      <c r="H217" s="322" t="s">
        <v>162</v>
      </c>
      <c r="I217" s="323"/>
      <c r="J217" s="495"/>
      <c r="K217" s="477"/>
      <c r="L217" s="478"/>
      <c r="M217" s="478"/>
      <c r="N217" s="478"/>
      <c r="O217" s="478"/>
      <c r="P217" s="478"/>
      <c r="Q217" s="479"/>
      <c r="R217" s="102"/>
      <c r="S217" s="102"/>
      <c r="T217" s="499"/>
      <c r="U217" s="499"/>
      <c r="V217" s="500"/>
      <c r="W217" s="501" t="s">
        <v>70</v>
      </c>
      <c r="X217" s="323"/>
      <c r="Y217" s="324"/>
      <c r="Z217" s="322" t="s">
        <v>161</v>
      </c>
      <c r="AA217" s="323"/>
      <c r="AB217" s="324"/>
      <c r="AC217" s="322" t="s">
        <v>162</v>
      </c>
      <c r="AD217" s="323"/>
      <c r="AE217" s="495"/>
      <c r="AF217" s="485"/>
      <c r="AG217" s="486"/>
      <c r="AH217" s="486"/>
      <c r="AI217" s="486"/>
      <c r="AJ217" s="487"/>
      <c r="AW217" s="58"/>
      <c r="AX217" s="55"/>
      <c r="AY217" s="55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1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3</v>
      </c>
      <c r="K218" s="496" t="s">
        <v>163</v>
      </c>
      <c r="L218" s="497"/>
      <c r="M218" s="497"/>
      <c r="N218" s="498"/>
      <c r="R218" s="102"/>
      <c r="S218" s="102"/>
      <c r="T218" s="499"/>
      <c r="U218" s="499"/>
      <c r="V218" s="500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4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2</v>
      </c>
      <c r="AF218" s="496" t="s">
        <v>163</v>
      </c>
      <c r="AG218" s="498"/>
      <c r="AH218" s="102"/>
      <c r="AI218" s="102"/>
      <c r="AJ218" s="102"/>
      <c r="AW218" s="58"/>
      <c r="AX218" s="55"/>
      <c r="AY218" s="55"/>
      <c r="AZ218" s="55"/>
      <c r="BA218" s="55"/>
    </row>
    <row r="219" spans="1:53" ht="13.5" hidden="1" customHeight="1" x14ac:dyDescent="0.2">
      <c r="A219" s="7"/>
      <c r="B219" s="110">
        <f>IF(B223&gt;D223,1,0)</f>
        <v>1</v>
      </c>
      <c r="C219" s="111"/>
      <c r="D219" s="112">
        <f>IF(D223&gt;B223,1,0)</f>
        <v>0</v>
      </c>
      <c r="E219" s="110">
        <f>IF(E223&gt;G223,1,0)</f>
        <v>0</v>
      </c>
      <c r="F219" s="111"/>
      <c r="G219" s="112">
        <f>IF(G223&gt;E223,1,0)</f>
        <v>1</v>
      </c>
      <c r="H219" s="110">
        <f>IF(H223&gt;J223,1,0)</f>
        <v>1</v>
      </c>
      <c r="I219" s="111"/>
      <c r="J219" s="112">
        <f>IF(J223&gt;H223,1,0)</f>
        <v>0</v>
      </c>
      <c r="K219" s="113"/>
      <c r="L219" s="114"/>
      <c r="M219" s="114"/>
      <c r="N219" s="115"/>
      <c r="R219" s="102"/>
      <c r="S219" s="102"/>
      <c r="T219" s="499"/>
      <c r="U219" s="499"/>
      <c r="V219" s="500"/>
      <c r="W219" s="110">
        <f>IF(W223&gt;Y223,1,0)</f>
        <v>0</v>
      </c>
      <c r="X219" s="111"/>
      <c r="Y219" s="112">
        <f>IF(Y223&gt;W223,1,0)</f>
        <v>1</v>
      </c>
      <c r="Z219" s="110">
        <f>IF(Z223&gt;AB223,1,0)</f>
        <v>1</v>
      </c>
      <c r="AA219" s="111"/>
      <c r="AB219" s="112">
        <f>IF(AB223&gt;Z223,1,0)</f>
        <v>0</v>
      </c>
      <c r="AC219" s="110">
        <f>IF(AC223&gt;AE223,1,0)</f>
        <v>1</v>
      </c>
      <c r="AD219" s="111"/>
      <c r="AE219" s="112">
        <f>IF(AE223&gt;AC223,1,0)</f>
        <v>0</v>
      </c>
      <c r="AF219" s="116"/>
      <c r="AG219" s="117"/>
      <c r="AH219" s="102"/>
      <c r="AI219" s="102"/>
      <c r="AJ219" s="102"/>
      <c r="AW219" s="58"/>
      <c r="AX219" s="55"/>
      <c r="AY219" s="55"/>
      <c r="AZ219" s="55"/>
      <c r="BA219" s="55"/>
    </row>
    <row r="220" spans="1:53" ht="13.5" hidden="1" customHeight="1" x14ac:dyDescent="0.2">
      <c r="A220" s="7"/>
      <c r="B220" s="110">
        <f>IF(B224&gt;D224,1,0)</f>
        <v>0</v>
      </c>
      <c r="C220" s="111"/>
      <c r="D220" s="112">
        <f>IF(D224&gt;B224,1,0)</f>
        <v>0</v>
      </c>
      <c r="E220" s="110">
        <f>IF(E224&gt;G224,1,0)</f>
        <v>0</v>
      </c>
      <c r="F220" s="111"/>
      <c r="G220" s="112">
        <f>IF(G224&gt;E224,1,0)</f>
        <v>0</v>
      </c>
      <c r="H220" s="110">
        <f>IF(H224&gt;J224,1,0)</f>
        <v>1</v>
      </c>
      <c r="I220" s="111"/>
      <c r="J220" s="112">
        <f>IF(J224&gt;H224,1,0)</f>
        <v>0</v>
      </c>
      <c r="K220" s="113"/>
      <c r="L220" s="114"/>
      <c r="M220" s="114"/>
      <c r="N220" s="115"/>
      <c r="R220" s="102"/>
      <c r="S220" s="102"/>
      <c r="T220" s="499"/>
      <c r="U220" s="499"/>
      <c r="V220" s="500"/>
      <c r="W220" s="110">
        <f>IF(W224&gt;Y224,1,0)</f>
        <v>0</v>
      </c>
      <c r="X220" s="111"/>
      <c r="Y220" s="112">
        <f>IF(Y224&gt;W224,1,0)</f>
        <v>0</v>
      </c>
      <c r="Z220" s="110">
        <f>IF(Z224&gt;AB224,1,0)</f>
        <v>0</v>
      </c>
      <c r="AA220" s="111"/>
      <c r="AB220" s="112">
        <f>IF(AB224&gt;Z224,1,0)</f>
        <v>0</v>
      </c>
      <c r="AC220" s="110">
        <f>IF(AC224&gt;AE224,1,0)</f>
        <v>0</v>
      </c>
      <c r="AD220" s="111"/>
      <c r="AE220" s="112">
        <f>IF(AE224&gt;AC224,1,0)</f>
        <v>1</v>
      </c>
      <c r="AF220" s="116"/>
      <c r="AG220" s="117"/>
      <c r="AH220" s="102"/>
      <c r="AI220" s="102"/>
      <c r="AJ220" s="102"/>
      <c r="AW220" s="58"/>
      <c r="AX220" s="55"/>
      <c r="AY220" s="55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0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0</v>
      </c>
      <c r="K221" s="113"/>
      <c r="L221" s="114"/>
      <c r="M221" s="114"/>
      <c r="N221" s="115"/>
      <c r="R221" s="102"/>
      <c r="S221" s="102"/>
      <c r="T221" s="499"/>
      <c r="U221" s="499"/>
      <c r="V221" s="500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0</v>
      </c>
      <c r="AA221" s="111"/>
      <c r="AB221" s="112">
        <f>IF(AB225&gt;Z225,1,0)</f>
        <v>0</v>
      </c>
      <c r="AC221" s="110">
        <f>IF(AC225&gt;AE225,1,0)</f>
        <v>1</v>
      </c>
      <c r="AD221" s="111"/>
      <c r="AE221" s="112">
        <f>IF(AE225&gt;AC225,1,0)</f>
        <v>0</v>
      </c>
      <c r="AF221" s="116"/>
      <c r="AG221" s="117"/>
      <c r="AH221" s="102"/>
      <c r="AI221" s="102"/>
      <c r="AJ221" s="102"/>
      <c r="AW221" s="58"/>
      <c r="AX221" s="55"/>
      <c r="AY221" s="55"/>
      <c r="AZ221" s="55"/>
      <c r="BA221" s="55"/>
    </row>
    <row r="222" spans="1:53" ht="13.5" hidden="1" customHeight="1" x14ac:dyDescent="0.2">
      <c r="A222" s="7"/>
      <c r="B222" s="110">
        <f>SUM(B219:B221)</f>
        <v>1</v>
      </c>
      <c r="C222" s="111"/>
      <c r="D222" s="110">
        <f>SUM(D219:D221)</f>
        <v>0</v>
      </c>
      <c r="E222" s="110">
        <f>SUM(E219:E221)</f>
        <v>0</v>
      </c>
      <c r="F222" s="111"/>
      <c r="G222" s="110">
        <f>SUM(G219:G221)</f>
        <v>1</v>
      </c>
      <c r="H222" s="110">
        <f>SUM(H219:H221)</f>
        <v>2</v>
      </c>
      <c r="I222" s="111"/>
      <c r="J222" s="110">
        <f>SUM(J219:J221)</f>
        <v>0</v>
      </c>
      <c r="K222" s="113"/>
      <c r="L222" s="114"/>
      <c r="M222" s="114"/>
      <c r="N222" s="115"/>
      <c r="R222" s="102"/>
      <c r="S222" s="102"/>
      <c r="T222" s="499"/>
      <c r="U222" s="499"/>
      <c r="V222" s="500"/>
      <c r="W222" s="110">
        <f>SUM(W219:W221)</f>
        <v>0</v>
      </c>
      <c r="X222" s="111"/>
      <c r="Y222" s="110">
        <f>SUM(Y219:Y221)</f>
        <v>1</v>
      </c>
      <c r="Z222" s="110">
        <f>SUM(Z219:Z221)</f>
        <v>1</v>
      </c>
      <c r="AA222" s="111"/>
      <c r="AB222" s="110">
        <f>SUM(AB219:AB221)</f>
        <v>0</v>
      </c>
      <c r="AC222" s="110">
        <f>SUM(AC219:AC221)</f>
        <v>2</v>
      </c>
      <c r="AD222" s="111"/>
      <c r="AE222" s="110">
        <f>SUM(AE219:AE221)</f>
        <v>1</v>
      </c>
      <c r="AF222" s="116"/>
      <c r="AG222" s="117"/>
      <c r="AH222" s="102"/>
      <c r="AI222" s="102"/>
      <c r="AJ222" s="102"/>
      <c r="AW222" s="58"/>
      <c r="AX222" s="55"/>
      <c r="AY222" s="55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22</v>
      </c>
      <c r="E223" s="120">
        <v>21</v>
      </c>
      <c r="F223" s="50" t="s">
        <v>80</v>
      </c>
      <c r="G223" s="119">
        <v>25</v>
      </c>
      <c r="H223" s="120">
        <v>25</v>
      </c>
      <c r="I223" s="50" t="s">
        <v>80</v>
      </c>
      <c r="J223" s="121">
        <v>21</v>
      </c>
      <c r="K223" s="504">
        <f>IF(AND(OR(H222&gt;0,J222&gt;0),AND(1&lt;=H218,H218&lt;=4),AND(1&lt;=J218,J218&lt;=4)),IF(H222&gt;J222,H218,IF(J222&gt;H222,J218,"")),"")</f>
        <v>1</v>
      </c>
      <c r="L223" s="505"/>
      <c r="M223" s="505"/>
      <c r="N223" s="506"/>
      <c r="R223" s="102"/>
      <c r="S223" s="102"/>
      <c r="T223" s="122"/>
      <c r="U223" s="122"/>
      <c r="V223" s="5" t="s">
        <v>79</v>
      </c>
      <c r="W223" s="118">
        <v>22</v>
      </c>
      <c r="X223" s="50" t="s">
        <v>80</v>
      </c>
      <c r="Y223" s="119">
        <v>25</v>
      </c>
      <c r="Z223" s="120">
        <v>25</v>
      </c>
      <c r="AA223" s="50" t="s">
        <v>80</v>
      </c>
      <c r="AB223" s="119">
        <v>17</v>
      </c>
      <c r="AC223" s="120">
        <v>25</v>
      </c>
      <c r="AD223" s="50" t="s">
        <v>80</v>
      </c>
      <c r="AE223" s="121">
        <v>23</v>
      </c>
      <c r="AF223" s="504">
        <f>IF(AND(OR(AC222&gt;0,AE222&gt;0),AND(1&lt;=AC218,AC218&lt;=4),AND(1&lt;=AE218,AE218&lt;=4)),IF(AC222&gt;AE222,AC218,IF(AE222&gt;AC222,AE218,"")),"")</f>
        <v>4</v>
      </c>
      <c r="AG223" s="506"/>
      <c r="AH223" s="102"/>
      <c r="AI223" s="102"/>
      <c r="AJ223" s="102"/>
      <c r="AW223" s="58"/>
      <c r="AX223" s="55"/>
      <c r="AY223" s="55"/>
      <c r="AZ223" s="55"/>
      <c r="BA223" s="55"/>
    </row>
    <row r="224" spans="1:53" ht="12.75" customHeight="1" x14ac:dyDescent="0.2">
      <c r="A224" s="5" t="s">
        <v>164</v>
      </c>
      <c r="B224" s="118"/>
      <c r="C224" s="50" t="s">
        <v>80</v>
      </c>
      <c r="D224" s="119"/>
      <c r="E224" s="120"/>
      <c r="F224" s="50" t="s">
        <v>80</v>
      </c>
      <c r="G224" s="119"/>
      <c r="H224" s="120">
        <v>25</v>
      </c>
      <c r="I224" s="50" t="s">
        <v>80</v>
      </c>
      <c r="J224" s="121">
        <v>15</v>
      </c>
      <c r="K224" s="507"/>
      <c r="L224" s="508"/>
      <c r="M224" s="508"/>
      <c r="N224" s="509"/>
      <c r="R224" s="102"/>
      <c r="S224" s="102"/>
      <c r="T224" s="122"/>
      <c r="U224" s="122"/>
      <c r="V224" s="5" t="s">
        <v>164</v>
      </c>
      <c r="W224" s="118"/>
      <c r="X224" s="50" t="s">
        <v>80</v>
      </c>
      <c r="Y224" s="119"/>
      <c r="Z224" s="120"/>
      <c r="AA224" s="50" t="s">
        <v>80</v>
      </c>
      <c r="AB224" s="119"/>
      <c r="AC224" s="120">
        <v>13</v>
      </c>
      <c r="AD224" s="50" t="s">
        <v>80</v>
      </c>
      <c r="AE224" s="121">
        <v>25</v>
      </c>
      <c r="AF224" s="507"/>
      <c r="AG224" s="509"/>
      <c r="AH224" s="102"/>
      <c r="AI224" s="102"/>
      <c r="AJ224" s="102"/>
      <c r="AW224" s="58"/>
      <c r="AX224" s="55"/>
      <c r="AY224" s="55"/>
      <c r="AZ224" s="55"/>
      <c r="BA224" s="55"/>
    </row>
    <row r="225" spans="1:77" ht="13.5" customHeight="1" thickBot="1" x14ac:dyDescent="0.25">
      <c r="A225" s="5" t="s">
        <v>165</v>
      </c>
      <c r="B225" s="123"/>
      <c r="C225" s="124" t="s">
        <v>80</v>
      </c>
      <c r="D225" s="125"/>
      <c r="E225" s="126"/>
      <c r="F225" s="124" t="s">
        <v>80</v>
      </c>
      <c r="G225" s="125"/>
      <c r="H225" s="126"/>
      <c r="I225" s="124" t="s">
        <v>80</v>
      </c>
      <c r="J225" s="127"/>
      <c r="K225" s="510"/>
      <c r="L225" s="511"/>
      <c r="M225" s="511"/>
      <c r="N225" s="512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/>
      <c r="AA225" s="124" t="s">
        <v>80</v>
      </c>
      <c r="AB225" s="125"/>
      <c r="AC225" s="126">
        <v>15</v>
      </c>
      <c r="AD225" s="124" t="s">
        <v>80</v>
      </c>
      <c r="AE225" s="127">
        <v>11</v>
      </c>
      <c r="AF225" s="510"/>
      <c r="AG225" s="512"/>
      <c r="AH225" s="102"/>
      <c r="AI225" s="102"/>
      <c r="AJ225" s="102"/>
      <c r="AW225" s="58"/>
      <c r="AX225" s="55"/>
      <c r="AY225" s="55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Fort Mill 14 Bayley</v>
      </c>
      <c r="AU226" s="4">
        <f>J227</f>
        <v>2125.9014593645511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Fort Mill 14 Bayley</v>
      </c>
      <c r="C227" s="4">
        <f>VLOOKUP(B227,AU$2:AY$22,4,FALSE)</f>
        <v>2112.5852906902842</v>
      </c>
      <c r="D227" s="4">
        <f>IF(A227=B218,B233,IF(A227=D218,D233,C227))</f>
        <v>2116.793626754612</v>
      </c>
      <c r="G227" s="4">
        <f>IF(A227=E218,E233,IF(A227=G218,G233,D227))</f>
        <v>2116.793626754612</v>
      </c>
      <c r="J227" s="4">
        <f>IF(A227=H218,H233,IF(A227=J218,J233,G227))</f>
        <v>2125.9014593645511</v>
      </c>
      <c r="U227" s="129"/>
      <c r="V227" s="129">
        <v>1</v>
      </c>
      <c r="W227" s="4" t="str">
        <f>X210</f>
        <v>CSRA Heat 14 Black</v>
      </c>
      <c r="X227" s="4">
        <f>VLOOKUP(W227,AU$2:AY$22,4,FALSE)</f>
        <v>1862.3573600985021</v>
      </c>
      <c r="Y227" s="4">
        <f>IF(V227=W218,W233,IF(V227=Y218,Y233,X227))</f>
        <v>1852.5892192097544</v>
      </c>
      <c r="AB227" s="4">
        <f>IF(V227=Z218,Z233,IF(V227=AB218,AB233,Y227))</f>
        <v>1852.5892192097544</v>
      </c>
      <c r="AE227" s="4">
        <f>IF(V227=AC218,AC233,IF(V227=AE218,AE233,AB227))</f>
        <v>1852.5892192097544</v>
      </c>
      <c r="AT227" s="4" t="str">
        <f>B228</f>
        <v>Lake Murray 14 Black</v>
      </c>
      <c r="AU227" s="4">
        <f>J228</f>
        <v>2033.1069131537579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Lake Murray 14 Black</v>
      </c>
      <c r="C228" s="4">
        <f>VLOOKUP(B228,AU$2:AY$22,4,FALSE)</f>
        <v>2043.2791651722152</v>
      </c>
      <c r="D228" s="4">
        <f>IF(A228=B218,B233,IF(A228=D218,D233,C228))</f>
        <v>2043.2791651722152</v>
      </c>
      <c r="G228" s="4">
        <f>IF(A228=E218,E233,IF(A228=G218,G233,D228))</f>
        <v>2033.1069131537579</v>
      </c>
      <c r="J228" s="4">
        <f>IF(A228=H218,H233,IF(A228=J218,J233,G228))</f>
        <v>2033.1069131537579</v>
      </c>
      <c r="U228" s="129"/>
      <c r="V228" s="129">
        <v>2</v>
      </c>
      <c r="W228" s="4" t="str">
        <f>X211</f>
        <v>OLC 14s Purple Elite</v>
      </c>
      <c r="X228" s="4">
        <f>VLOOKUP(W228,AU$2:AY$22,4,FALSE)</f>
        <v>1941.9426922886557</v>
      </c>
      <c r="Y228" s="4">
        <f>IF(V228=W218,W233,IF(V228=Y218,Y233,X228))</f>
        <v>1941.9426922886557</v>
      </c>
      <c r="AB228" s="4">
        <f>IF(V228=Z218,Z233,IF(V228=AB218,AB233,Y228))</f>
        <v>1946.560177292235</v>
      </c>
      <c r="AE228" s="4">
        <f>IF(V228=AC218,AC233,IF(V228=AE218,AE233,AB228))</f>
        <v>1928.6532904156654</v>
      </c>
      <c r="AT228" s="4" t="str">
        <f>B229</f>
        <v>SCWE14AERIES</v>
      </c>
      <c r="AU228" s="4">
        <f>J229</f>
        <v>1947.5770451023341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SCWE14AERIES</v>
      </c>
      <c r="C229" s="4">
        <f>VLOOKUP(B229,AU$2:AY$22,4,FALSE)</f>
        <v>1946.5126256938156</v>
      </c>
      <c r="D229" s="4">
        <f>IF(A229=B218,B233,IF(A229=D218,D233,C229))</f>
        <v>1946.5126256938156</v>
      </c>
      <c r="G229" s="4">
        <f>IF(A229=E218,E233,IF(A229=G218,G233,D229))</f>
        <v>1956.684877712273</v>
      </c>
      <c r="J229" s="4">
        <f>IF(A229=H218,H233,IF(A229=J218,J233,G229))</f>
        <v>1947.5770451023341</v>
      </c>
      <c r="U229" s="129"/>
      <c r="V229" s="129">
        <v>3</v>
      </c>
      <c r="W229" s="4" t="str">
        <f>X212</f>
        <v>CHSElite 14-A</v>
      </c>
      <c r="X229" s="4">
        <f>VLOOKUP(W229,AU$2:AY$22,4,FALSE)</f>
        <v>1785.2095972783534</v>
      </c>
      <c r="Y229" s="4">
        <f>IF(V229=W218,W233,IF(V229=Y218,Y233,X229))</f>
        <v>1785.2095972783534</v>
      </c>
      <c r="AB229" s="4">
        <f>IF(V229=Z218,Z233,IF(V229=AB218,AB233,Y229))</f>
        <v>1780.5921122747741</v>
      </c>
      <c r="AE229" s="4">
        <f>IF(V229=AC218,AC233,IF(V229=AE218,AE233,AB229))</f>
        <v>1780.5921122747741</v>
      </c>
      <c r="AT229" s="4" t="str">
        <f>B230</f>
        <v>Columbia SC Starlings 14</v>
      </c>
      <c r="AU229" s="4">
        <f>J230</f>
        <v>1929.3910828969913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Columbia SC Starlings 14</v>
      </c>
      <c r="C230" s="4">
        <f>VLOOKUP(B230,AU$2:AY$22,4,FALSE)</f>
        <v>1933.5994189613193</v>
      </c>
      <c r="D230" s="4">
        <f>IF(A230=B218,B233,IF(A230=D218,D233,C230))</f>
        <v>1929.3910828969913</v>
      </c>
      <c r="G230" s="4">
        <f>IF(A230=E218,E233,IF(A230=G218,G233,D230))</f>
        <v>1929.3910828969913</v>
      </c>
      <c r="J230" s="4">
        <f>IF(A230=H218,H233,IF(A230=J218,J233,G230))</f>
        <v>1929.3910828969913</v>
      </c>
      <c r="U230" s="129"/>
      <c r="V230" s="129">
        <v>4</v>
      </c>
      <c r="W230" s="4" t="str">
        <f>X213</f>
        <v>SC Midlands 14 Black</v>
      </c>
      <c r="X230" s="4">
        <f>VLOOKUP(W230,AU$2:AY$22,4,FALSE)</f>
        <v>1784.2796446529082</v>
      </c>
      <c r="Y230" s="4">
        <f>IF(V230=W218,W233,IF(V230=Y218,Y233,X230))</f>
        <v>1794.0477855416559</v>
      </c>
      <c r="AB230" s="4">
        <f>IF(V230=Z218,Z233,IF(V230=AB218,AB233,Y230))</f>
        <v>1794.0477855416559</v>
      </c>
      <c r="AE230" s="4">
        <f>IF(V230=AC218,AC233,IF(V230=AE218,AE233,AB230))</f>
        <v>1811.9546724182255</v>
      </c>
      <c r="AT230" s="4" t="str">
        <f>W227</f>
        <v>CSRA Heat 14 Black</v>
      </c>
      <c r="AU230" s="4">
        <f>AE227</f>
        <v>1852.5892192097544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2112.5852906902842</v>
      </c>
      <c r="D231" s="4">
        <f>VLOOKUP(D218,$A227:$J230,3,FALSE)</f>
        <v>1933.5994189613193</v>
      </c>
      <c r="E231" s="4">
        <f>VLOOKUP(E218,$A227:$J230,4,FALSE)</f>
        <v>2043.2791651722152</v>
      </c>
      <c r="G231" s="4">
        <f>VLOOKUP(G218,$A227:$J230,4,FALSE)</f>
        <v>1946.5126256938156</v>
      </c>
      <c r="H231" s="4">
        <f>VLOOKUP(H218,$A227:$J230,7,FALSE)</f>
        <v>2116.793626754612</v>
      </c>
      <c r="J231" s="4">
        <f>VLOOKUP(J218,$A227:$J230,7,FALSE)</f>
        <v>1956.684877712273</v>
      </c>
      <c r="T231" s="513" t="s">
        <v>116</v>
      </c>
      <c r="U231" s="513"/>
      <c r="V231" s="513"/>
      <c r="W231" s="4">
        <f>VLOOKUP(W218,$V227:$AE230,3,FALSE)</f>
        <v>1862.3573600985021</v>
      </c>
      <c r="Y231" s="4">
        <f>VLOOKUP(Y218,$V227:$AE230,3,FALSE)</f>
        <v>1784.2796446529082</v>
      </c>
      <c r="Z231" s="4">
        <f>VLOOKUP(Z218,$V227:$AE230,4,FALSE)</f>
        <v>1941.9426922886557</v>
      </c>
      <c r="AB231" s="4">
        <f>VLOOKUP(AB218,$V227:$AE230,4,FALSE)</f>
        <v>1785.2095972783534</v>
      </c>
      <c r="AC231" s="4">
        <f>VLOOKUP(AC218,$V227:$AE230,7,FALSE)</f>
        <v>1794.0477855416559</v>
      </c>
      <c r="AE231" s="4">
        <f>VLOOKUP(AE218,$V227:$AE230,7,FALSE)</f>
        <v>1946.560177292235</v>
      </c>
      <c r="AT231" s="4" t="str">
        <f>W228</f>
        <v>OLC 14s Purple Elite</v>
      </c>
      <c r="AU231" s="4">
        <f>AE228</f>
        <v>1928.6532904156654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1/(1+(10^-((B231-D231)/400)))*(B222+D222)</f>
        <v>0.73697899597950023</v>
      </c>
      <c r="C232" s="69"/>
      <c r="D232" s="69">
        <f>1/(1+(10^-((D231-B231)/400)))*(B222+D222)</f>
        <v>0.26302100402049977</v>
      </c>
      <c r="E232" s="69">
        <f>1/(1+(10^-((E231-G231)/400)))*(E222+G222)</f>
        <v>0.63576575115359124</v>
      </c>
      <c r="G232" s="69">
        <f>1/(1+(10^-((G231-E231)/400)))*(E222+G222)</f>
        <v>0.36423424884640876</v>
      </c>
      <c r="H232" s="69">
        <f>1/(1+(10^-((H231-J231)/400)))*(H222+J222)</f>
        <v>1.4307604618788139</v>
      </c>
      <c r="J232" s="69">
        <f>1/(1+(10^-((J231-H231)/400)))*(H222+J222)</f>
        <v>0.56923953812118622</v>
      </c>
      <c r="T232" s="514" t="s">
        <v>117</v>
      </c>
      <c r="U232" s="514"/>
      <c r="V232" s="514"/>
      <c r="W232" s="69">
        <f>1/(1+(10^-((W231-Y231)/400)))*(W222+Y222)</f>
        <v>0.61050880554673137</v>
      </c>
      <c r="X232" s="69"/>
      <c r="Y232" s="69">
        <f>1/(1+(10^-((Y231-W231)/400)))*(W222+Y222)</f>
        <v>0.38949119445326869</v>
      </c>
      <c r="Z232" s="69">
        <f>1/(1+(10^-((Z231-AB231)/400)))*(Z222+AB222)</f>
        <v>0.71140718727629204</v>
      </c>
      <c r="AB232" s="69">
        <f>1/(1+(10^-((AB231-Z231)/400)))*(Z222+AB222)</f>
        <v>0.2885928127237079</v>
      </c>
      <c r="AC232" s="69">
        <f>1/(1+(10^-((AC231-AE231)/400)))*(AC222+AE222)</f>
        <v>0.8808195702143975</v>
      </c>
      <c r="AE232" s="69">
        <f>1/(1+(10^-((AE231-AC231)/400)))*(AC222+AE222)</f>
        <v>2.1191804297856023</v>
      </c>
      <c r="AT232" s="4" t="str">
        <f>W229</f>
        <v>CHSElite 14-A</v>
      </c>
      <c r="AU232" s="4">
        <f>AE229</f>
        <v>1780.5921122747741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2116.793626754612</v>
      </c>
      <c r="C233" s="75"/>
      <c r="D233" s="75">
        <f>D231+(D222-D232)*$BA$2</f>
        <v>1929.3910828969913</v>
      </c>
      <c r="E233" s="75">
        <f>E231+(E222-E232)*$BA$2</f>
        <v>2033.1069131537579</v>
      </c>
      <c r="G233" s="75">
        <f>G231+(G222-G232)*$BA$2</f>
        <v>1956.684877712273</v>
      </c>
      <c r="H233" s="75">
        <f>H231+(H222-H232)*$BA$2</f>
        <v>2125.9014593645511</v>
      </c>
      <c r="J233" s="75">
        <f>J231+(J222-J232)*$BA$2</f>
        <v>1947.5770451023341</v>
      </c>
      <c r="T233" s="502" t="s">
        <v>118</v>
      </c>
      <c r="U233" s="502"/>
      <c r="V233" s="502"/>
      <c r="W233" s="75">
        <f>W231+(W222-W232)*$BA$2</f>
        <v>1852.5892192097544</v>
      </c>
      <c r="X233" s="75"/>
      <c r="Y233" s="75">
        <f>Y231+(Y222-Y232)*$BA$2</f>
        <v>1794.0477855416559</v>
      </c>
      <c r="Z233" s="75">
        <f>Z231+(Z222-Z232)*$BA$2</f>
        <v>1946.560177292235</v>
      </c>
      <c r="AB233" s="75">
        <f>AB231+(AB222-AB232)*$BA$2</f>
        <v>1780.5921122747741</v>
      </c>
      <c r="AC233" s="75">
        <f>AC231+(AC222-AC232)*$BA$2</f>
        <v>1811.9546724182255</v>
      </c>
      <c r="AE233" s="75">
        <f>AE231+(AE222-AE232)*$BA$2</f>
        <v>1928.6532904156654</v>
      </c>
      <c r="AT233" s="4" t="str">
        <f>W230</f>
        <v>SC Midlands 14 Black</v>
      </c>
      <c r="AU233" s="4">
        <f>AE230</f>
        <v>1811.9546724182255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503" t="s">
        <v>169</v>
      </c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R234" s="102"/>
      <c r="S234" s="102"/>
      <c r="T234" s="122"/>
      <c r="U234" s="122"/>
      <c r="V234" s="503" t="s">
        <v>169</v>
      </c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02"/>
      <c r="AI234" s="102"/>
      <c r="AJ234" s="102"/>
      <c r="AW234" s="58"/>
      <c r="AX234" s="55"/>
      <c r="AY234" s="55"/>
      <c r="AZ234" s="55"/>
      <c r="BA234" s="55"/>
    </row>
    <row r="235" spans="1:77" x14ac:dyDescent="0.2">
      <c r="AT235" s="55"/>
      <c r="AU235" s="55"/>
      <c r="AV235" s="55"/>
      <c r="AW235" s="58"/>
      <c r="AX235" s="55"/>
      <c r="AY235" s="55"/>
      <c r="AZ235" s="55"/>
      <c r="BA235" s="55"/>
    </row>
    <row r="236" spans="1:77" x14ac:dyDescent="0.2">
      <c r="AT236" s="55"/>
      <c r="AU236" s="55"/>
      <c r="AV236" s="55"/>
      <c r="AW236" s="58"/>
      <c r="AX236" s="55"/>
      <c r="AY236" s="55"/>
      <c r="AZ236" s="55"/>
      <c r="BA236" s="55"/>
    </row>
    <row r="237" spans="1:77" x14ac:dyDescent="0.2">
      <c r="AT237" s="55"/>
      <c r="AU237" s="55"/>
      <c r="AV237" s="55"/>
      <c r="AW237" s="58"/>
      <c r="AX237" s="55"/>
      <c r="AY237" s="55"/>
      <c r="AZ237" s="55"/>
      <c r="BA237" s="55"/>
    </row>
    <row r="238" spans="1:77" x14ac:dyDescent="0.2">
      <c r="AT238" s="55"/>
      <c r="AU238" s="55"/>
      <c r="AV238" s="55"/>
      <c r="AW238" s="58"/>
      <c r="AX238" s="55"/>
      <c r="AY238" s="55"/>
      <c r="AZ238" s="55"/>
      <c r="BA238" s="55"/>
    </row>
    <row r="239" spans="1:77" x14ac:dyDescent="0.2">
      <c r="AT239" s="55"/>
      <c r="AU239" s="55"/>
      <c r="AV239" s="55"/>
      <c r="AW239" s="58"/>
      <c r="AX239" s="55"/>
      <c r="AY239" s="55"/>
      <c r="AZ239" s="55"/>
      <c r="BA239" s="55"/>
    </row>
    <row r="240" spans="1:77" x14ac:dyDescent="0.2">
      <c r="AT240" s="55"/>
      <c r="AU240" s="55"/>
      <c r="AV240" s="55"/>
      <c r="AW240" s="58"/>
      <c r="AX240" s="55"/>
      <c r="AY240" s="55"/>
      <c r="AZ240" s="55"/>
      <c r="BA240" s="55"/>
    </row>
    <row r="241" spans="46:53" x14ac:dyDescent="0.2">
      <c r="AT241" s="55"/>
      <c r="AU241" s="55"/>
      <c r="AV241" s="55"/>
      <c r="AW241" s="58"/>
      <c r="AX241" s="55"/>
      <c r="AY241" s="55"/>
      <c r="AZ241" s="55"/>
      <c r="BA241" s="55"/>
    </row>
    <row r="242" spans="46:53" x14ac:dyDescent="0.2">
      <c r="AT242" s="55"/>
      <c r="AU242" s="55"/>
      <c r="AV242" s="55"/>
      <c r="AW242" s="58"/>
      <c r="AX242" s="55"/>
      <c r="AY242" s="55"/>
      <c r="AZ242" s="55"/>
      <c r="BA242" s="55"/>
    </row>
    <row r="243" spans="46:53" x14ac:dyDescent="0.2">
      <c r="AT243" s="55"/>
      <c r="AU243" s="55"/>
      <c r="AV243" s="55"/>
      <c r="AW243" s="58"/>
      <c r="AX243" s="55"/>
      <c r="AY243" s="55"/>
      <c r="AZ243" s="55"/>
      <c r="BA243" s="55"/>
    </row>
    <row r="244" spans="46:53" x14ac:dyDescent="0.2">
      <c r="AT244" s="55"/>
      <c r="AU244" s="55"/>
      <c r="AV244" s="55"/>
      <c r="AW244" s="58"/>
      <c r="AX244" s="55"/>
      <c r="AY244" s="55"/>
      <c r="AZ244" s="55"/>
      <c r="BA244" s="55"/>
    </row>
    <row r="245" spans="46:53" x14ac:dyDescent="0.2">
      <c r="AT245" s="55"/>
      <c r="AU245" s="55"/>
      <c r="AV245" s="55"/>
      <c r="AW245" s="58"/>
      <c r="AX245" s="55"/>
      <c r="AY245" s="55"/>
      <c r="AZ245" s="55"/>
      <c r="BA245" s="55"/>
    </row>
    <row r="246" spans="46:53" x14ac:dyDescent="0.2">
      <c r="AT246" s="55"/>
      <c r="AU246" s="55"/>
      <c r="AV246" s="55"/>
      <c r="AW246" s="58"/>
      <c r="AX246" s="55"/>
      <c r="AY246" s="55"/>
      <c r="AZ246" s="55"/>
      <c r="BA246" s="55"/>
    </row>
    <row r="247" spans="46:53" x14ac:dyDescent="0.2">
      <c r="AT247" s="55"/>
      <c r="AU247" s="55"/>
      <c r="AV247" s="55"/>
    </row>
    <row r="248" spans="46:53" x14ac:dyDescent="0.2">
      <c r="AT248" s="55"/>
      <c r="AU248" s="55"/>
      <c r="AV248" s="55"/>
      <c r="AW248" s="66"/>
      <c r="AX248" s="63"/>
      <c r="AY248" s="63"/>
      <c r="AZ248" s="63"/>
      <c r="BA248" s="63"/>
    </row>
    <row r="249" spans="46:53" x14ac:dyDescent="0.2">
      <c r="AT249" s="55"/>
      <c r="AU249" s="55"/>
      <c r="AV249" s="55"/>
      <c r="AW249" s="66"/>
      <c r="AX249" s="63"/>
      <c r="AY249" s="63"/>
      <c r="AZ249" s="63"/>
      <c r="BA249" s="63"/>
    </row>
    <row r="250" spans="46:53" x14ac:dyDescent="0.2">
      <c r="AT250" s="55"/>
      <c r="AU250" s="55"/>
      <c r="AV250" s="55"/>
      <c r="AW250" s="66"/>
      <c r="AX250" s="63"/>
      <c r="AY250" s="63"/>
      <c r="AZ250" s="63"/>
      <c r="BA250" s="63"/>
    </row>
    <row r="251" spans="46:53" x14ac:dyDescent="0.2">
      <c r="AT251" s="55"/>
      <c r="AU251" s="55"/>
      <c r="AV251" s="55"/>
      <c r="AW251" s="66"/>
      <c r="AX251" s="63"/>
      <c r="AY251" s="63"/>
      <c r="AZ251" s="63"/>
      <c r="BA251" s="63"/>
    </row>
    <row r="252" spans="46:53" x14ac:dyDescent="0.2">
      <c r="AT252" s="55"/>
      <c r="AU252" s="55"/>
      <c r="AV252" s="55"/>
      <c r="AW252" s="66"/>
      <c r="AX252" s="63"/>
      <c r="AY252" s="63"/>
      <c r="AZ252" s="63"/>
      <c r="BA252" s="63"/>
    </row>
    <row r="253" spans="46:53" x14ac:dyDescent="0.2">
      <c r="AT253" s="55"/>
      <c r="AU253" s="55"/>
      <c r="AV253" s="55"/>
      <c r="AW253" s="66"/>
      <c r="AX253" s="63"/>
      <c r="AY253" s="63"/>
      <c r="AZ253" s="63"/>
      <c r="BA253" s="63"/>
    </row>
    <row r="254" spans="46:53" x14ac:dyDescent="0.2">
      <c r="AT254" s="55"/>
      <c r="AU254" s="55"/>
      <c r="AV254" s="55"/>
      <c r="AW254" s="66"/>
      <c r="AX254" s="63"/>
      <c r="AY254" s="63"/>
      <c r="AZ254" s="63"/>
      <c r="BA254" s="63"/>
    </row>
    <row r="255" spans="46:53" x14ac:dyDescent="0.2">
      <c r="AT255" s="55"/>
      <c r="AU255" s="55"/>
      <c r="AV255" s="55"/>
      <c r="AW255" s="66"/>
      <c r="AX255" s="63"/>
      <c r="AY255" s="63"/>
      <c r="AZ255" s="63"/>
      <c r="BA255" s="63"/>
    </row>
    <row r="256" spans="46:53" x14ac:dyDescent="0.2">
      <c r="AT256" s="55"/>
      <c r="AU256" s="55"/>
      <c r="AV256" s="55"/>
      <c r="AW256" s="73"/>
      <c r="AX256" s="72"/>
      <c r="AY256" s="72"/>
      <c r="AZ256" s="72"/>
      <c r="BA256" s="72"/>
    </row>
    <row r="257" spans="46:53" x14ac:dyDescent="0.2">
      <c r="AT257" s="55"/>
      <c r="AU257" s="55"/>
      <c r="AV257" s="55"/>
      <c r="AW257" s="79"/>
      <c r="AX257" s="78"/>
      <c r="AY257" s="78"/>
      <c r="AZ257" s="78"/>
      <c r="BA257" s="78"/>
    </row>
    <row r="258" spans="46:53" x14ac:dyDescent="0.2">
      <c r="AT258" s="55"/>
      <c r="AU258" s="55"/>
      <c r="AV258" s="55"/>
      <c r="AW258" s="79"/>
      <c r="AX258" s="78"/>
      <c r="AY258" s="78"/>
      <c r="AZ258" s="78"/>
      <c r="BA258" s="78"/>
    </row>
    <row r="259" spans="46:53" x14ac:dyDescent="0.2">
      <c r="AT259" s="55"/>
      <c r="AU259" s="55"/>
      <c r="AV259" s="55"/>
      <c r="AW259" s="66"/>
      <c r="AX259" s="63"/>
      <c r="AY259" s="63"/>
      <c r="AZ259" s="63"/>
      <c r="BA259" s="63"/>
    </row>
    <row r="260" spans="46:53" x14ac:dyDescent="0.2">
      <c r="AT260" s="63"/>
      <c r="AU260" s="63"/>
      <c r="AV260" s="63"/>
      <c r="AW260" s="66"/>
      <c r="AX260" s="63"/>
      <c r="AY260" s="63"/>
      <c r="AZ260" s="63"/>
      <c r="BA260" s="63"/>
    </row>
    <row r="261" spans="46:53" x14ac:dyDescent="0.2">
      <c r="AT261" s="63"/>
      <c r="AU261" s="63"/>
      <c r="AV261" s="63"/>
    </row>
    <row r="286" spans="46:53" x14ac:dyDescent="0.2">
      <c r="AT286" s="55"/>
      <c r="AU286" s="55"/>
      <c r="AV286" s="55"/>
      <c r="AW286" s="58"/>
      <c r="AX286" s="55"/>
      <c r="AY286" s="55"/>
      <c r="AZ286" s="55"/>
      <c r="BA286" s="55"/>
    </row>
    <row r="287" spans="46:53" x14ac:dyDescent="0.2">
      <c r="AT287" s="55"/>
      <c r="AU287" s="55"/>
      <c r="AV287" s="55"/>
      <c r="AW287" s="58"/>
      <c r="AX287" s="55"/>
      <c r="AY287" s="55"/>
      <c r="AZ287" s="55"/>
      <c r="BA287" s="55"/>
    </row>
    <row r="288" spans="46:53" x14ac:dyDescent="0.2">
      <c r="AT288" s="55"/>
      <c r="AU288" s="55"/>
      <c r="AV288" s="55"/>
      <c r="AW288" s="58"/>
      <c r="AX288" s="55"/>
      <c r="AY288" s="55"/>
      <c r="AZ288" s="55"/>
      <c r="BA288" s="55"/>
    </row>
    <row r="289" spans="46:53" x14ac:dyDescent="0.2">
      <c r="AT289" s="55"/>
      <c r="AU289" s="55"/>
      <c r="AV289" s="55"/>
      <c r="AW289" s="58"/>
      <c r="AX289" s="55"/>
      <c r="AY289" s="55"/>
      <c r="AZ289" s="55"/>
      <c r="BA289" s="55"/>
    </row>
    <row r="290" spans="46:53" x14ac:dyDescent="0.2">
      <c r="AT290" s="55"/>
      <c r="AU290" s="55"/>
      <c r="AV290" s="55"/>
      <c r="AW290" s="58"/>
      <c r="AX290" s="55"/>
      <c r="AY290" s="55"/>
      <c r="AZ290" s="55"/>
      <c r="BA290" s="55"/>
    </row>
    <row r="291" spans="46:53" x14ac:dyDescent="0.2">
      <c r="AT291" s="55"/>
      <c r="AU291" s="55"/>
      <c r="AV291" s="55"/>
      <c r="AW291" s="58"/>
      <c r="AX291" s="55"/>
      <c r="AY291" s="55"/>
      <c r="AZ291" s="55"/>
      <c r="BA291" s="55"/>
    </row>
    <row r="292" spans="46:53" x14ac:dyDescent="0.2">
      <c r="AT292" s="55"/>
      <c r="AU292" s="55"/>
      <c r="AV292" s="55"/>
      <c r="AW292" s="58"/>
      <c r="AX292" s="55"/>
      <c r="AY292" s="55"/>
      <c r="AZ292" s="55"/>
      <c r="BA292" s="55"/>
    </row>
    <row r="293" spans="46:53" x14ac:dyDescent="0.2">
      <c r="AT293" s="55"/>
      <c r="AU293" s="55"/>
      <c r="AV293" s="55"/>
      <c r="AW293" s="58"/>
      <c r="AX293" s="55"/>
      <c r="AY293" s="55"/>
      <c r="AZ293" s="55"/>
      <c r="BA293" s="55"/>
    </row>
    <row r="294" spans="46:53" x14ac:dyDescent="0.2">
      <c r="AT294" s="55"/>
      <c r="AU294" s="55"/>
      <c r="AV294" s="55"/>
      <c r="AW294" s="58"/>
      <c r="AX294" s="55"/>
      <c r="AY294" s="55"/>
      <c r="AZ294" s="55"/>
      <c r="BA294" s="55"/>
    </row>
    <row r="295" spans="46:53" x14ac:dyDescent="0.2">
      <c r="AT295" s="55"/>
      <c r="AU295" s="55"/>
      <c r="AV295" s="55"/>
      <c r="AW295" s="58"/>
      <c r="AX295" s="55"/>
      <c r="AY295" s="55"/>
      <c r="AZ295" s="55"/>
      <c r="BA295" s="55"/>
    </row>
    <row r="296" spans="46:53" x14ac:dyDescent="0.2">
      <c r="AT296" s="55"/>
      <c r="AU296" s="55"/>
      <c r="AV296" s="55"/>
      <c r="AW296" s="58"/>
      <c r="AX296" s="55"/>
      <c r="AY296" s="55"/>
      <c r="AZ296" s="55"/>
      <c r="BA296" s="55"/>
    </row>
    <row r="297" spans="46:53" x14ac:dyDescent="0.2">
      <c r="AT297" s="55"/>
      <c r="AU297" s="55"/>
      <c r="AV297" s="55"/>
      <c r="AW297" s="58"/>
      <c r="AX297" s="55"/>
      <c r="AY297" s="55"/>
      <c r="AZ297" s="55"/>
      <c r="BA297" s="55"/>
    </row>
    <row r="298" spans="46:53" x14ac:dyDescent="0.2">
      <c r="AT298" s="55"/>
      <c r="AU298" s="55"/>
      <c r="AV298" s="55"/>
      <c r="AW298" s="58"/>
      <c r="AX298" s="55"/>
      <c r="AY298" s="55"/>
      <c r="AZ298" s="55"/>
      <c r="BA298" s="55"/>
    </row>
    <row r="299" spans="46:53" x14ac:dyDescent="0.2">
      <c r="AT299" s="55"/>
      <c r="AU299" s="55"/>
      <c r="AV299" s="55"/>
      <c r="AW299" s="58"/>
      <c r="AX299" s="55"/>
      <c r="AY299" s="55"/>
      <c r="AZ299" s="55"/>
      <c r="BA299" s="55"/>
    </row>
    <row r="300" spans="46:53" x14ac:dyDescent="0.2">
      <c r="AT300" s="55"/>
      <c r="AU300" s="55"/>
      <c r="AV300" s="55"/>
      <c r="AW300" s="58"/>
      <c r="AX300" s="55"/>
      <c r="AY300" s="55"/>
      <c r="AZ300" s="55"/>
      <c r="BA300" s="55"/>
    </row>
    <row r="301" spans="46:53" x14ac:dyDescent="0.2">
      <c r="AT301" s="55"/>
      <c r="AU301" s="55"/>
      <c r="AV301" s="55"/>
      <c r="AW301" s="58"/>
      <c r="AX301" s="55"/>
      <c r="AY301" s="55"/>
      <c r="AZ301" s="55"/>
      <c r="BA301" s="55"/>
    </row>
    <row r="302" spans="46:53" x14ac:dyDescent="0.2">
      <c r="AT302" s="55"/>
      <c r="AU302" s="55"/>
      <c r="AV302" s="55"/>
      <c r="AW302" s="58"/>
      <c r="AX302" s="55"/>
      <c r="AY302" s="55"/>
      <c r="AZ302" s="55"/>
      <c r="BA302" s="55"/>
    </row>
    <row r="303" spans="46:53" x14ac:dyDescent="0.2">
      <c r="AT303" s="55"/>
      <c r="AU303" s="55"/>
      <c r="AV303" s="55"/>
      <c r="AW303" s="58"/>
      <c r="AX303" s="55"/>
      <c r="AY303" s="55"/>
      <c r="AZ303" s="55"/>
      <c r="BA303" s="55"/>
    </row>
    <row r="304" spans="46:53" x14ac:dyDescent="0.2">
      <c r="AT304" s="55"/>
      <c r="AU304" s="55"/>
      <c r="AV304" s="55"/>
      <c r="AW304" s="58"/>
      <c r="AX304" s="55"/>
      <c r="AY304" s="55"/>
      <c r="AZ304" s="55"/>
      <c r="BA304" s="55"/>
    </row>
    <row r="305" spans="46:53" x14ac:dyDescent="0.2">
      <c r="AT305" s="55"/>
      <c r="AU305" s="55"/>
      <c r="AV305" s="55"/>
      <c r="AW305" s="58"/>
      <c r="AX305" s="55"/>
      <c r="AY305" s="55"/>
      <c r="AZ305" s="55"/>
      <c r="BA305" s="55"/>
    </row>
    <row r="306" spans="46:53" x14ac:dyDescent="0.2">
      <c r="AT306" s="55"/>
      <c r="AU306" s="55"/>
      <c r="AV306" s="55"/>
      <c r="AW306" s="58"/>
      <c r="AX306" s="55"/>
      <c r="AY306" s="55"/>
      <c r="AZ306" s="55"/>
      <c r="BA306" s="55"/>
    </row>
    <row r="307" spans="46:53" x14ac:dyDescent="0.2">
      <c r="AT307" s="55"/>
      <c r="AU307" s="55"/>
      <c r="AV307" s="55"/>
      <c r="AW307" s="58"/>
      <c r="AX307" s="55"/>
      <c r="AY307" s="55"/>
      <c r="AZ307" s="55"/>
      <c r="BA307" s="55"/>
    </row>
    <row r="308" spans="46:53" x14ac:dyDescent="0.2">
      <c r="AT308" s="55"/>
      <c r="AU308" s="55"/>
      <c r="AV308" s="55"/>
      <c r="AW308" s="58"/>
      <c r="AX308" s="55"/>
      <c r="AY308" s="55"/>
      <c r="AZ308" s="55"/>
      <c r="BA308" s="55"/>
    </row>
    <row r="309" spans="46:53" x14ac:dyDescent="0.2">
      <c r="AT309" s="55"/>
      <c r="AU309" s="55"/>
      <c r="AV309" s="55"/>
      <c r="AW309" s="58"/>
      <c r="AX309" s="55"/>
      <c r="AY309" s="55"/>
      <c r="AZ309" s="55"/>
      <c r="BA309" s="55"/>
    </row>
    <row r="310" spans="46:53" x14ac:dyDescent="0.2">
      <c r="AT310" s="55"/>
      <c r="AU310" s="55"/>
      <c r="AV310" s="55"/>
      <c r="AW310" s="58"/>
      <c r="AX310" s="55"/>
      <c r="AY310" s="55"/>
      <c r="AZ310" s="55"/>
      <c r="BA310" s="55"/>
    </row>
    <row r="311" spans="46:53" x14ac:dyDescent="0.2">
      <c r="AT311" s="55"/>
      <c r="AU311" s="55"/>
      <c r="AV311" s="55"/>
      <c r="AW311" s="58"/>
      <c r="AX311" s="55"/>
      <c r="AY311" s="55"/>
      <c r="AZ311" s="55"/>
      <c r="BA311" s="55"/>
    </row>
    <row r="312" spans="46:53" x14ac:dyDescent="0.2">
      <c r="AT312" s="55"/>
      <c r="AU312" s="55"/>
      <c r="AV312" s="55"/>
      <c r="AW312" s="58"/>
      <c r="AX312" s="55"/>
      <c r="AY312" s="55"/>
      <c r="AZ312" s="55"/>
      <c r="BA312" s="55"/>
    </row>
    <row r="313" spans="46:53" x14ac:dyDescent="0.2">
      <c r="AT313" s="55"/>
      <c r="AU313" s="55"/>
      <c r="AV313" s="55"/>
      <c r="AW313" s="58"/>
      <c r="AX313" s="55"/>
      <c r="AY313" s="55"/>
      <c r="AZ313" s="55"/>
      <c r="BA313" s="55"/>
    </row>
    <row r="314" spans="46:53" x14ac:dyDescent="0.2">
      <c r="AT314" s="55"/>
      <c r="AU314" s="55"/>
      <c r="AV314" s="55"/>
      <c r="AW314" s="58"/>
      <c r="AX314" s="55"/>
      <c r="AY314" s="55"/>
      <c r="AZ314" s="55"/>
      <c r="BA314" s="55"/>
    </row>
    <row r="315" spans="46:53" x14ac:dyDescent="0.2">
      <c r="AT315" s="55"/>
      <c r="AU315" s="55"/>
      <c r="AV315" s="55"/>
      <c r="AW315" s="58"/>
      <c r="AX315" s="55"/>
      <c r="AY315" s="55"/>
      <c r="AZ315" s="55"/>
      <c r="BA315" s="55"/>
    </row>
    <row r="316" spans="46:53" x14ac:dyDescent="0.2">
      <c r="AT316" s="55"/>
      <c r="AU316" s="55"/>
      <c r="AV316" s="55"/>
      <c r="AW316" s="58"/>
      <c r="AX316" s="55"/>
      <c r="AY316" s="55"/>
      <c r="AZ316" s="55"/>
      <c r="BA316" s="55"/>
    </row>
    <row r="317" spans="46:53" x14ac:dyDescent="0.2">
      <c r="AT317" s="55"/>
      <c r="AU317" s="55"/>
      <c r="AV317" s="55"/>
      <c r="AW317" s="58"/>
      <c r="AX317" s="55"/>
      <c r="AY317" s="55"/>
      <c r="AZ317" s="55"/>
      <c r="BA317" s="55"/>
    </row>
    <row r="318" spans="46:53" x14ac:dyDescent="0.2">
      <c r="AT318" s="55"/>
      <c r="AU318" s="55"/>
      <c r="AV318" s="55"/>
      <c r="AW318" s="58"/>
      <c r="AX318" s="55"/>
      <c r="AY318" s="55"/>
      <c r="AZ318" s="55"/>
      <c r="BA318" s="55"/>
    </row>
    <row r="319" spans="46:53" x14ac:dyDescent="0.2">
      <c r="AT319" s="55"/>
      <c r="AU319" s="55"/>
      <c r="AV319" s="55"/>
      <c r="AW319" s="58"/>
      <c r="AX319" s="55"/>
      <c r="AY319" s="55"/>
      <c r="AZ319" s="55"/>
      <c r="BA319" s="55"/>
    </row>
    <row r="320" spans="46:53" x14ac:dyDescent="0.2">
      <c r="AT320" s="55"/>
      <c r="AU320" s="55"/>
      <c r="AV320" s="55"/>
      <c r="AW320" s="58"/>
      <c r="AX320" s="55"/>
      <c r="AY320" s="55"/>
      <c r="AZ320" s="55"/>
      <c r="BA320" s="55"/>
    </row>
    <row r="321" spans="46:53" x14ac:dyDescent="0.2">
      <c r="AT321" s="55"/>
      <c r="AU321" s="55"/>
      <c r="AV321" s="55"/>
      <c r="AW321" s="58"/>
      <c r="AX321" s="55"/>
      <c r="AY321" s="55"/>
      <c r="AZ321" s="55"/>
      <c r="BA321" s="55"/>
    </row>
    <row r="322" spans="46:53" x14ac:dyDescent="0.2">
      <c r="AT322" s="55"/>
      <c r="AU322" s="55"/>
      <c r="AV322" s="55"/>
      <c r="AW322" s="58"/>
      <c r="AX322" s="55"/>
      <c r="AY322" s="55"/>
      <c r="AZ322" s="55"/>
      <c r="BA322" s="55"/>
    </row>
    <row r="323" spans="46:53" x14ac:dyDescent="0.2">
      <c r="AT323" s="55"/>
      <c r="AU323" s="55"/>
      <c r="AV323" s="55"/>
      <c r="AW323" s="58"/>
      <c r="AX323" s="55"/>
      <c r="AY323" s="55"/>
      <c r="AZ323" s="55"/>
      <c r="BA323" s="55"/>
    </row>
    <row r="324" spans="46:53" x14ac:dyDescent="0.2">
      <c r="AT324" s="55"/>
      <c r="AU324" s="55"/>
      <c r="AV324" s="55"/>
      <c r="AW324" s="58"/>
      <c r="AX324" s="55"/>
      <c r="AY324" s="55"/>
      <c r="AZ324" s="55"/>
      <c r="BA324" s="55"/>
    </row>
    <row r="325" spans="46:53" x14ac:dyDescent="0.2">
      <c r="AT325" s="55"/>
      <c r="AU325" s="55"/>
      <c r="AV325" s="55"/>
      <c r="AW325" s="58"/>
      <c r="AX325" s="55"/>
      <c r="AY325" s="55"/>
      <c r="AZ325" s="55"/>
      <c r="BA325" s="55"/>
    </row>
    <row r="326" spans="46:53" x14ac:dyDescent="0.2">
      <c r="AT326" s="55"/>
      <c r="AU326" s="55"/>
      <c r="AV326" s="55"/>
      <c r="AW326" s="58"/>
      <c r="AX326" s="55"/>
      <c r="AY326" s="55"/>
      <c r="AZ326" s="55"/>
      <c r="BA326" s="55"/>
    </row>
    <row r="327" spans="46:53" x14ac:dyDescent="0.2">
      <c r="AT327" s="55"/>
      <c r="AU327" s="55"/>
      <c r="AV327" s="55"/>
      <c r="AW327" s="58"/>
      <c r="AX327" s="55"/>
      <c r="AY327" s="55"/>
      <c r="AZ327" s="55"/>
      <c r="BA327" s="55"/>
    </row>
    <row r="328" spans="46:53" x14ac:dyDescent="0.2">
      <c r="AT328" s="55"/>
      <c r="AU328" s="55"/>
      <c r="AV328" s="55"/>
      <c r="AW328" s="58"/>
      <c r="AX328" s="55"/>
      <c r="AY328" s="55"/>
      <c r="AZ328" s="55"/>
      <c r="BA328" s="55"/>
    </row>
    <row r="329" spans="46:53" x14ac:dyDescent="0.2">
      <c r="AT329" s="55"/>
      <c r="AU329" s="55"/>
      <c r="AV329" s="55"/>
      <c r="AW329" s="58"/>
      <c r="AX329" s="55"/>
      <c r="AY329" s="55"/>
      <c r="AZ329" s="55"/>
      <c r="BA329" s="55"/>
    </row>
    <row r="330" spans="46:53" x14ac:dyDescent="0.2">
      <c r="AT330" s="55"/>
      <c r="AU330" s="55"/>
      <c r="AV330" s="55"/>
      <c r="AW330" s="58"/>
      <c r="AX330" s="55"/>
      <c r="AY330" s="55"/>
      <c r="AZ330" s="55"/>
      <c r="BA330" s="55"/>
    </row>
    <row r="331" spans="46:53" x14ac:dyDescent="0.2">
      <c r="AT331" s="55"/>
      <c r="AU331" s="55"/>
      <c r="AV331" s="55"/>
      <c r="AW331" s="58"/>
      <c r="AX331" s="55"/>
      <c r="AY331" s="55"/>
      <c r="AZ331" s="55"/>
      <c r="BA331" s="55"/>
    </row>
    <row r="332" spans="46:53" x14ac:dyDescent="0.2">
      <c r="AT332" s="63"/>
      <c r="AU332" s="63"/>
      <c r="AV332" s="63"/>
    </row>
    <row r="333" spans="46:53" x14ac:dyDescent="0.2">
      <c r="AT333" s="63"/>
      <c r="AU333" s="63"/>
      <c r="AV333" s="63"/>
      <c r="AW333" s="66"/>
      <c r="AX333" s="63"/>
      <c r="AY333" s="63"/>
      <c r="AZ333" s="63"/>
      <c r="BA333" s="63"/>
    </row>
    <row r="334" spans="46:53" x14ac:dyDescent="0.2">
      <c r="AW334" s="66"/>
      <c r="AX334" s="63"/>
      <c r="AY334" s="63"/>
      <c r="AZ334" s="63"/>
      <c r="BA334" s="63"/>
    </row>
    <row r="335" spans="46:53" x14ac:dyDescent="0.2">
      <c r="AW335" s="66"/>
      <c r="AX335" s="63"/>
      <c r="AY335" s="63"/>
      <c r="AZ335" s="63"/>
      <c r="BA335" s="63"/>
    </row>
    <row r="336" spans="46:53" x14ac:dyDescent="0.2">
      <c r="AW336" s="66"/>
      <c r="AX336" s="63"/>
      <c r="AY336" s="63"/>
      <c r="AZ336" s="63"/>
      <c r="BA336" s="63"/>
    </row>
    <row r="337" spans="46:53" x14ac:dyDescent="0.2">
      <c r="AW337" s="66"/>
      <c r="AX337" s="63"/>
      <c r="AY337" s="63"/>
      <c r="AZ337" s="63"/>
      <c r="BA337" s="63"/>
    </row>
    <row r="338" spans="46:53" x14ac:dyDescent="0.2">
      <c r="AW338" s="66"/>
      <c r="AX338" s="63"/>
      <c r="AY338" s="63"/>
      <c r="AZ338" s="63"/>
      <c r="BA338" s="63"/>
    </row>
    <row r="339" spans="46:53" x14ac:dyDescent="0.2">
      <c r="AW339" s="66"/>
      <c r="AX339" s="63"/>
      <c r="AY339" s="63"/>
      <c r="AZ339" s="63"/>
      <c r="BA339" s="63"/>
    </row>
    <row r="340" spans="46:53" x14ac:dyDescent="0.2">
      <c r="AW340" s="66"/>
      <c r="AX340" s="63"/>
      <c r="AY340" s="63"/>
      <c r="AZ340" s="63"/>
      <c r="BA340" s="63"/>
    </row>
    <row r="341" spans="46:53" x14ac:dyDescent="0.2">
      <c r="AW341" s="73"/>
      <c r="AX341" s="72"/>
      <c r="AY341" s="72"/>
      <c r="AZ341" s="72"/>
      <c r="BA341" s="72"/>
    </row>
    <row r="342" spans="46:53" x14ac:dyDescent="0.2">
      <c r="AW342" s="79"/>
      <c r="AX342" s="78"/>
      <c r="AY342" s="78"/>
      <c r="AZ342" s="78"/>
      <c r="BA342" s="78"/>
    </row>
    <row r="343" spans="46:53" x14ac:dyDescent="0.2">
      <c r="AW343" s="79"/>
      <c r="AX343" s="78"/>
      <c r="AY343" s="78"/>
      <c r="AZ343" s="78"/>
      <c r="BA343" s="78"/>
    </row>
    <row r="344" spans="46:53" x14ac:dyDescent="0.2">
      <c r="AW344" s="66"/>
      <c r="AX344" s="63"/>
      <c r="AY344" s="63"/>
      <c r="AZ344" s="63"/>
      <c r="BA344" s="63"/>
    </row>
    <row r="345" spans="46:53" x14ac:dyDescent="0.2">
      <c r="AW345" s="66"/>
      <c r="AX345" s="63"/>
      <c r="AY345" s="63"/>
      <c r="AZ345" s="63"/>
      <c r="BA345" s="63"/>
    </row>
    <row r="348" spans="46:53" x14ac:dyDescent="0.2">
      <c r="AT348" s="96"/>
      <c r="AU348" s="96"/>
    </row>
    <row r="371" spans="46:53" x14ac:dyDescent="0.2">
      <c r="AW371" s="58"/>
      <c r="AX371" s="55"/>
      <c r="AY371" s="55"/>
      <c r="AZ371" s="55"/>
      <c r="BA371" s="55"/>
    </row>
    <row r="372" spans="46:53" x14ac:dyDescent="0.2">
      <c r="AW372" s="58"/>
      <c r="AX372" s="55"/>
      <c r="AY372" s="55"/>
      <c r="AZ372" s="55"/>
      <c r="BA372" s="55"/>
    </row>
    <row r="373" spans="46:53" x14ac:dyDescent="0.2">
      <c r="AW373" s="58"/>
      <c r="AX373" s="55"/>
      <c r="AY373" s="55"/>
      <c r="AZ373" s="55"/>
      <c r="BA373" s="55"/>
    </row>
    <row r="374" spans="46:53" x14ac:dyDescent="0.2">
      <c r="AW374" s="58"/>
      <c r="AX374" s="55"/>
      <c r="AY374" s="55"/>
      <c r="AZ374" s="55"/>
      <c r="BA374" s="55"/>
    </row>
    <row r="375" spans="46:53" x14ac:dyDescent="0.2">
      <c r="AW375" s="58"/>
      <c r="AX375" s="55"/>
      <c r="AY375" s="55"/>
      <c r="AZ375" s="55"/>
      <c r="BA375" s="55"/>
    </row>
    <row r="376" spans="46:53" x14ac:dyDescent="0.2">
      <c r="AW376" s="58"/>
      <c r="AX376" s="55"/>
      <c r="AY376" s="55"/>
      <c r="AZ376" s="55"/>
      <c r="BA376" s="55"/>
    </row>
    <row r="377" spans="46:53" x14ac:dyDescent="0.2">
      <c r="AW377" s="58"/>
      <c r="AX377" s="55"/>
      <c r="AY377" s="55"/>
      <c r="AZ377" s="55"/>
      <c r="BA377" s="55"/>
    </row>
    <row r="378" spans="46:53" x14ac:dyDescent="0.2">
      <c r="AW378" s="58"/>
      <c r="AX378" s="55"/>
      <c r="AY378" s="55"/>
      <c r="AZ378" s="55"/>
      <c r="BA378" s="55"/>
    </row>
    <row r="379" spans="46:53" x14ac:dyDescent="0.2">
      <c r="AW379" s="58"/>
      <c r="AX379" s="55"/>
      <c r="AY379" s="55"/>
      <c r="AZ379" s="55"/>
      <c r="BA379" s="55"/>
    </row>
    <row r="380" spans="46:53" x14ac:dyDescent="0.2">
      <c r="AW380" s="58"/>
      <c r="AX380" s="55"/>
      <c r="AY380" s="55"/>
      <c r="AZ380" s="55"/>
      <c r="BA380" s="55"/>
    </row>
    <row r="381" spans="46:53" x14ac:dyDescent="0.2">
      <c r="AW381" s="58"/>
      <c r="AX381" s="55"/>
      <c r="AY381" s="55"/>
      <c r="AZ381" s="55"/>
      <c r="BA381" s="55"/>
    </row>
    <row r="382" spans="46:53" x14ac:dyDescent="0.2">
      <c r="AW382" s="58"/>
      <c r="AX382" s="55"/>
      <c r="AY382" s="55"/>
      <c r="AZ382" s="55"/>
      <c r="BA382" s="55"/>
    </row>
    <row r="383" spans="46:53" x14ac:dyDescent="0.2">
      <c r="AW383" s="58"/>
      <c r="AX383" s="55"/>
      <c r="AY383" s="55"/>
      <c r="AZ383" s="55"/>
      <c r="BA383" s="55"/>
    </row>
    <row r="384" spans="46:53" x14ac:dyDescent="0.2">
      <c r="AT384" s="96"/>
      <c r="AU384" s="96"/>
      <c r="AW384" s="58"/>
      <c r="AX384" s="55"/>
      <c r="AY384" s="55"/>
      <c r="AZ384" s="55"/>
      <c r="BA384" s="55"/>
    </row>
    <row r="385" spans="49:53" x14ac:dyDescent="0.2">
      <c r="AW385" s="58"/>
      <c r="AX385" s="55"/>
      <c r="AY385" s="55"/>
      <c r="AZ385" s="55"/>
      <c r="BA385" s="55"/>
    </row>
    <row r="386" spans="49:53" x14ac:dyDescent="0.2">
      <c r="AW386" s="58"/>
      <c r="AX386" s="55"/>
      <c r="AY386" s="55"/>
      <c r="AZ386" s="55"/>
      <c r="BA386" s="55"/>
    </row>
    <row r="387" spans="49:53" x14ac:dyDescent="0.2">
      <c r="AW387" s="58"/>
      <c r="AX387" s="55"/>
      <c r="AY387" s="55"/>
      <c r="AZ387" s="55"/>
      <c r="BA387" s="55"/>
    </row>
    <row r="388" spans="49:53" x14ac:dyDescent="0.2">
      <c r="AW388" s="58"/>
      <c r="AX388" s="55"/>
      <c r="AY388" s="55"/>
      <c r="AZ388" s="55"/>
      <c r="BA388" s="55"/>
    </row>
    <row r="389" spans="49:53" x14ac:dyDescent="0.2">
      <c r="AW389" s="58"/>
      <c r="AX389" s="55"/>
      <c r="AY389" s="55"/>
      <c r="AZ389" s="55"/>
      <c r="BA389" s="55"/>
    </row>
    <row r="390" spans="49:53" x14ac:dyDescent="0.2">
      <c r="AW390" s="58"/>
      <c r="AX390" s="55"/>
      <c r="AY390" s="55"/>
      <c r="AZ390" s="55"/>
      <c r="BA390" s="55"/>
    </row>
    <row r="391" spans="49:53" x14ac:dyDescent="0.2">
      <c r="AW391" s="58"/>
      <c r="AX391" s="55"/>
      <c r="AY391" s="55"/>
      <c r="AZ391" s="55"/>
      <c r="BA391" s="55"/>
    </row>
    <row r="392" spans="49:53" x14ac:dyDescent="0.2">
      <c r="AW392" s="58"/>
      <c r="AX392" s="55"/>
      <c r="AY392" s="55"/>
      <c r="AZ392" s="55"/>
      <c r="BA392" s="55"/>
    </row>
    <row r="393" spans="49:53" x14ac:dyDescent="0.2">
      <c r="AW393" s="58"/>
      <c r="AX393" s="55"/>
      <c r="AY393" s="55"/>
      <c r="AZ393" s="55"/>
      <c r="BA393" s="55"/>
    </row>
    <row r="394" spans="49:53" x14ac:dyDescent="0.2">
      <c r="AW394" s="58"/>
      <c r="AX394" s="55"/>
      <c r="AY394" s="55"/>
      <c r="AZ394" s="55"/>
      <c r="BA394" s="55"/>
    </row>
    <row r="395" spans="49:53" x14ac:dyDescent="0.2">
      <c r="AW395" s="58"/>
      <c r="AX395" s="55"/>
      <c r="AY395" s="55"/>
      <c r="AZ395" s="55"/>
      <c r="BA395" s="55"/>
    </row>
    <row r="396" spans="49:53" x14ac:dyDescent="0.2">
      <c r="AW396" s="58"/>
      <c r="AX396" s="55"/>
      <c r="AY396" s="55"/>
      <c r="AZ396" s="55"/>
      <c r="BA396" s="55"/>
    </row>
    <row r="397" spans="49:53" x14ac:dyDescent="0.2">
      <c r="AW397" s="58"/>
      <c r="AX397" s="55"/>
      <c r="AY397" s="55"/>
      <c r="AZ397" s="55"/>
      <c r="BA397" s="55"/>
    </row>
    <row r="398" spans="49:53" x14ac:dyDescent="0.2">
      <c r="AW398" s="58"/>
      <c r="AX398" s="55"/>
      <c r="AY398" s="55"/>
      <c r="AZ398" s="55"/>
      <c r="BA398" s="55"/>
    </row>
    <row r="399" spans="49:53" x14ac:dyDescent="0.2">
      <c r="AW399" s="58"/>
      <c r="AX399" s="55"/>
      <c r="AY399" s="55"/>
      <c r="AZ399" s="55"/>
      <c r="BA399" s="55"/>
    </row>
    <row r="400" spans="49:53" x14ac:dyDescent="0.2">
      <c r="AW400" s="58"/>
      <c r="AX400" s="55"/>
      <c r="AY400" s="55"/>
      <c r="AZ400" s="55"/>
      <c r="BA400" s="55"/>
    </row>
    <row r="401" spans="49:53" x14ac:dyDescent="0.2">
      <c r="AW401" s="58"/>
      <c r="AX401" s="55"/>
      <c r="AY401" s="55"/>
      <c r="AZ401" s="55"/>
      <c r="BA401" s="55"/>
    </row>
    <row r="402" spans="49:53" x14ac:dyDescent="0.2">
      <c r="AW402" s="58"/>
      <c r="AX402" s="55"/>
      <c r="AY402" s="55"/>
      <c r="AZ402" s="55"/>
      <c r="BA402" s="55"/>
    </row>
    <row r="403" spans="49:53" x14ac:dyDescent="0.2">
      <c r="AW403" s="58"/>
      <c r="AX403" s="55"/>
      <c r="AY403" s="55"/>
      <c r="AZ403" s="55"/>
      <c r="BA403" s="55"/>
    </row>
    <row r="404" spans="49:53" x14ac:dyDescent="0.2">
      <c r="AW404" s="58"/>
      <c r="AX404" s="55"/>
      <c r="AY404" s="55"/>
      <c r="AZ404" s="55"/>
      <c r="BA404" s="55"/>
    </row>
    <row r="405" spans="49:53" x14ac:dyDescent="0.2">
      <c r="AW405" s="58"/>
      <c r="AX405" s="55"/>
      <c r="AY405" s="55"/>
      <c r="AZ405" s="55"/>
      <c r="BA405" s="55"/>
    </row>
    <row r="406" spans="49:53" x14ac:dyDescent="0.2">
      <c r="AW406" s="58"/>
      <c r="AX406" s="55"/>
      <c r="AY406" s="55"/>
      <c r="AZ406" s="55"/>
      <c r="BA406" s="55"/>
    </row>
    <row r="407" spans="49:53" x14ac:dyDescent="0.2">
      <c r="AW407" s="58"/>
      <c r="AX407" s="55"/>
      <c r="AY407" s="55"/>
      <c r="AZ407" s="55"/>
      <c r="BA407" s="55"/>
    </row>
    <row r="408" spans="49:53" x14ac:dyDescent="0.2">
      <c r="AW408" s="58"/>
      <c r="AX408" s="55"/>
      <c r="AY408" s="55"/>
      <c r="AZ408" s="55"/>
      <c r="BA408" s="55"/>
    </row>
    <row r="409" spans="49:53" x14ac:dyDescent="0.2">
      <c r="AW409" s="58"/>
      <c r="AX409" s="55"/>
      <c r="AY409" s="55"/>
      <c r="AZ409" s="55"/>
      <c r="BA409" s="55"/>
    </row>
    <row r="410" spans="49:53" x14ac:dyDescent="0.2">
      <c r="AW410" s="58"/>
      <c r="AX410" s="55"/>
      <c r="AY410" s="55"/>
      <c r="AZ410" s="55"/>
      <c r="BA410" s="55"/>
    </row>
    <row r="411" spans="49:53" x14ac:dyDescent="0.2">
      <c r="AW411" s="58"/>
      <c r="AX411" s="55"/>
      <c r="AY411" s="55"/>
      <c r="AZ411" s="55"/>
      <c r="BA411" s="55"/>
    </row>
    <row r="412" spans="49:53" x14ac:dyDescent="0.2">
      <c r="AW412" s="58"/>
      <c r="AX412" s="55"/>
      <c r="AY412" s="55"/>
      <c r="AZ412" s="55"/>
      <c r="BA412" s="55"/>
    </row>
    <row r="413" spans="49:53" x14ac:dyDescent="0.2">
      <c r="AW413" s="58"/>
      <c r="AX413" s="55"/>
      <c r="AY413" s="55"/>
      <c r="AZ413" s="55"/>
      <c r="BA413" s="55"/>
    </row>
    <row r="414" spans="49:53" x14ac:dyDescent="0.2">
      <c r="AW414" s="58"/>
      <c r="AX414" s="55"/>
      <c r="AY414" s="55"/>
      <c r="AZ414" s="55"/>
      <c r="BA414" s="55"/>
    </row>
    <row r="415" spans="49:53" x14ac:dyDescent="0.2">
      <c r="AW415" s="58"/>
      <c r="AX415" s="55"/>
      <c r="AY415" s="55"/>
      <c r="AZ415" s="55"/>
      <c r="BA415" s="55"/>
    </row>
    <row r="416" spans="49:53" x14ac:dyDescent="0.2">
      <c r="AW416" s="58"/>
      <c r="AX416" s="55"/>
      <c r="AY416" s="55"/>
      <c r="AZ416" s="55"/>
      <c r="BA416" s="55"/>
    </row>
    <row r="418" spans="49:53" x14ac:dyDescent="0.2">
      <c r="AW418" s="66"/>
      <c r="AX418" s="63"/>
      <c r="AY418" s="63"/>
      <c r="AZ418" s="63"/>
      <c r="BA418" s="63"/>
    </row>
    <row r="419" spans="49:53" x14ac:dyDescent="0.2">
      <c r="AW419" s="66"/>
      <c r="AX419" s="63"/>
      <c r="AY419" s="63"/>
      <c r="AZ419" s="63"/>
      <c r="BA419" s="63"/>
    </row>
    <row r="420" spans="49:53" x14ac:dyDescent="0.2">
      <c r="AW420" s="66"/>
      <c r="AX420" s="63"/>
      <c r="AY420" s="63"/>
      <c r="AZ420" s="63"/>
      <c r="BA420" s="63"/>
    </row>
    <row r="421" spans="49:53" x14ac:dyDescent="0.2">
      <c r="AW421" s="66"/>
      <c r="AX421" s="63"/>
      <c r="AY421" s="63"/>
      <c r="AZ421" s="63"/>
      <c r="BA421" s="63"/>
    </row>
    <row r="422" spans="49:53" x14ac:dyDescent="0.2">
      <c r="AW422" s="66"/>
      <c r="AX422" s="63"/>
      <c r="AY422" s="63"/>
      <c r="AZ422" s="63"/>
      <c r="BA422" s="63"/>
    </row>
    <row r="423" spans="49:53" x14ac:dyDescent="0.2">
      <c r="AW423" s="66"/>
      <c r="AX423" s="63"/>
      <c r="AY423" s="63"/>
      <c r="AZ423" s="63"/>
      <c r="BA423" s="63"/>
    </row>
    <row r="424" spans="49:53" x14ac:dyDescent="0.2">
      <c r="AW424" s="66"/>
      <c r="AX424" s="63"/>
      <c r="AY424" s="63"/>
      <c r="AZ424" s="63"/>
      <c r="BA424" s="63"/>
    </row>
    <row r="425" spans="49:53" x14ac:dyDescent="0.2">
      <c r="AW425" s="66"/>
      <c r="AX425" s="63"/>
      <c r="AY425" s="63"/>
      <c r="AZ425" s="63"/>
      <c r="BA425" s="63"/>
    </row>
    <row r="426" spans="49:53" x14ac:dyDescent="0.2">
      <c r="AW426" s="73"/>
      <c r="AX426" s="72"/>
      <c r="AY426" s="72"/>
      <c r="AZ426" s="72"/>
      <c r="BA426" s="72"/>
    </row>
    <row r="427" spans="49:53" x14ac:dyDescent="0.2">
      <c r="AW427" s="79"/>
      <c r="AX427" s="78"/>
      <c r="AY427" s="78"/>
      <c r="AZ427" s="78"/>
      <c r="BA427" s="78"/>
    </row>
    <row r="428" spans="49:53" x14ac:dyDescent="0.2">
      <c r="AW428" s="79"/>
      <c r="AX428" s="78"/>
      <c r="AY428" s="78"/>
      <c r="AZ428" s="78"/>
      <c r="BA428" s="78"/>
    </row>
    <row r="429" spans="49:53" x14ac:dyDescent="0.2">
      <c r="AW429" s="66"/>
      <c r="AX429" s="63"/>
      <c r="AY429" s="63"/>
      <c r="AZ429" s="63"/>
      <c r="BA429" s="63"/>
    </row>
    <row r="430" spans="49:53" x14ac:dyDescent="0.2">
      <c r="AW430" s="66"/>
      <c r="AX430" s="63"/>
      <c r="AY430" s="63"/>
      <c r="AZ430" s="63"/>
      <c r="BA430" s="6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C7:AE7"/>
    <mergeCell ref="AH7:AI7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">
    <cfRule type="expression" dxfId="4181" priority="5" stopIfTrue="1">
      <formula>IF(AK9&gt;0,0,1)</formula>
    </cfRule>
  </conditionalFormatting>
  <conditionalFormatting sqref="A10:A11 A95:A96">
    <cfRule type="expression" dxfId="4180" priority="6" stopIfTrue="1">
      <formula>IF(AK9&gt;1,0,1)</formula>
    </cfRule>
  </conditionalFormatting>
  <conditionalFormatting sqref="A12:A13 A97:A98">
    <cfRule type="expression" dxfId="4179" priority="7" stopIfTrue="1">
      <formula>IF(AK9&gt;2,0,1)</formula>
    </cfRule>
  </conditionalFormatting>
  <conditionalFormatting sqref="A14:A15 A99:A100">
    <cfRule type="expression" dxfId="4178" priority="8" stopIfTrue="1">
      <formula>IF(AK9&gt;3,0,1)</formula>
    </cfRule>
  </conditionalFormatting>
  <conditionalFormatting sqref="A16:A17 A101:A102">
    <cfRule type="expression" dxfId="4177" priority="9" stopIfTrue="1">
      <formula>IF(AK9&gt;4,0,1)</formula>
    </cfRule>
  </conditionalFormatting>
  <conditionalFormatting sqref="B8 B93">
    <cfRule type="expression" dxfId="4176" priority="10" stopIfTrue="1">
      <formula>IF(AK9&gt;0,0,1)</formula>
    </cfRule>
  </conditionalFormatting>
  <conditionalFormatting sqref="B9 B94">
    <cfRule type="expression" dxfId="4175" priority="11" stopIfTrue="1">
      <formula>IF(AK9&gt;0,0,1)</formula>
    </cfRule>
  </conditionalFormatting>
  <conditionalFormatting sqref="B10 B95">
    <cfRule type="expression" dxfId="4174" priority="12" stopIfTrue="1">
      <formula>IF(AK9&gt;1,0,1)</formula>
    </cfRule>
  </conditionalFormatting>
  <conditionalFormatting sqref="B11:D11 B96:D96">
    <cfRule type="expression" dxfId="4173" priority="13" stopIfTrue="1">
      <formula>IF(AK9&gt;1,0,1)</formula>
    </cfRule>
  </conditionalFormatting>
  <conditionalFormatting sqref="B12:D12 B97:D97">
    <cfRule type="expression" dxfId="4172" priority="14" stopIfTrue="1">
      <formula>IF(AK9&gt;2,0,1)</formula>
    </cfRule>
  </conditionalFormatting>
  <conditionalFormatting sqref="B13:D13 B98:D98">
    <cfRule type="expression" dxfId="4171" priority="15" stopIfTrue="1">
      <formula>IF(AK9&gt;2,0,1)</formula>
    </cfRule>
  </conditionalFormatting>
  <conditionalFormatting sqref="B14:D14 B99:D99">
    <cfRule type="expression" dxfId="4170" priority="16" stopIfTrue="1">
      <formula>IF(AK9&gt;3,0,1)</formula>
    </cfRule>
  </conditionalFormatting>
  <conditionalFormatting sqref="B15:D15 B100:D100">
    <cfRule type="expression" dxfId="4169" priority="17" stopIfTrue="1">
      <formula>IF(AK9&gt;3,0,1)</formula>
    </cfRule>
  </conditionalFormatting>
  <conditionalFormatting sqref="B16:D16 B101:D101">
    <cfRule type="expression" dxfId="4168" priority="18" stopIfTrue="1">
      <formula>IF(AK9&gt;4,0,1)</formula>
    </cfRule>
  </conditionalFormatting>
  <conditionalFormatting sqref="B17:D17 B102:D102">
    <cfRule type="expression" dxfId="4167" priority="19" stopIfTrue="1">
      <formula>IF(AK9&gt;4,0,1)</formula>
    </cfRule>
  </conditionalFormatting>
  <conditionalFormatting sqref="E8 E93">
    <cfRule type="expression" dxfId="4166" priority="20" stopIfTrue="1">
      <formula>IF(AK9&gt;0,0,1)</formula>
    </cfRule>
  </conditionalFormatting>
  <conditionalFormatting sqref="E9 E94">
    <cfRule type="expression" dxfId="4165" priority="21" stopIfTrue="1">
      <formula>IF(AK9&gt;0,0,1)</formula>
    </cfRule>
  </conditionalFormatting>
  <conditionalFormatting sqref="E10 E95">
    <cfRule type="expression" dxfId="4164" priority="22" stopIfTrue="1">
      <formula>IF(AK9&gt;1,0,1)</formula>
    </cfRule>
  </conditionalFormatting>
  <conditionalFormatting sqref="E11 E96">
    <cfRule type="expression" dxfId="4163" priority="23" stopIfTrue="1">
      <formula>IF(AK9&gt;1,0,1)</formula>
    </cfRule>
  </conditionalFormatting>
  <conditionalFormatting sqref="E12 E97">
    <cfRule type="expression" dxfId="4162" priority="24" stopIfTrue="1">
      <formula>IF(AK9&gt;2,0,1)</formula>
    </cfRule>
  </conditionalFormatting>
  <conditionalFormatting sqref="E13 E98">
    <cfRule type="expression" dxfId="4161" priority="25" stopIfTrue="1">
      <formula>IF(AK9&gt;2,0,1)</formula>
    </cfRule>
  </conditionalFormatting>
  <conditionalFormatting sqref="E14 E99">
    <cfRule type="expression" dxfId="4160" priority="26" stopIfTrue="1">
      <formula>IF(AK9&gt;3,0,1)</formula>
    </cfRule>
  </conditionalFormatting>
  <conditionalFormatting sqref="E15 E100">
    <cfRule type="expression" dxfId="4159" priority="27" stopIfTrue="1">
      <formula>IF(AK9&gt;3,0,1)</formula>
    </cfRule>
  </conditionalFormatting>
  <conditionalFormatting sqref="E16 E101">
    <cfRule type="expression" dxfId="4158" priority="28" stopIfTrue="1">
      <formula>IF(AK9&gt;4,0,1)</formula>
    </cfRule>
  </conditionalFormatting>
  <conditionalFormatting sqref="E17 E102">
    <cfRule type="expression" dxfId="4157" priority="29" stopIfTrue="1">
      <formula>IF(AK9&gt;4,0,1)</formula>
    </cfRule>
  </conditionalFormatting>
  <conditionalFormatting sqref="AC8 AC93">
    <cfRule type="expression" dxfId="4156" priority="30" stopIfTrue="1">
      <formula>IF(AK11=1,IF(AK9&gt;0,0,1),1)</formula>
    </cfRule>
  </conditionalFormatting>
  <conditionalFormatting sqref="AC10:AE11 AC95:AE96">
    <cfRule type="expression" dxfId="4155" priority="31" stopIfTrue="1">
      <formula>IF(AK11=1,IF(AK9&gt;1,0,1),1)</formula>
    </cfRule>
  </conditionalFormatting>
  <conditionalFormatting sqref="AC12:AE13 AC97:AE98">
    <cfRule type="expression" dxfId="4154" priority="32" stopIfTrue="1">
      <formula>IF(AK11=1,IF(AK9&gt;2,0,1),1)</formula>
    </cfRule>
  </conditionalFormatting>
  <conditionalFormatting sqref="AC14:AE15 AC99:AE100">
    <cfRule type="expression" dxfId="4153" priority="33" stopIfTrue="1">
      <formula>IF(AK11=1,IF(AK9&gt;3,0,1),1)</formula>
    </cfRule>
  </conditionalFormatting>
  <conditionalFormatting sqref="AC16:AE17 AC101:AE102">
    <cfRule type="expression" dxfId="4152" priority="34" stopIfTrue="1">
      <formula>IF(AK11=1,IF(AK9&gt;4,0,1),1)</formula>
    </cfRule>
  </conditionalFormatting>
  <conditionalFormatting sqref="AH8 AH93">
    <cfRule type="expression" dxfId="4151" priority="35" stopIfTrue="1">
      <formula>IF(AK9&gt;0,0,1)</formula>
    </cfRule>
  </conditionalFormatting>
  <conditionalFormatting sqref="AH10:AI11 AH95:AI96">
    <cfRule type="expression" dxfId="4150" priority="36" stopIfTrue="1">
      <formula>IF(AK9&gt;1,0,1)</formula>
    </cfRule>
  </conditionalFormatting>
  <conditionalFormatting sqref="AH12:AI13 AH97:AI98">
    <cfRule type="expression" dxfId="4149" priority="37" stopIfTrue="1">
      <formula>IF(AK9&gt;2,0,1)</formula>
    </cfRule>
  </conditionalFormatting>
  <conditionalFormatting sqref="AH14:AI15 AH99:AI100">
    <cfRule type="expression" dxfId="4148" priority="38" stopIfTrue="1">
      <formula>IF(AK9&gt;3,0,1)</formula>
    </cfRule>
  </conditionalFormatting>
  <conditionalFormatting sqref="AH16:AI17 AH101:AI102">
    <cfRule type="expression" dxfId="4147" priority="39" stopIfTrue="1">
      <formula>IF(AK9&gt;4,0,1)</formula>
    </cfRule>
  </conditionalFormatting>
  <conditionalFormatting sqref="B19:D19 B104:D104">
    <cfRule type="expression" dxfId="4146" priority="40" stopIfTrue="1">
      <formula>IF(AK8&gt;0,0,1)</formula>
    </cfRule>
  </conditionalFormatting>
  <conditionalFormatting sqref="E19:G19 E104:G104">
    <cfRule type="expression" dxfId="4145" priority="41" stopIfTrue="1">
      <formula>IF(AK8&gt;1,0,1)</formula>
    </cfRule>
  </conditionalFormatting>
  <conditionalFormatting sqref="H19:J19 H104:J104">
    <cfRule type="expression" dxfId="4144" priority="42" stopIfTrue="1">
      <formula>IF(AK8&gt;2,0,1)</formula>
    </cfRule>
  </conditionalFormatting>
  <conditionalFormatting sqref="K19:M19 K104:M104">
    <cfRule type="expression" dxfId="4143" priority="43" stopIfTrue="1">
      <formula>IF(AK8&gt;3,0,1)</formula>
    </cfRule>
  </conditionalFormatting>
  <conditionalFormatting sqref="N19:P19 N104:P104">
    <cfRule type="expression" dxfId="4142" priority="44" stopIfTrue="1">
      <formula>IF(AK8&gt;4,0,1)</formula>
    </cfRule>
  </conditionalFormatting>
  <conditionalFormatting sqref="Q19:S19 Q104:S104">
    <cfRule type="expression" dxfId="4141" priority="45" stopIfTrue="1">
      <formula>IF(AK8&gt;5,0,1)</formula>
    </cfRule>
  </conditionalFormatting>
  <conditionalFormatting sqref="T19:V19 T104:V104">
    <cfRule type="expression" dxfId="4140" priority="46" stopIfTrue="1">
      <formula>IF(AK8&gt;6,0,1)</formula>
    </cfRule>
  </conditionalFormatting>
  <conditionalFormatting sqref="W19:Y19 W104:Y104">
    <cfRule type="expression" dxfId="4139" priority="47" stopIfTrue="1">
      <formula>IF(AK8&gt;7,0,1)</formula>
    </cfRule>
  </conditionalFormatting>
  <conditionalFormatting sqref="Z19:AB19 Z104:AB104">
    <cfRule type="expression" dxfId="4138" priority="48" stopIfTrue="1">
      <formula>IF(AK8&gt;8,0,1)</formula>
    </cfRule>
  </conditionalFormatting>
  <conditionalFormatting sqref="AC19:AE19 AC104:AE104">
    <cfRule type="expression" dxfId="4137" priority="49" stopIfTrue="1">
      <formula>IF(AK8&gt;9,0,1)</formula>
    </cfRule>
  </conditionalFormatting>
  <conditionalFormatting sqref="B20:D20 B105:D105">
    <cfRule type="expression" dxfId="4136" priority="50" stopIfTrue="1">
      <formula>IF(AK8&gt;0,0,1)</formula>
    </cfRule>
  </conditionalFormatting>
  <conditionalFormatting sqref="E20:G20 E105:G105">
    <cfRule type="expression" dxfId="4135" priority="51" stopIfTrue="1">
      <formula>IF(AK8&gt;1,0,1)</formula>
    </cfRule>
  </conditionalFormatting>
  <conditionalFormatting sqref="H20:J20 H105:J105">
    <cfRule type="expression" dxfId="4134" priority="52" stopIfTrue="1">
      <formula>IF(AK8&gt;2,0,1)</formula>
    </cfRule>
  </conditionalFormatting>
  <conditionalFormatting sqref="K20:M20 K105:M105">
    <cfRule type="expression" dxfId="4133" priority="53" stopIfTrue="1">
      <formula>IF(AK8&gt;3,0,1)</formula>
    </cfRule>
  </conditionalFormatting>
  <conditionalFormatting sqref="N20:P20 N105:P105">
    <cfRule type="expression" dxfId="4132" priority="54" stopIfTrue="1">
      <formula>IF(AK8&gt;4,0,1)</formula>
    </cfRule>
  </conditionalFormatting>
  <conditionalFormatting sqref="Q20:S20 Q105:S105">
    <cfRule type="expression" dxfId="4131" priority="55" stopIfTrue="1">
      <formula>IF(AK8&gt;5,0,1)</formula>
    </cfRule>
  </conditionalFormatting>
  <conditionalFormatting sqref="T20:V20 T105:V105">
    <cfRule type="expression" dxfId="4130" priority="56" stopIfTrue="1">
      <formula>IF(AK8&gt;6,0,1)</formula>
    </cfRule>
  </conditionalFormatting>
  <conditionalFormatting sqref="W20:Y20 W105:Y105">
    <cfRule type="expression" dxfId="4129" priority="57" stopIfTrue="1">
      <formula>IF(AK8&gt;7,0,1)</formula>
    </cfRule>
  </conditionalFormatting>
  <conditionalFormatting sqref="Z20:AB20 Z105:AB105">
    <cfRule type="expression" dxfId="4128" priority="58" stopIfTrue="1">
      <formula>IF(AK8&gt;8,0,1)</formula>
    </cfRule>
  </conditionalFormatting>
  <conditionalFormatting sqref="AC20:AE20 AC105:AE105">
    <cfRule type="expression" dxfId="4127" priority="59" stopIfTrue="1">
      <formula>IF(AK8&gt;9,0,1)</formula>
    </cfRule>
  </conditionalFormatting>
  <conditionalFormatting sqref="E22:G22 E107:G107">
    <cfRule type="expression" dxfId="4126" priority="60" stopIfTrue="1">
      <formula>IF(AK8&gt;1,0,1)</formula>
    </cfRule>
  </conditionalFormatting>
  <conditionalFormatting sqref="H22:J22 H107:J107">
    <cfRule type="expression" dxfId="4125" priority="61" stopIfTrue="1">
      <formula>IF(AK8&gt;2,0,1)</formula>
    </cfRule>
  </conditionalFormatting>
  <conditionalFormatting sqref="K22:M22 K107:M107">
    <cfRule type="expression" dxfId="4124" priority="62" stopIfTrue="1">
      <formula>IF(AK8&gt;3,0,1)</formula>
    </cfRule>
  </conditionalFormatting>
  <conditionalFormatting sqref="N22:P22 N107:P107">
    <cfRule type="expression" dxfId="4123" priority="63" stopIfTrue="1">
      <formula>IF(AK8&gt;4,0,1)</formula>
    </cfRule>
  </conditionalFormatting>
  <conditionalFormatting sqref="Q22:S22 Q107:S107">
    <cfRule type="expression" dxfId="4122" priority="64" stopIfTrue="1">
      <formula>IF(AK8&gt;5,0,1)</formula>
    </cfRule>
  </conditionalFormatting>
  <conditionalFormatting sqref="T22:V22 T107:V107">
    <cfRule type="expression" dxfId="4121" priority="65" stopIfTrue="1">
      <formula>IF(AK8&gt;6,0,1)</formula>
    </cfRule>
  </conditionalFormatting>
  <conditionalFormatting sqref="W22:Y22 W107:Y107">
    <cfRule type="expression" dxfId="4120" priority="66" stopIfTrue="1">
      <formula>IF(AK8&gt;7,0,1)</formula>
    </cfRule>
  </conditionalFormatting>
  <conditionalFormatting sqref="Z22:AB22 Z107:AB107">
    <cfRule type="expression" dxfId="4119" priority="67" stopIfTrue="1">
      <formula>IF(AK8&gt;8,0,1)</formula>
    </cfRule>
  </conditionalFormatting>
  <conditionalFormatting sqref="AC22:AE22 AC107:AE107">
    <cfRule type="expression" dxfId="4118" priority="68" stopIfTrue="1">
      <formula>IF(AK8&gt;9,0,1)</formula>
    </cfRule>
  </conditionalFormatting>
  <conditionalFormatting sqref="B24 B109">
    <cfRule type="expression" dxfId="4117" priority="69" stopIfTrue="1">
      <formula>IF(AK8&gt;0,0,1)</formula>
    </cfRule>
  </conditionalFormatting>
  <conditionalFormatting sqref="C24 C109">
    <cfRule type="expression" dxfId="4116" priority="70" stopIfTrue="1">
      <formula>IF(AK8&gt;0,0,1)</formula>
    </cfRule>
  </conditionalFormatting>
  <conditionalFormatting sqref="D24 D109">
    <cfRule type="expression" dxfId="4115" priority="71" stopIfTrue="1">
      <formula>IF(AK8&gt;0,0,1)</formula>
    </cfRule>
  </conditionalFormatting>
  <conditionalFormatting sqref="E23:G23 E108:G108">
    <cfRule type="expression" dxfId="4114" priority="72" stopIfTrue="1">
      <formula>IF(AK8&gt;1,0,1)</formula>
    </cfRule>
  </conditionalFormatting>
  <conditionalFormatting sqref="F24 F109">
    <cfRule type="expression" dxfId="4113" priority="73" stopIfTrue="1">
      <formula>IF(AK8&gt;1,0,1)</formula>
    </cfRule>
  </conditionalFormatting>
  <conditionalFormatting sqref="G24 G109">
    <cfRule type="expression" dxfId="4112" priority="74" stopIfTrue="1">
      <formula>IF(AK8&gt;1,0,1)</formula>
    </cfRule>
  </conditionalFormatting>
  <conditionalFormatting sqref="H23:J23 H108:J108">
    <cfRule type="expression" dxfId="4111" priority="75" stopIfTrue="1">
      <formula>IF(AK8&gt;2,0,1)</formula>
    </cfRule>
  </conditionalFormatting>
  <conditionalFormatting sqref="I24 I109">
    <cfRule type="expression" dxfId="4110" priority="76" stopIfTrue="1">
      <formula>IF(AK8&gt;2,0,1)</formula>
    </cfRule>
  </conditionalFormatting>
  <conditionalFormatting sqref="J24 J109">
    <cfRule type="expression" dxfId="4109" priority="77" stopIfTrue="1">
      <formula>IF(AK8&gt;2,0,1)</formula>
    </cfRule>
  </conditionalFormatting>
  <conditionalFormatting sqref="K23:M23 K108:M108">
    <cfRule type="expression" dxfId="4108" priority="78" stopIfTrue="1">
      <formula>IF(AK8&gt;3,0,1)</formula>
    </cfRule>
  </conditionalFormatting>
  <conditionalFormatting sqref="L24 L109">
    <cfRule type="expression" dxfId="4107" priority="79" stopIfTrue="1">
      <formula>IF(AK8&gt;3,0,1)</formula>
    </cfRule>
  </conditionalFormatting>
  <conditionalFormatting sqref="M24 M109">
    <cfRule type="expression" dxfId="4106" priority="80" stopIfTrue="1">
      <formula>IF(AK8&gt;3,0,1)</formula>
    </cfRule>
  </conditionalFormatting>
  <conditionalFormatting sqref="N23:P23 N108:P108">
    <cfRule type="expression" dxfId="4105" priority="81" stopIfTrue="1">
      <formula>IF(AK8&gt;4,0,1)</formula>
    </cfRule>
  </conditionalFormatting>
  <conditionalFormatting sqref="O24 O109">
    <cfRule type="expression" dxfId="4104" priority="82" stopIfTrue="1">
      <formula>IF(AK8&gt;4,0,1)</formula>
    </cfRule>
  </conditionalFormatting>
  <conditionalFormatting sqref="P24 P109">
    <cfRule type="expression" dxfId="4103" priority="83" stopIfTrue="1">
      <formula>IF(AK8&gt;4,0,1)</formula>
    </cfRule>
  </conditionalFormatting>
  <conditionalFormatting sqref="Q23:S23 Q108:S108">
    <cfRule type="expression" dxfId="4102" priority="84" stopIfTrue="1">
      <formula>IF(AK8&gt;5,0,1)</formula>
    </cfRule>
  </conditionalFormatting>
  <conditionalFormatting sqref="R24 R109">
    <cfRule type="expression" dxfId="4101" priority="85" stopIfTrue="1">
      <formula>IF(AK8&gt;5,0,1)</formula>
    </cfRule>
  </conditionalFormatting>
  <conditionalFormatting sqref="S24 S109">
    <cfRule type="expression" dxfId="4100" priority="86" stopIfTrue="1">
      <formula>IF(AK8&gt;5,0,1)</formula>
    </cfRule>
  </conditionalFormatting>
  <conditionalFormatting sqref="T23:V23 T108:V108">
    <cfRule type="expression" dxfId="4099" priority="87" stopIfTrue="1">
      <formula>IF(AK8&gt;6,0,1)</formula>
    </cfRule>
  </conditionalFormatting>
  <conditionalFormatting sqref="U24 U109">
    <cfRule type="expression" dxfId="4098" priority="88" stopIfTrue="1">
      <formula>IF(AK8&gt;6,0,1)</formula>
    </cfRule>
  </conditionalFormatting>
  <conditionalFormatting sqref="V24 V109">
    <cfRule type="expression" dxfId="4097" priority="89" stopIfTrue="1">
      <formula>IF(AK8&gt;6,0,1)</formula>
    </cfRule>
  </conditionalFormatting>
  <conditionalFormatting sqref="W23:Y23 W108:Y108">
    <cfRule type="expression" dxfId="4096" priority="90" stopIfTrue="1">
      <formula>IF(AK8&gt;7,0,1)</formula>
    </cfRule>
  </conditionalFormatting>
  <conditionalFormatting sqref="X24 X109">
    <cfRule type="expression" dxfId="4095" priority="91" stopIfTrue="1">
      <formula>IF(AK8&gt;7,0,1)</formula>
    </cfRule>
  </conditionalFormatting>
  <conditionalFormatting sqref="Y24 Y109">
    <cfRule type="expression" dxfId="4094" priority="92" stopIfTrue="1">
      <formula>IF(AK8&gt;7,0,1)</formula>
    </cfRule>
  </conditionalFormatting>
  <conditionalFormatting sqref="Z23:AB23 Z108:AB108">
    <cfRule type="expression" dxfId="4093" priority="93" stopIfTrue="1">
      <formula>IF(AK8&gt;8,0,1)</formula>
    </cfRule>
  </conditionalFormatting>
  <conditionalFormatting sqref="AA24 AA109">
    <cfRule type="expression" dxfId="4092" priority="94" stopIfTrue="1">
      <formula>IF(AK8&gt;8,0,1)</formula>
    </cfRule>
  </conditionalFormatting>
  <conditionalFormatting sqref="AB24 AB109">
    <cfRule type="expression" dxfId="4091" priority="95" stopIfTrue="1">
      <formula>IF(AK8&gt;8,0,1)</formula>
    </cfRule>
  </conditionalFormatting>
  <conditionalFormatting sqref="AC23:AE23 AC108:AE108">
    <cfRule type="expression" dxfId="4090" priority="96" stopIfTrue="1">
      <formula>IF(AK8&gt;9,0,1)</formula>
    </cfRule>
  </conditionalFormatting>
  <conditionalFormatting sqref="AD24 AD109">
    <cfRule type="expression" dxfId="4089" priority="97" stopIfTrue="1">
      <formula>IF(AK8&gt;9,0,1)</formula>
    </cfRule>
  </conditionalFormatting>
  <conditionalFormatting sqref="AE24 AE109">
    <cfRule type="expression" dxfId="4088" priority="98" stopIfTrue="1">
      <formula>IF(AK8&gt;9,0,1)</formula>
    </cfRule>
  </conditionalFormatting>
  <conditionalFormatting sqref="A26 A111">
    <cfRule type="expression" dxfId="4087" priority="99" stopIfTrue="1">
      <formula>IF(AK7&gt;1,0,1)</formula>
    </cfRule>
  </conditionalFormatting>
  <conditionalFormatting sqref="A27 A112">
    <cfRule type="expression" dxfId="4086" priority="100" stopIfTrue="1">
      <formula>IF(AK7&gt;2,0,1)</formula>
    </cfRule>
  </conditionalFormatting>
  <conditionalFormatting sqref="A28 A113">
    <cfRule type="expression" dxfId="4085" priority="101" stopIfTrue="1">
      <formula>IF(AK7&gt;3,0,1)</formula>
    </cfRule>
  </conditionalFormatting>
  <conditionalFormatting sqref="A29 A114">
    <cfRule type="expression" dxfId="4084" priority="102" stopIfTrue="1">
      <formula>IF(AK7&gt;4,0,1)</formula>
    </cfRule>
  </conditionalFormatting>
  <conditionalFormatting sqref="B25:D25 B110:D110">
    <cfRule type="expression" dxfId="4083" priority="103" stopIfTrue="1">
      <formula>IF($AK8&gt;0,0,1)</formula>
    </cfRule>
  </conditionalFormatting>
  <conditionalFormatting sqref="B26:D26 B111:D111">
    <cfRule type="expression" dxfId="4082" priority="104" stopIfTrue="1">
      <formula>IF($AK8&lt;1,1,IF($AK7&lt;2,1,0))</formula>
    </cfRule>
  </conditionalFormatting>
  <conditionalFormatting sqref="B27:D27 B112:D112">
    <cfRule type="expression" dxfId="4081" priority="105" stopIfTrue="1">
      <formula>IF($AK8&lt;1,1,IF($AK7&lt;3,1,0))</formula>
    </cfRule>
  </conditionalFormatting>
  <conditionalFormatting sqref="B28:D28 B113:D113">
    <cfRule type="expression" dxfId="4080" priority="106" stopIfTrue="1">
      <formula>IF($AK8&lt;1,1,IF($AK7&lt;4,1,0))</formula>
    </cfRule>
  </conditionalFormatting>
  <conditionalFormatting sqref="B29:D29 B114:D114">
    <cfRule type="expression" dxfId="4079" priority="107" stopIfTrue="1">
      <formula>IF($AK8&lt;1,1,IF($AK7&lt;5,1,0))</formula>
    </cfRule>
  </conditionalFormatting>
  <conditionalFormatting sqref="AG23 AG108">
    <cfRule type="expression" dxfId="4078" priority="108" stopIfTrue="1">
      <formula>IF($AK8&lt;1,1,0)</formula>
    </cfRule>
  </conditionalFormatting>
  <conditionalFormatting sqref="AH23 AH108">
    <cfRule type="expression" dxfId="4077" priority="109" stopIfTrue="1">
      <formula>IF($AK8&lt;2,1,0)</formula>
    </cfRule>
  </conditionalFormatting>
  <conditionalFormatting sqref="AI23 AI108">
    <cfRule type="expression" dxfId="4076" priority="110" stopIfTrue="1">
      <formula>IF($AK8&lt;3,1,0)</formula>
    </cfRule>
  </conditionalFormatting>
  <conditionalFormatting sqref="AJ23 AJ108">
    <cfRule type="expression" dxfId="4075" priority="111" stopIfTrue="1">
      <formula>IF($AK8&lt;4,1,0)</formula>
    </cfRule>
  </conditionalFormatting>
  <conditionalFormatting sqref="AK23 AK108">
    <cfRule type="expression" dxfId="4074" priority="112" stopIfTrue="1">
      <formula>IF($AK8&lt;5,1,0)</formula>
    </cfRule>
  </conditionalFormatting>
  <conditionalFormatting sqref="AL23 AL108">
    <cfRule type="expression" dxfId="4073" priority="113" stopIfTrue="1">
      <formula>IF($AK8&lt;6,1,0)</formula>
    </cfRule>
  </conditionalFormatting>
  <conditionalFormatting sqref="AM23 AM108">
    <cfRule type="expression" dxfId="4072" priority="114" stopIfTrue="1">
      <formula>IF($AK8&lt;7,1,0)</formula>
    </cfRule>
  </conditionalFormatting>
  <conditionalFormatting sqref="AN23 AN108">
    <cfRule type="expression" dxfId="4071" priority="115" stopIfTrue="1">
      <formula>IF($AK8&lt;8,1,0)</formula>
    </cfRule>
  </conditionalFormatting>
  <conditionalFormatting sqref="AO23 AO108">
    <cfRule type="expression" dxfId="4070" priority="116" stopIfTrue="1">
      <formula>IF($AK8&lt;9,1,0)</formula>
    </cfRule>
  </conditionalFormatting>
  <conditionalFormatting sqref="AP23 AP108">
    <cfRule type="expression" dxfId="4069" priority="117" stopIfTrue="1">
      <formula>IF($AK8&lt;10,1,0)</formula>
    </cfRule>
  </conditionalFormatting>
  <conditionalFormatting sqref="AQ24 AQ109">
    <cfRule type="expression" dxfId="4068" priority="118" stopIfTrue="1">
      <formula>IF($AK9&gt;0,0,1)</formula>
    </cfRule>
  </conditionalFormatting>
  <conditionalFormatting sqref="AQ25 AQ110">
    <cfRule type="expression" dxfId="4067" priority="119" stopIfTrue="1">
      <formula>IF($AK9&gt;1,0,1)</formula>
    </cfRule>
  </conditionalFormatting>
  <conditionalFormatting sqref="AQ26 H25:J25 AQ111 H110:J110">
    <cfRule type="expression" dxfId="4066" priority="120" stopIfTrue="1">
      <formula>IF($AK8&gt;2,0,1)</formula>
    </cfRule>
  </conditionalFormatting>
  <conditionalFormatting sqref="K25:M25 K110:M110">
    <cfRule type="expression" dxfId="4065" priority="121" stopIfTrue="1">
      <formula>IF($AK8&gt;3,0,1)</formula>
    </cfRule>
  </conditionalFormatting>
  <conditionalFormatting sqref="AQ28 AQ113">
    <cfRule type="expression" dxfId="4064" priority="122" stopIfTrue="1">
      <formula>IF($AK9&gt;4,0,1)</formula>
    </cfRule>
  </conditionalFormatting>
  <conditionalFormatting sqref="E26:G26 E111:G111">
    <cfRule type="expression" dxfId="4063" priority="123" stopIfTrue="1">
      <formula>IF($AK8&lt;2,1,IF($AK7&lt;2,1,0))</formula>
    </cfRule>
  </conditionalFormatting>
  <conditionalFormatting sqref="E27:G27 E112:G112">
    <cfRule type="expression" dxfId="4062" priority="124" stopIfTrue="1">
      <formula>IF($AK8&lt;2,1,IF($AK7&lt;3,1,0))</formula>
    </cfRule>
  </conditionalFormatting>
  <conditionalFormatting sqref="E28:G28 E113:G113">
    <cfRule type="expression" dxfId="4061" priority="125" stopIfTrue="1">
      <formula>IF($AK8&lt;2,1,IF($AK7&lt;4,1,0))</formula>
    </cfRule>
  </conditionalFormatting>
  <conditionalFormatting sqref="E29:G29 E114:G114">
    <cfRule type="expression" dxfId="4060" priority="126" stopIfTrue="1">
      <formula>IF($AK8&lt;2,1,IF($AK7&lt;5,1,0))</formula>
    </cfRule>
  </conditionalFormatting>
  <conditionalFormatting sqref="N25:P25 N110:P110">
    <cfRule type="expression" dxfId="4059" priority="127" stopIfTrue="1">
      <formula>IF($AK8&gt;4,0,1)</formula>
    </cfRule>
  </conditionalFormatting>
  <conditionalFormatting sqref="Q25:S25 Q110:S110">
    <cfRule type="expression" dxfId="4058" priority="128" stopIfTrue="1">
      <formula>IF($AK8&gt;5,0,1)</formula>
    </cfRule>
  </conditionalFormatting>
  <conditionalFormatting sqref="T25:V25 T110:V110">
    <cfRule type="expression" dxfId="4057" priority="129" stopIfTrue="1">
      <formula>IF($AK8&gt;6,0,1)</formula>
    </cfRule>
  </conditionalFormatting>
  <conditionalFormatting sqref="W25:Y25 W110:Y110">
    <cfRule type="expression" dxfId="4056" priority="130" stopIfTrue="1">
      <formula>IF($AK8&gt;7,0,1)</formula>
    </cfRule>
  </conditionalFormatting>
  <conditionalFormatting sqref="Z25:AB25 Z110:AB110">
    <cfRule type="expression" dxfId="4055" priority="131" stopIfTrue="1">
      <formula>IF($AK8&gt;8,0,1)</formula>
    </cfRule>
  </conditionalFormatting>
  <conditionalFormatting sqref="AC25:AE25 AC110:AE110">
    <cfRule type="expression" dxfId="4054" priority="132" stopIfTrue="1">
      <formula>IF($AK8&gt;9,0,1)</formula>
    </cfRule>
  </conditionalFormatting>
  <conditionalFormatting sqref="H26:J26 H111:J111">
    <cfRule type="expression" dxfId="4053" priority="133" stopIfTrue="1">
      <formula>IF($AK8&lt;3,1,IF($AK7&lt;2,1,0))</formula>
    </cfRule>
  </conditionalFormatting>
  <conditionalFormatting sqref="K26:M26 K111:M111">
    <cfRule type="expression" dxfId="4052" priority="134" stopIfTrue="1">
      <formula>IF($AK8&lt;4,1,IF($AK7&lt;2,1,0))</formula>
    </cfRule>
  </conditionalFormatting>
  <conditionalFormatting sqref="N26:P26 N111:P111">
    <cfRule type="expression" dxfId="4051" priority="135" stopIfTrue="1">
      <formula>IF($AK8&lt;5,1,IF($AK7&lt;2,1,0))</formula>
    </cfRule>
  </conditionalFormatting>
  <conditionalFormatting sqref="Q26:S26 Q111:S111">
    <cfRule type="expression" dxfId="4050" priority="136" stopIfTrue="1">
      <formula>IF($AK8&lt;6,1,IF($AK7&lt;2,1,0))</formula>
    </cfRule>
  </conditionalFormatting>
  <conditionalFormatting sqref="T26:V26 T111:V111">
    <cfRule type="expression" dxfId="4049" priority="137" stopIfTrue="1">
      <formula>IF($AK8&lt;7,1,IF($AK7&lt;2,1,0))</formula>
    </cfRule>
  </conditionalFormatting>
  <conditionalFormatting sqref="W26:Y26 W111:Y111">
    <cfRule type="expression" dxfId="4048" priority="138" stopIfTrue="1">
      <formula>IF($AK8&lt;8,1,IF($AK7&lt;2,1,0))</formula>
    </cfRule>
  </conditionalFormatting>
  <conditionalFormatting sqref="Z26:AB26 Z111:AB111">
    <cfRule type="expression" dxfId="4047" priority="139" stopIfTrue="1">
      <formula>IF($AK8&lt;9,1,IF($AK7&lt;2,1,0))</formula>
    </cfRule>
  </conditionalFormatting>
  <conditionalFormatting sqref="AC26:AE26 AC111:AE111">
    <cfRule type="expression" dxfId="4046" priority="140" stopIfTrue="1">
      <formula>IF($AK8&lt;10,1,IF($AK7&lt;2,1,0))</formula>
    </cfRule>
  </conditionalFormatting>
  <conditionalFormatting sqref="H27:J27 H112:J112">
    <cfRule type="expression" dxfId="4045" priority="141" stopIfTrue="1">
      <formula>IF($AK8&lt;3,1,IF($AK7&lt;3,1,0))</formula>
    </cfRule>
  </conditionalFormatting>
  <conditionalFormatting sqref="K27:M27 K112:M112">
    <cfRule type="expression" dxfId="4044" priority="142" stopIfTrue="1">
      <formula>IF($AK8&lt;4,1,IF($AK7&lt;3,1,0))</formula>
    </cfRule>
  </conditionalFormatting>
  <conditionalFormatting sqref="N27:P27 N112:P112">
    <cfRule type="expression" dxfId="4043" priority="143" stopIfTrue="1">
      <formula>IF($AK8&lt;5,1,IF($AK7&lt;3,1,0))</formula>
    </cfRule>
  </conditionalFormatting>
  <conditionalFormatting sqref="Q27:S27 Q112:S112">
    <cfRule type="expression" dxfId="4042" priority="144" stopIfTrue="1">
      <formula>IF($AK8&lt;6,1,IF($AK7&lt;3,1,0))</formula>
    </cfRule>
  </conditionalFormatting>
  <conditionalFormatting sqref="T27:V27 T112:V112">
    <cfRule type="expression" dxfId="4041" priority="145" stopIfTrue="1">
      <formula>IF($AK8&lt;7,1,IF($AK7&lt;3,1,0))</formula>
    </cfRule>
  </conditionalFormatting>
  <conditionalFormatting sqref="W27:Y27 W112:Y112">
    <cfRule type="expression" dxfId="4040" priority="146" stopIfTrue="1">
      <formula>IF($AK8&lt;8,1,IF($AK7&lt;3,1,0))</formula>
    </cfRule>
  </conditionalFormatting>
  <conditionalFormatting sqref="Z27:AB27 Z112:AB112">
    <cfRule type="expression" dxfId="4039" priority="147" stopIfTrue="1">
      <formula>IF($AK8&lt;9,1,IF($AK7&lt;3,1,0))</formula>
    </cfRule>
  </conditionalFormatting>
  <conditionalFormatting sqref="AC27:AE27 AC112:AE112">
    <cfRule type="expression" dxfId="4038" priority="148" stopIfTrue="1">
      <formula>IF($AK8&lt;10,1,IF($AK7&lt;3,1,0))</formula>
    </cfRule>
  </conditionalFormatting>
  <conditionalFormatting sqref="H28:J28 H113:J113">
    <cfRule type="expression" dxfId="4037" priority="149" stopIfTrue="1">
      <formula>IF($AK8&lt;3,1,IF($AK7&lt;4,1,0))</formula>
    </cfRule>
  </conditionalFormatting>
  <conditionalFormatting sqref="K28:M28 K113:M113">
    <cfRule type="expression" dxfId="4036" priority="150" stopIfTrue="1">
      <formula>IF($AK8&lt;4,1,IF($AK7&lt;4,1,0))</formula>
    </cfRule>
  </conditionalFormatting>
  <conditionalFormatting sqref="N28:P28 N113:P113">
    <cfRule type="expression" dxfId="4035" priority="151" stopIfTrue="1">
      <formula>IF($AK8&lt;5,1,IF($AK7&lt;4,1,0))</formula>
    </cfRule>
  </conditionalFormatting>
  <conditionalFormatting sqref="Q28:S28 Q113:S113">
    <cfRule type="expression" dxfId="4034" priority="152" stopIfTrue="1">
      <formula>IF($AK8&lt;6,1,IF($AK7&lt;4,1,0))</formula>
    </cfRule>
  </conditionalFormatting>
  <conditionalFormatting sqref="T28:V28 T113:V113">
    <cfRule type="expression" dxfId="4033" priority="153" stopIfTrue="1">
      <formula>IF($AK8&lt;7,1,IF($AK7&lt;4,1,0))</formula>
    </cfRule>
  </conditionalFormatting>
  <conditionalFormatting sqref="W28:Y28 W113:Y113">
    <cfRule type="expression" dxfId="4032" priority="154" stopIfTrue="1">
      <formula>IF($AK8&lt;8,1,IF($AK7&lt;4,1,0))</formula>
    </cfRule>
  </conditionalFormatting>
  <conditionalFormatting sqref="Z28:AB28 Z113:AB113">
    <cfRule type="expression" dxfId="4031" priority="155" stopIfTrue="1">
      <formula>IF($AK8&lt;9,1,IF($AK7&lt;4,1,0))</formula>
    </cfRule>
  </conditionalFormatting>
  <conditionalFormatting sqref="AC28:AE28 AC113:AE113">
    <cfRule type="expression" dxfId="4030" priority="156" stopIfTrue="1">
      <formula>IF($AK8&lt;10,1,IF($AK7&lt;4,1,0))</formula>
    </cfRule>
  </conditionalFormatting>
  <conditionalFormatting sqref="H29:J29 H114:J114">
    <cfRule type="expression" dxfId="4029" priority="157" stopIfTrue="1">
      <formula>IF($AK8&lt;3,1,IF($AK7&lt;5,1,0))</formula>
    </cfRule>
  </conditionalFormatting>
  <conditionalFormatting sqref="K29:M29 K114:M114">
    <cfRule type="expression" dxfId="4028" priority="158" stopIfTrue="1">
      <formula>IF($AK8&lt;4,1,IF($AK7&lt;5,1,0))</formula>
    </cfRule>
  </conditionalFormatting>
  <conditionalFormatting sqref="N29:P29 N114:P114">
    <cfRule type="expression" dxfId="4027" priority="159" stopIfTrue="1">
      <formula>IF($AK8&lt;5,1,IF($AK7&lt;5,1,0))</formula>
    </cfRule>
  </conditionalFormatting>
  <conditionalFormatting sqref="Q29:S29 Q114:S114">
    <cfRule type="expression" dxfId="4026" priority="160" stopIfTrue="1">
      <formula>IF($AK8&lt;6,1,IF($AK7&lt;5,1,0))</formula>
    </cfRule>
  </conditionalFormatting>
  <conditionalFormatting sqref="T29:V29 T114:V114">
    <cfRule type="expression" dxfId="4025" priority="161" stopIfTrue="1">
      <formula>IF($AK8&lt;7,1,IF($AK7&lt;5,1,0))</formula>
    </cfRule>
  </conditionalFormatting>
  <conditionalFormatting sqref="W29:Y29 W114:Y114">
    <cfRule type="expression" dxfId="4024" priority="162" stopIfTrue="1">
      <formula>IF($AK8&lt;8,1,IF($AK7&lt;5,1,0))</formula>
    </cfRule>
  </conditionalFormatting>
  <conditionalFormatting sqref="Z29:AB29 Z114:AB114">
    <cfRule type="expression" dxfId="4023" priority="163" stopIfTrue="1">
      <formula>IF($AK8&lt;9,1,IF($AK7&lt;5,1,0))</formula>
    </cfRule>
  </conditionalFormatting>
  <conditionalFormatting sqref="AC29:AE29 AC114:AE114">
    <cfRule type="expression" dxfId="4022" priority="164" stopIfTrue="1">
      <formula>IF($AK8&lt;10,1,IF($AK7&lt;5,1,0))</formula>
    </cfRule>
  </conditionalFormatting>
  <conditionalFormatting sqref="R14:AB15 AF14:AF15 L14:P15 R99:AB100 AF99:AF100 L99:P100 AG14 AG99">
    <cfRule type="expression" dxfId="4021" priority="165" stopIfTrue="1">
      <formula>IF($AK9&gt;3,0,1)</formula>
    </cfRule>
  </conditionalFormatting>
  <conditionalFormatting sqref="R16:AB17 AF16:AF17 L16:P17 R101:AB102 AF101:AF102 L101:P102 AG16 AG101">
    <cfRule type="expression" dxfId="4020" priority="166" stopIfTrue="1">
      <formula>IF($AK9&gt;4,0,1)</formula>
    </cfRule>
  </conditionalFormatting>
  <conditionalFormatting sqref="R8:AB9 AF8:AF9 L8:P9 R93:AB94 AF93:AF94 L93:P94 AG8 AG93">
    <cfRule type="expression" dxfId="4019" priority="167" stopIfTrue="1">
      <formula>IF($AK9&gt;0,0,1)</formula>
    </cfRule>
  </conditionalFormatting>
  <conditionalFormatting sqref="R10:AB11 AF10:AF11 L10:P11 R95:AB96 AF95:AF96 L95:P96 AG10 AG95">
    <cfRule type="expression" dxfId="4018" priority="168" stopIfTrue="1">
      <formula>IF($AK9&gt;1,0,1)</formula>
    </cfRule>
  </conditionalFormatting>
  <conditionalFormatting sqref="R12:AB13 AF12:AF13 L12:P13 R97:AB98 AF97:AF98 L97:P98 AG12 AG97">
    <cfRule type="expression" dxfId="4017" priority="169" stopIfTrue="1">
      <formula>IF($AK9&gt;2,0,1)</formula>
    </cfRule>
  </conditionalFormatting>
  <conditionalFormatting sqref="E24 E109">
    <cfRule type="expression" dxfId="4016" priority="170" stopIfTrue="1">
      <formula>IF(AK8&gt;1,0,1)</formula>
    </cfRule>
  </conditionalFormatting>
  <conditionalFormatting sqref="H24 H109">
    <cfRule type="expression" dxfId="4015" priority="171" stopIfTrue="1">
      <formula>IF(AK8&gt;2,0,1)</formula>
    </cfRule>
  </conditionalFormatting>
  <conditionalFormatting sqref="K24 K109">
    <cfRule type="expression" dxfId="4014" priority="172" stopIfTrue="1">
      <formula>IF(AK8&gt;3,0,1)</formula>
    </cfRule>
  </conditionalFormatting>
  <conditionalFormatting sqref="N24 N109">
    <cfRule type="expression" dxfId="4013" priority="173" stopIfTrue="1">
      <formula>IF(AK8&gt;4,0,1)</formula>
    </cfRule>
  </conditionalFormatting>
  <conditionalFormatting sqref="Q24 Q109">
    <cfRule type="expression" dxfId="4012" priority="174" stopIfTrue="1">
      <formula>IF(AK8&gt;5,0,1)</formula>
    </cfRule>
  </conditionalFormatting>
  <conditionalFormatting sqref="T24 T109">
    <cfRule type="expression" dxfId="4011" priority="175" stopIfTrue="1">
      <formula>IF(AK8&gt;6,0,1)</formula>
    </cfRule>
  </conditionalFormatting>
  <conditionalFormatting sqref="W24 W109">
    <cfRule type="expression" dxfId="4010" priority="176" stopIfTrue="1">
      <formula>IF(AK8&gt;7,0,1)</formula>
    </cfRule>
  </conditionalFormatting>
  <conditionalFormatting sqref="Z24 Z109">
    <cfRule type="expression" dxfId="4009" priority="177" stopIfTrue="1">
      <formula>IF(AK8&gt;8,0,1)</formula>
    </cfRule>
  </conditionalFormatting>
  <conditionalFormatting sqref="AC24 AC109">
    <cfRule type="expression" dxfId="4008" priority="178" stopIfTrue="1">
      <formula>IF(AK8&gt;9,0,1)</formula>
    </cfRule>
  </conditionalFormatting>
  <conditionalFormatting sqref="AQ27 AQ112">
    <cfRule type="expression" dxfId="4007" priority="179" stopIfTrue="1">
      <formula>IF($AK9&gt;3,0,1)</formula>
    </cfRule>
  </conditionalFormatting>
  <conditionalFormatting sqref="E25:G25 E110:G110">
    <cfRule type="expression" dxfId="4006" priority="180" stopIfTrue="1">
      <formula>IF($AK8&gt;1,0,1)</formula>
    </cfRule>
  </conditionalFormatting>
  <conditionalFormatting sqref="B21:D21 B106:D106">
    <cfRule type="expression" dxfId="4005" priority="181" stopIfTrue="1">
      <formula>IF(AK8&gt;0,0,1)</formula>
    </cfRule>
  </conditionalFormatting>
  <conditionalFormatting sqref="E21:G21 E106:G106">
    <cfRule type="expression" dxfId="4004" priority="182" stopIfTrue="1">
      <formula>IF(AK8&gt;1,0,1)</formula>
    </cfRule>
  </conditionalFormatting>
  <conditionalFormatting sqref="H21:J21 H106:J106">
    <cfRule type="expression" dxfId="4003" priority="183" stopIfTrue="1">
      <formula>IF(AK8&gt;2,0,1)</formula>
    </cfRule>
  </conditionalFormatting>
  <conditionalFormatting sqref="K21:M21 K106:M106">
    <cfRule type="expression" dxfId="4002" priority="184" stopIfTrue="1">
      <formula>IF(AK8&gt;3,0,1)</formula>
    </cfRule>
  </conditionalFormatting>
  <conditionalFormatting sqref="N21:P21 N106:P106">
    <cfRule type="expression" dxfId="4001" priority="185" stopIfTrue="1">
      <formula>IF(AK8&gt;4,0,1)</formula>
    </cfRule>
  </conditionalFormatting>
  <conditionalFormatting sqref="Q21:S21 Q106:S106">
    <cfRule type="expression" dxfId="4000" priority="186" stopIfTrue="1">
      <formula>IF(AK8&gt;5,0,1)</formula>
    </cfRule>
  </conditionalFormatting>
  <conditionalFormatting sqref="T21:V21 T106:V106">
    <cfRule type="expression" dxfId="3999" priority="187" stopIfTrue="1">
      <formula>IF(AK8&gt;6,0,1)</formula>
    </cfRule>
  </conditionalFormatting>
  <conditionalFormatting sqref="W21:Y21 W106:Y106">
    <cfRule type="expression" dxfId="3998" priority="188" stopIfTrue="1">
      <formula>IF(AK8&gt;7,0,1)</formula>
    </cfRule>
  </conditionalFormatting>
  <conditionalFormatting sqref="Z21:AB21 Z106:AB106">
    <cfRule type="expression" dxfId="3997" priority="189" stopIfTrue="1">
      <formula>IF(AK8&gt;8,0,1)</formula>
    </cfRule>
  </conditionalFormatting>
  <conditionalFormatting sqref="AC21:AE21 AC106:AE106">
    <cfRule type="expression" dxfId="3996" priority="190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3995" priority="191" stopIfTrue="1">
      <formula>IF(#REF!&gt;0,0,1)</formula>
    </cfRule>
  </conditionalFormatting>
  <conditionalFormatting sqref="AA215:AB215 AB223 AA218:AB218 Z223 Z215:Z218 F215:G215 G223 F218:G218 E223 E215:E218">
    <cfRule type="expression" dxfId="3994" priority="192" stopIfTrue="1">
      <formula>IF(#REF!&gt;1,0,1)</formula>
    </cfRule>
  </conditionalFormatting>
  <conditionalFormatting sqref="AC215:AC218 AD215:AE215 AE223 AD218:AE218 AC223 H223 H215:H218 I215:J215 J223 I218:J218">
    <cfRule type="expression" dxfId="3993" priority="193" stopIfTrue="1">
      <formula>IF(#REF!&gt;2,0,1)</formula>
    </cfRule>
  </conditionalFormatting>
  <conditionalFormatting sqref="W224 Y224 B224 D224">
    <cfRule type="expression" dxfId="3992" priority="194" stopIfTrue="1">
      <formula>IF(#REF!&lt;1,1,IF(#REF!&lt;2,1,0))</formula>
    </cfRule>
  </conditionalFormatting>
  <conditionalFormatting sqref="Z224 AB224 E224 G224">
    <cfRule type="expression" dxfId="3991" priority="195" stopIfTrue="1">
      <formula>IF(#REF!&lt;2,1,IF(#REF!&lt;2,1,0))</formula>
    </cfRule>
  </conditionalFormatting>
  <conditionalFormatting sqref="AC224 AE224 H224 J224">
    <cfRule type="expression" dxfId="3990" priority="196" stopIfTrue="1">
      <formula>IF(#REF!&lt;3,1,IF(#REF!&lt;2,1,0))</formula>
    </cfRule>
  </conditionalFormatting>
  <conditionalFormatting sqref="Y225 B225 D225 W225">
    <cfRule type="expression" dxfId="3989" priority="197" stopIfTrue="1">
      <formula>IF(#REF!&lt;1,1,IF(#REF!&lt;3,1,0))</formula>
    </cfRule>
  </conditionalFormatting>
  <conditionalFormatting sqref="AB225 E225 G225 Z225">
    <cfRule type="expression" dxfId="3988" priority="198" stopIfTrue="1">
      <formula>IF(#REF!&lt;2,1,IF(#REF!&lt;3,1,0))</formula>
    </cfRule>
  </conditionalFormatting>
  <conditionalFormatting sqref="AE225 H225 J225 AC225">
    <cfRule type="expression" dxfId="3987" priority="199" stopIfTrue="1">
      <formula>IF(#REF!&lt;3,1,IF(#REF!&lt;3,1,0))</formula>
    </cfRule>
  </conditionalFormatting>
  <conditionalFormatting sqref="AG24:AP28 AG109:AP113">
    <cfRule type="cellIs" dxfId="3986" priority="200" stopIfTrue="1" operator="notBetween">
      <formula>-9999</formula>
      <formula>9999</formula>
    </cfRule>
  </conditionalFormatting>
  <conditionalFormatting sqref="AC7 AC92">
    <cfRule type="expression" dxfId="3985" priority="201" stopIfTrue="1">
      <formula>IF($AK$11=0,1,0)</formula>
    </cfRule>
  </conditionalFormatting>
  <conditionalFormatting sqref="B18">
    <cfRule type="expression" dxfId="3984" priority="202" stopIfTrue="1">
      <formula>IF($AK$9&gt;0,0,1)</formula>
    </cfRule>
  </conditionalFormatting>
  <conditionalFormatting sqref="B22:D23 B107:D108">
    <cfRule type="cellIs" dxfId="3983" priority="203" stopIfTrue="1" operator="equal">
      <formula>99</formula>
    </cfRule>
  </conditionalFormatting>
  <conditionalFormatting sqref="X226 AA226 C226 F226">
    <cfRule type="expression" dxfId="3982" priority="204" stopIfTrue="1">
      <formula>IF(#REF!&gt;0,0,1)</formula>
    </cfRule>
  </conditionalFormatting>
  <conditionalFormatting sqref="K215">
    <cfRule type="expression" dxfId="3981" priority="4" stopIfTrue="1">
      <formula>IF(#REF!&gt;2,0,1)</formula>
    </cfRule>
  </conditionalFormatting>
  <conditionalFormatting sqref="K215">
    <cfRule type="expression" dxfId="3980" priority="3" stopIfTrue="1">
      <formula>IF(ISNUMBER(K223),0,1)</formula>
    </cfRule>
  </conditionalFormatting>
  <conditionalFormatting sqref="AF215">
    <cfRule type="expression" dxfId="3979" priority="2" stopIfTrue="1">
      <formula>IF(ISNUMBER(AF223),0,1)</formula>
    </cfRule>
  </conditionalFormatting>
  <conditionalFormatting sqref="B103">
    <cfRule type="expression" dxfId="3978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5122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5122" r:id="rId4" name="Pool2RecalcFinish"/>
      </mc:Fallback>
    </mc:AlternateContent>
    <mc:AlternateContent xmlns:mc="http://schemas.openxmlformats.org/markup-compatibility/2006">
      <mc:Choice Requires="x14">
        <control shapeId="5121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5121" r:id="rId6" name="Pool1RecalcFinish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16</vt:i4>
      </vt:variant>
    </vt:vector>
  </HeadingPairs>
  <TitlesOfParts>
    <vt:vector size="36" baseType="lpstr">
      <vt:lpstr>new AM rnd 2 7 tms</vt:lpstr>
      <vt:lpstr>New AM wave 7 tms</vt:lpstr>
      <vt:lpstr>new AM rnd 2 8 tms</vt:lpstr>
      <vt:lpstr>New AM wave 8 tms</vt:lpstr>
      <vt:lpstr>12 Club A Division 10 tms</vt:lpstr>
      <vt:lpstr>12 Club B Division 10 tms</vt:lpstr>
      <vt:lpstr>13 Club A division 10 tms</vt:lpstr>
      <vt:lpstr>13 Club B Division 10 tms</vt:lpstr>
      <vt:lpstr>14 Club A Division 10 tms</vt:lpstr>
      <vt:lpstr>14 Club B Division 10 tms</vt:lpstr>
      <vt:lpstr>15 Club A division 8 tms</vt:lpstr>
      <vt:lpstr>15 Club B div 8 tms </vt:lpstr>
      <vt:lpstr>16 Club A Division 10 tms</vt:lpstr>
      <vt:lpstr>16 Club B Division 10 tms</vt:lpstr>
      <vt:lpstr>17 Club  5 tms</vt:lpstr>
      <vt:lpstr>18 Club  8 tms</vt:lpstr>
      <vt:lpstr>RatingResultsSummary</vt:lpstr>
      <vt:lpstr>Initial</vt:lpstr>
      <vt:lpstr>Final</vt:lpstr>
      <vt:lpstr>Final-PM</vt:lpstr>
      <vt:lpstr>'12 Club A Division 10 tms'!Print_Area</vt:lpstr>
      <vt:lpstr>'12 Club B Division 10 tms'!Print_Area</vt:lpstr>
      <vt:lpstr>'13 Club A division 10 tms'!Print_Area</vt:lpstr>
      <vt:lpstr>'13 Club B Division 10 tms'!Print_Area</vt:lpstr>
      <vt:lpstr>'14 Club A Division 10 tms'!Print_Area</vt:lpstr>
      <vt:lpstr>'14 Club B Division 10 tms'!Print_Area</vt:lpstr>
      <vt:lpstr>'15 Club A division 8 tms'!Print_Area</vt:lpstr>
      <vt:lpstr>'15 Club B div 8 tms '!Print_Area</vt:lpstr>
      <vt:lpstr>'16 Club A Division 10 tms'!Print_Area</vt:lpstr>
      <vt:lpstr>'16 Club B Division 10 tms'!Print_Area</vt:lpstr>
      <vt:lpstr>'17 Club  5 tms'!Print_Area</vt:lpstr>
      <vt:lpstr>'18 Club  8 tms'!Print_Area</vt:lpstr>
      <vt:lpstr>'new AM rnd 2 7 tms'!Print_Area</vt:lpstr>
      <vt:lpstr>'new AM rnd 2 8 tms'!Print_Area</vt:lpstr>
      <vt:lpstr>'New AM wave 7 tms'!Print_Area</vt:lpstr>
      <vt:lpstr>'New AM wave 8 tms'!Print_Area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Lance</dc:creator>
  <cp:lastModifiedBy>Lance</cp:lastModifiedBy>
  <dcterms:created xsi:type="dcterms:W3CDTF">2017-02-05T12:47:36Z</dcterms:created>
  <dcterms:modified xsi:type="dcterms:W3CDTF">2017-02-07T03:39:30Z</dcterms:modified>
</cp:coreProperties>
</file>